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4E7EDD14-485D-4215-AFBE-01B781B38F80}" xr6:coauthVersionLast="47" xr6:coauthVersionMax="47" xr10:uidLastSave="{00000000-0000-0000-0000-000000000000}"/>
  <bookViews>
    <workbookView xWindow="-120" yWindow="-120" windowWidth="29040" windowHeight="15720" xr2:uid="{00000000-000D-0000-FFFF-FFFF00000000}"/>
  </bookViews>
  <sheets>
    <sheet name="Sheet1" sheetId="4" r:id="rId1"/>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4" l="1"/>
  <c r="D13" i="4"/>
  <c r="D12" i="4"/>
  <c r="D11" i="4"/>
  <c r="D10" i="4"/>
  <c r="D9" i="4"/>
  <c r="D8" i="4"/>
  <c r="D7" i="4"/>
  <c r="D6" i="4"/>
  <c r="D5" i="4"/>
  <c r="D4" i="4"/>
  <c r="D3"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443" i="4"/>
  <c r="D442" i="4"/>
  <c r="D441" i="4"/>
  <c r="D440" i="4"/>
  <c r="D439" i="4"/>
  <c r="D438" i="4"/>
  <c r="D437" i="4"/>
  <c r="D436" i="4"/>
  <c r="D435" i="4"/>
  <c r="D434" i="4"/>
  <c r="D433" i="4"/>
  <c r="D432" i="4"/>
  <c r="D431" i="4"/>
  <c r="D430" i="4"/>
  <c r="D429" i="4"/>
  <c r="D428" i="4"/>
  <c r="D427" i="4"/>
  <c r="D426" i="4"/>
  <c r="D425" i="4"/>
  <c r="D424" i="4"/>
  <c r="D423"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364" i="4"/>
  <c r="D363" i="4"/>
  <c r="D362" i="4"/>
  <c r="D361" i="4"/>
  <c r="D360" i="4"/>
  <c r="D359" i="4"/>
  <c r="D358" i="4"/>
  <c r="D357" i="4"/>
  <c r="D356" i="4"/>
  <c r="D355" i="4"/>
  <c r="D354" i="4"/>
  <c r="D353" i="4"/>
  <c r="D352" i="4"/>
  <c r="D351" i="4"/>
  <c r="D508" i="4"/>
  <c r="D507" i="4"/>
  <c r="D506" i="4"/>
  <c r="D505" i="4"/>
  <c r="D504" i="4"/>
  <c r="D503" i="4"/>
  <c r="D502" i="4"/>
  <c r="D501" i="4"/>
  <c r="D500" i="4"/>
  <c r="D499" i="4"/>
  <c r="D498" i="4"/>
  <c r="D497" i="4"/>
  <c r="D496" i="4"/>
  <c r="D495" i="4"/>
  <c r="D494" i="4"/>
  <c r="D493" i="4"/>
  <c r="D492" i="4"/>
  <c r="D491" i="4"/>
  <c r="D490" i="4"/>
  <c r="D489" i="4"/>
  <c r="D488" i="4"/>
  <c r="D487"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6" i="4"/>
  <c r="D525" i="4"/>
  <c r="D524" i="4"/>
  <c r="D523" i="4"/>
  <c r="D522" i="4"/>
  <c r="D521" i="4"/>
  <c r="D520" i="4"/>
  <c r="D519" i="4"/>
  <c r="D518" i="4"/>
  <c r="D517" i="4"/>
  <c r="D516" i="4"/>
  <c r="D515" i="4"/>
  <c r="D514" i="4"/>
  <c r="D513" i="4"/>
  <c r="D512" i="4"/>
  <c r="D511" i="4"/>
  <c r="D510" i="4"/>
  <c r="D509" i="4"/>
  <c r="D713"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634" i="4"/>
  <c r="D633" i="4"/>
  <c r="D632" i="4"/>
  <c r="D631"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598" i="4"/>
  <c r="D597" i="4"/>
  <c r="D596" i="4"/>
  <c r="D595" i="4"/>
  <c r="D594" i="4"/>
  <c r="D593" i="4"/>
  <c r="D592" i="4"/>
  <c r="D591" i="4"/>
  <c r="D590" i="4"/>
  <c r="D589" i="4"/>
  <c r="D588" i="4"/>
  <c r="D587" i="4"/>
  <c r="D732" i="4"/>
  <c r="D731" i="4"/>
  <c r="D730" i="4"/>
  <c r="D729" i="4"/>
  <c r="D728" i="4"/>
  <c r="D727" i="4"/>
  <c r="D726" i="4"/>
  <c r="D725" i="4"/>
  <c r="D724" i="4"/>
  <c r="D723" i="4"/>
  <c r="D722" i="4"/>
  <c r="D721" i="4"/>
  <c r="D720" i="4"/>
  <c r="D719" i="4"/>
  <c r="D718" i="4"/>
  <c r="D717" i="4"/>
  <c r="D716" i="4"/>
  <c r="D715" i="4"/>
  <c r="D714" i="4"/>
  <c r="D712" i="4"/>
  <c r="D711" i="4"/>
  <c r="D710" i="4"/>
  <c r="D709" i="4"/>
  <c r="D708" i="4"/>
  <c r="D707" i="4"/>
  <c r="D706" i="4"/>
  <c r="D705" i="4"/>
  <c r="D704" i="4"/>
  <c r="D703" i="4"/>
  <c r="D702" i="4"/>
  <c r="D701" i="4"/>
  <c r="D700" i="4"/>
  <c r="D699" i="4"/>
  <c r="D698" i="4"/>
  <c r="D697" i="4"/>
  <c r="D696" i="4"/>
  <c r="D695" i="4"/>
  <c r="D694" i="4"/>
  <c r="D693" i="4"/>
  <c r="D692" i="4"/>
  <c r="D691" i="4"/>
  <c r="D690" i="4"/>
  <c r="D689" i="4"/>
  <c r="D688" i="4"/>
  <c r="D687" i="4"/>
  <c r="D686" i="4"/>
  <c r="D685" i="4"/>
  <c r="D684" i="4"/>
  <c r="D683" i="4"/>
  <c r="D682" i="4"/>
  <c r="D681" i="4"/>
  <c r="D680" i="4"/>
  <c r="D679" i="4"/>
  <c r="D678" i="4"/>
  <c r="D677" i="4"/>
  <c r="D676" i="4"/>
  <c r="D675" i="4"/>
  <c r="D674" i="4"/>
  <c r="D673" i="4"/>
  <c r="D672" i="4"/>
  <c r="D671" i="4"/>
  <c r="D670" i="4"/>
  <c r="D669" i="4"/>
  <c r="D668" i="4"/>
  <c r="D667" i="4"/>
  <c r="D812" i="4"/>
  <c r="D811" i="4"/>
  <c r="D810" i="4"/>
  <c r="D809" i="4"/>
  <c r="D808" i="4"/>
  <c r="D807" i="4"/>
  <c r="D806" i="4"/>
  <c r="D805" i="4"/>
  <c r="D804" i="4"/>
  <c r="D803" i="4"/>
  <c r="D802" i="4"/>
  <c r="D801" i="4"/>
  <c r="D800" i="4"/>
  <c r="D799" i="4"/>
  <c r="D798" i="4"/>
  <c r="D797" i="4"/>
  <c r="D796" i="4"/>
  <c r="D795" i="4"/>
  <c r="D794" i="4"/>
  <c r="D793" i="4"/>
  <c r="D792" i="4"/>
  <c r="D791" i="4"/>
  <c r="D790" i="4"/>
  <c r="D789" i="4"/>
  <c r="D788" i="4"/>
  <c r="D787" i="4"/>
  <c r="D786" i="4"/>
  <c r="D785" i="4"/>
  <c r="D784" i="4"/>
  <c r="D783" i="4"/>
  <c r="D782" i="4"/>
  <c r="D781" i="4"/>
  <c r="D780" i="4"/>
  <c r="D779" i="4"/>
  <c r="D778" i="4"/>
  <c r="D777" i="4"/>
  <c r="D776" i="4"/>
  <c r="D775" i="4"/>
  <c r="D774" i="4"/>
  <c r="D773" i="4"/>
  <c r="D772" i="4"/>
  <c r="D771" i="4"/>
  <c r="D770" i="4"/>
  <c r="D769" i="4"/>
  <c r="D768" i="4"/>
  <c r="D767" i="4"/>
  <c r="D766" i="4"/>
  <c r="D765" i="4"/>
  <c r="D764" i="4"/>
  <c r="D763" i="4"/>
  <c r="D762" i="4"/>
  <c r="D761" i="4"/>
  <c r="D760" i="4"/>
  <c r="D759" i="4"/>
  <c r="D758" i="4"/>
  <c r="D757" i="4"/>
  <c r="D756" i="4"/>
  <c r="D755" i="4"/>
  <c r="D754" i="4"/>
  <c r="D753" i="4"/>
  <c r="D752" i="4"/>
  <c r="D751" i="4"/>
  <c r="D750" i="4"/>
  <c r="D749" i="4"/>
  <c r="D748" i="4"/>
  <c r="D747" i="4"/>
  <c r="D746" i="4"/>
  <c r="D745" i="4"/>
  <c r="D744" i="4"/>
  <c r="D743" i="4"/>
  <c r="D742" i="4"/>
  <c r="D741" i="4"/>
  <c r="D740" i="4"/>
  <c r="D739" i="4"/>
  <c r="D738" i="4"/>
  <c r="D737" i="4"/>
  <c r="D736" i="4"/>
  <c r="D735" i="4"/>
  <c r="D734" i="4"/>
  <c r="D733" i="4"/>
  <c r="D872" i="4"/>
  <c r="D871" i="4"/>
  <c r="D870" i="4"/>
  <c r="D869" i="4"/>
  <c r="D868" i="4"/>
  <c r="D867" i="4"/>
  <c r="D866" i="4"/>
  <c r="D865" i="4"/>
  <c r="D864" i="4"/>
  <c r="D863" i="4"/>
  <c r="D862" i="4"/>
  <c r="D861" i="4"/>
  <c r="D860" i="4"/>
  <c r="D859" i="4"/>
  <c r="D858" i="4"/>
  <c r="D857" i="4"/>
  <c r="D856" i="4"/>
  <c r="D855" i="4"/>
  <c r="D854" i="4"/>
  <c r="D853" i="4"/>
  <c r="D852" i="4"/>
  <c r="D851" i="4"/>
  <c r="D850" i="4"/>
  <c r="D849" i="4"/>
  <c r="D848" i="4"/>
  <c r="D847" i="4"/>
  <c r="D846" i="4"/>
  <c r="D845" i="4"/>
  <c r="D844" i="4"/>
  <c r="D843" i="4"/>
  <c r="D842" i="4"/>
  <c r="D841" i="4"/>
  <c r="D840" i="4"/>
  <c r="D839" i="4"/>
  <c r="D838" i="4"/>
  <c r="D837" i="4"/>
  <c r="D836" i="4"/>
  <c r="D835" i="4"/>
  <c r="D834" i="4"/>
  <c r="D833" i="4"/>
  <c r="D832" i="4"/>
  <c r="D831" i="4"/>
  <c r="D830" i="4"/>
  <c r="D829" i="4"/>
  <c r="D828" i="4"/>
  <c r="D827" i="4"/>
  <c r="D826" i="4"/>
  <c r="D825" i="4"/>
  <c r="D824" i="4"/>
  <c r="D823" i="4"/>
  <c r="D822" i="4"/>
  <c r="D821" i="4"/>
  <c r="D820" i="4"/>
  <c r="D819" i="4"/>
  <c r="D818" i="4"/>
  <c r="D817" i="4"/>
  <c r="D816" i="4"/>
  <c r="D815" i="4"/>
  <c r="D814" i="4"/>
  <c r="D813" i="4"/>
  <c r="D967" i="4"/>
  <c r="D966" i="4"/>
  <c r="D965" i="4"/>
  <c r="D964" i="4"/>
  <c r="D963" i="4"/>
  <c r="D962" i="4"/>
  <c r="D961" i="4"/>
  <c r="D960" i="4"/>
  <c r="D959" i="4"/>
  <c r="D958" i="4"/>
  <c r="D957" i="4"/>
  <c r="D956" i="4"/>
  <c r="D955" i="4"/>
  <c r="D954" i="4"/>
  <c r="D953" i="4"/>
  <c r="D952" i="4"/>
  <c r="D951" i="4"/>
  <c r="D950" i="4"/>
  <c r="D949" i="4"/>
  <c r="D948" i="4"/>
  <c r="D947" i="4"/>
  <c r="D946" i="4"/>
  <c r="D945" i="4"/>
  <c r="D944" i="4"/>
  <c r="D943" i="4"/>
  <c r="D942" i="4"/>
  <c r="D941" i="4"/>
  <c r="D940" i="4"/>
  <c r="D939" i="4"/>
  <c r="D938" i="4"/>
  <c r="D937" i="4"/>
  <c r="D936" i="4"/>
  <c r="D935" i="4"/>
  <c r="D934" i="4"/>
  <c r="D933" i="4"/>
  <c r="D932" i="4"/>
  <c r="D931" i="4"/>
  <c r="D930" i="4"/>
  <c r="D929" i="4"/>
  <c r="D928" i="4"/>
  <c r="D927" i="4"/>
  <c r="D926" i="4"/>
  <c r="D925" i="4"/>
  <c r="D924" i="4"/>
  <c r="D923" i="4"/>
  <c r="D922" i="4"/>
  <c r="D921" i="4"/>
  <c r="D920" i="4"/>
  <c r="D919" i="4"/>
  <c r="D918" i="4"/>
  <c r="D917" i="4"/>
  <c r="D916" i="4"/>
  <c r="D915" i="4"/>
  <c r="D914" i="4"/>
  <c r="D913" i="4"/>
  <c r="D912" i="4"/>
  <c r="D911" i="4"/>
  <c r="D910" i="4"/>
  <c r="D909" i="4"/>
  <c r="D908" i="4"/>
  <c r="D907" i="4"/>
  <c r="D906" i="4"/>
  <c r="D905" i="4"/>
  <c r="D904" i="4"/>
  <c r="D903" i="4"/>
  <c r="D902" i="4"/>
  <c r="D901" i="4"/>
  <c r="D900" i="4"/>
  <c r="D899" i="4"/>
  <c r="D898" i="4"/>
  <c r="D897" i="4"/>
  <c r="D896" i="4"/>
  <c r="D895" i="4"/>
  <c r="D894" i="4"/>
  <c r="D893" i="4"/>
  <c r="D892" i="4"/>
  <c r="D891" i="4"/>
  <c r="D890" i="4"/>
  <c r="D889" i="4"/>
  <c r="D888" i="4"/>
  <c r="D887" i="4"/>
  <c r="D886" i="4"/>
  <c r="D885" i="4"/>
  <c r="D884" i="4"/>
  <c r="D883" i="4"/>
  <c r="D882" i="4"/>
  <c r="D881" i="4"/>
  <c r="D880" i="4"/>
  <c r="D879" i="4"/>
  <c r="D878" i="4"/>
  <c r="D877" i="4"/>
  <c r="D876" i="4"/>
  <c r="D875" i="4"/>
  <c r="D874" i="4"/>
  <c r="D873" i="4"/>
  <c r="D1048" i="4"/>
  <c r="D1047" i="4"/>
  <c r="D1046" i="4"/>
  <c r="D1045" i="4"/>
  <c r="D1044" i="4"/>
  <c r="D1043" i="4"/>
  <c r="D1042" i="4"/>
  <c r="D1041" i="4"/>
  <c r="D1040" i="4"/>
  <c r="D1039" i="4"/>
  <c r="D1038" i="4"/>
  <c r="D1037" i="4"/>
  <c r="D1036" i="4"/>
  <c r="D1035" i="4"/>
  <c r="D1034" i="4"/>
  <c r="D1033" i="4"/>
  <c r="D1032" i="4"/>
  <c r="D1031" i="4"/>
  <c r="D1030" i="4"/>
  <c r="D1029" i="4"/>
  <c r="D1028" i="4"/>
  <c r="D1027" i="4"/>
  <c r="D1026" i="4"/>
  <c r="D1025" i="4"/>
  <c r="D1024" i="4"/>
  <c r="D1023" i="4"/>
  <c r="D1022" i="4"/>
  <c r="D1021" i="4"/>
  <c r="D1020" i="4"/>
  <c r="D1019" i="4"/>
  <c r="D1018" i="4"/>
  <c r="D1017" i="4"/>
  <c r="D1016" i="4"/>
  <c r="D1015" i="4"/>
  <c r="D1014" i="4"/>
  <c r="D1013" i="4"/>
  <c r="D1012" i="4"/>
  <c r="D1011" i="4"/>
  <c r="D1010" i="4"/>
  <c r="D1009" i="4"/>
  <c r="D1008" i="4"/>
  <c r="D1007" i="4"/>
  <c r="D1006" i="4"/>
  <c r="D1005" i="4"/>
  <c r="D1004" i="4"/>
  <c r="D1003" i="4"/>
  <c r="D1002" i="4"/>
  <c r="D1001" i="4"/>
  <c r="D1000" i="4"/>
  <c r="D999" i="4"/>
  <c r="D998" i="4"/>
  <c r="D997" i="4"/>
  <c r="D996" i="4"/>
  <c r="D995" i="4"/>
  <c r="D994" i="4"/>
  <c r="D993" i="4"/>
  <c r="D992" i="4"/>
  <c r="D991" i="4"/>
  <c r="D990" i="4"/>
  <c r="D989" i="4"/>
  <c r="D988" i="4"/>
  <c r="D987" i="4"/>
  <c r="D986" i="4"/>
  <c r="D985" i="4"/>
  <c r="D984" i="4"/>
  <c r="D983" i="4"/>
  <c r="D982" i="4"/>
  <c r="D981" i="4"/>
  <c r="D980" i="4"/>
  <c r="D979" i="4"/>
  <c r="D978" i="4"/>
  <c r="D977" i="4"/>
  <c r="D976" i="4"/>
  <c r="D975" i="4"/>
  <c r="D974" i="4"/>
  <c r="D973" i="4"/>
  <c r="D972" i="4"/>
  <c r="D971" i="4"/>
  <c r="D970" i="4"/>
  <c r="D969" i="4"/>
  <c r="D968" i="4"/>
</calcChain>
</file>

<file path=xl/sharedStrings.xml><?xml version="1.0" encoding="utf-8"?>
<sst xmlns="http://schemas.openxmlformats.org/spreadsheetml/2006/main" count="6921" uniqueCount="1474">
  <si>
    <t>Country</t>
  </si>
  <si>
    <t>Area</t>
  </si>
  <si>
    <t>URL</t>
  </si>
  <si>
    <t>Brand</t>
  </si>
  <si>
    <t>Group</t>
  </si>
  <si>
    <t>Update Date</t>
  </si>
  <si>
    <t>Release Month</t>
  </si>
  <si>
    <t>Updates (Double-click on a cell to read the entire note.)</t>
  </si>
  <si>
    <t>*Please copy the URL if hyperlinks for detailed plant information are not working.</t>
  </si>
  <si>
    <t>OEM Location Name</t>
  </si>
  <si>
    <t>Province</t>
  </si>
  <si>
    <t>Stellantis</t>
    <phoneticPr fontId="1"/>
  </si>
  <si>
    <t>https://www.marklines.com/en/global/1939</t>
    <phoneticPr fontId="1"/>
  </si>
  <si>
    <t>West Europe</t>
    <phoneticPr fontId="1"/>
  </si>
  <si>
    <t>Spain</t>
    <phoneticPr fontId="1"/>
  </si>
  <si>
    <t>Ford</t>
    <phoneticPr fontId="1"/>
  </si>
  <si>
    <t>North America</t>
    <phoneticPr fontId="1"/>
  </si>
  <si>
    <t>USA</t>
    <phoneticPr fontId="1"/>
  </si>
  <si>
    <t>Ohio</t>
  </si>
  <si>
    <t>Michigan</t>
  </si>
  <si>
    <t>Subaru</t>
    <phoneticPr fontId="1"/>
  </si>
  <si>
    <t>East Asia</t>
    <phoneticPr fontId="1"/>
  </si>
  <si>
    <t>Japan</t>
    <phoneticPr fontId="1"/>
  </si>
  <si>
    <t>Tesla</t>
    <phoneticPr fontId="1"/>
  </si>
  <si>
    <t>https://www.marklines.com/en/global/9895</t>
    <phoneticPr fontId="1"/>
  </si>
  <si>
    <t>Germany</t>
    <phoneticPr fontId="1"/>
  </si>
  <si>
    <t>Nikola</t>
    <phoneticPr fontId="1"/>
  </si>
  <si>
    <t>https://www.marklines.com/en/global/10448</t>
    <phoneticPr fontId="1"/>
  </si>
  <si>
    <t>Arizona</t>
  </si>
  <si>
    <t>France</t>
    <phoneticPr fontId="1"/>
  </si>
  <si>
    <t>Rivian</t>
    <phoneticPr fontId="1"/>
  </si>
  <si>
    <t>https://www.marklines.com/en/global/3153</t>
    <phoneticPr fontId="1"/>
  </si>
  <si>
    <t>Illinois</t>
  </si>
  <si>
    <t>Mercedes-Benz Group</t>
    <phoneticPr fontId="1"/>
  </si>
  <si>
    <t>Mercedes-Benz</t>
    <phoneticPr fontId="1"/>
  </si>
  <si>
    <t>Toyota</t>
    <phoneticPr fontId="1"/>
  </si>
  <si>
    <t>South Asia/Oceania</t>
    <phoneticPr fontId="1"/>
  </si>
  <si>
    <t>India</t>
    <phoneticPr fontId="1"/>
  </si>
  <si>
    <t>Others</t>
    <phoneticPr fontId="1"/>
  </si>
  <si>
    <t>Karsan</t>
    <phoneticPr fontId="1"/>
  </si>
  <si>
    <t>https://www.marklines.com/en/global/1428</t>
    <phoneticPr fontId="1"/>
  </si>
  <si>
    <t>Middle East</t>
    <phoneticPr fontId="1"/>
  </si>
  <si>
    <t>Turkey</t>
    <phoneticPr fontId="1"/>
  </si>
  <si>
    <t>Honda</t>
    <phoneticPr fontId="1"/>
  </si>
  <si>
    <t>Renault</t>
    <phoneticPr fontId="1"/>
  </si>
  <si>
    <t>South America</t>
    <phoneticPr fontId="1"/>
  </si>
  <si>
    <t>Xpeng</t>
    <phoneticPr fontId="1"/>
  </si>
  <si>
    <t>China</t>
    <phoneticPr fontId="1"/>
  </si>
  <si>
    <t>Guangdong</t>
  </si>
  <si>
    <t>VW</t>
    <phoneticPr fontId="1"/>
  </si>
  <si>
    <t>Portugal</t>
    <phoneticPr fontId="1"/>
  </si>
  <si>
    <t>SAIC</t>
    <phoneticPr fontId="1"/>
  </si>
  <si>
    <t>Geely</t>
    <phoneticPr fontId="1"/>
  </si>
  <si>
    <t>https://www.marklines.com/en/global/3807</t>
    <phoneticPr fontId="1"/>
  </si>
  <si>
    <t>Zhejiang</t>
  </si>
  <si>
    <t>Hyundai</t>
    <phoneticPr fontId="1"/>
  </si>
  <si>
    <t>Beijing</t>
  </si>
  <si>
    <t>Jilin</t>
  </si>
  <si>
    <t>FAW</t>
    <phoneticPr fontId="1"/>
  </si>
  <si>
    <t>GAC</t>
    <phoneticPr fontId="1"/>
  </si>
  <si>
    <t>Southeast Asia</t>
    <phoneticPr fontId="1"/>
  </si>
  <si>
    <t>East Europe/Russia, CIS</t>
    <phoneticPr fontId="1"/>
  </si>
  <si>
    <t>Daihatsu</t>
    <phoneticPr fontId="1"/>
  </si>
  <si>
    <t>https://www.marklines.com/en/global/539</t>
    <phoneticPr fontId="1"/>
  </si>
  <si>
    <t>Osaka</t>
  </si>
  <si>
    <t>https://www.marklines.com/en/global/547</t>
    <phoneticPr fontId="1"/>
  </si>
  <si>
    <t>Ohita</t>
  </si>
  <si>
    <t>Maharashtra</t>
  </si>
  <si>
    <t>https://www.marklines.com/en/global/541</t>
    <phoneticPr fontId="1"/>
  </si>
  <si>
    <t>Kyoto</t>
  </si>
  <si>
    <t>BYD</t>
    <phoneticPr fontId="1"/>
  </si>
  <si>
    <t>https://www.marklines.com/en/global/10566</t>
    <phoneticPr fontId="1"/>
  </si>
  <si>
    <t>Thailand</t>
    <phoneticPr fontId="1"/>
  </si>
  <si>
    <t>Rayong</t>
  </si>
  <si>
    <t>Kia</t>
    <phoneticPr fontId="1"/>
  </si>
  <si>
    <t>https://www.marklines.com/en/global/3145</t>
    <phoneticPr fontId="1"/>
  </si>
  <si>
    <t>Georgia</t>
  </si>
  <si>
    <t>Nissan</t>
    <phoneticPr fontId="1"/>
  </si>
  <si>
    <t>Daimler Truck</t>
    <phoneticPr fontId="1"/>
  </si>
  <si>
    <t>Argentina</t>
    <phoneticPr fontId="1"/>
  </si>
  <si>
    <t>AvtoVAZ</t>
    <phoneticPr fontId="1"/>
  </si>
  <si>
    <t>Lada</t>
    <phoneticPr fontId="1"/>
  </si>
  <si>
    <t>BAIC</t>
    <phoneticPr fontId="1"/>
  </si>
  <si>
    <t>BAIC Foton</t>
    <phoneticPr fontId="1"/>
  </si>
  <si>
    <t>Tamil Nadu</t>
  </si>
  <si>
    <t>Korea</t>
    <phoneticPr fontId="1"/>
  </si>
  <si>
    <t>VW Group</t>
    <phoneticPr fontId="1"/>
  </si>
  <si>
    <t>https://www.marklines.com/en/global/1965</t>
    <phoneticPr fontId="1"/>
  </si>
  <si>
    <t>Mazda</t>
    <phoneticPr fontId="1"/>
  </si>
  <si>
    <t>https://www.marklines.com/en/global/543</t>
    <phoneticPr fontId="1"/>
  </si>
  <si>
    <t>Shiga</t>
  </si>
  <si>
    <t>https://www.marklines.com/en/global/1901</t>
    <phoneticPr fontId="1"/>
  </si>
  <si>
    <t>Aichi</t>
  </si>
  <si>
    <t>https://www.marklines.com/en/global/381</t>
    <phoneticPr fontId="1"/>
  </si>
  <si>
    <t>Shanghai</t>
  </si>
  <si>
    <t>BMW</t>
    <phoneticPr fontId="1"/>
  </si>
  <si>
    <t>Hungary</t>
    <phoneticPr fontId="1"/>
  </si>
  <si>
    <t>https://www.marklines.com/en/global/4073</t>
    <phoneticPr fontId="1"/>
  </si>
  <si>
    <t>Audi</t>
    <phoneticPr fontId="1"/>
  </si>
  <si>
    <t>https://www.marklines.com/en/global/1777</t>
    <phoneticPr fontId="1"/>
  </si>
  <si>
    <t>https://www.marklines.com/en/global/2443</t>
    <phoneticPr fontId="1"/>
  </si>
  <si>
    <t>Scania (TRATON)</t>
    <phoneticPr fontId="1"/>
  </si>
  <si>
    <t>Iveco</t>
    <phoneticPr fontId="1"/>
  </si>
  <si>
    <t>Chery</t>
    <phoneticPr fontId="1"/>
  </si>
  <si>
    <t>https://www.marklines.com/en/global/3883</t>
    <phoneticPr fontId="1"/>
  </si>
  <si>
    <t>Anhui</t>
  </si>
  <si>
    <t>https://www.marklines.com/en/global/10650</t>
    <phoneticPr fontId="1"/>
  </si>
  <si>
    <t>https://www.marklines.com/en/global/10714</t>
    <phoneticPr fontId="1"/>
  </si>
  <si>
    <t>https://www.marklines.com/en/global/3481</t>
    <phoneticPr fontId="1"/>
  </si>
  <si>
    <t>Hozon Auto</t>
    <phoneticPr fontId="1"/>
  </si>
  <si>
    <t>Neta</t>
    <phoneticPr fontId="1"/>
  </si>
  <si>
    <t>https://www.marklines.com/en/global/10712</t>
    <phoneticPr fontId="1"/>
  </si>
  <si>
    <t>https://www.marklines.com/en/global/3879</t>
    <phoneticPr fontId="1"/>
  </si>
  <si>
    <t>https://www.marklines.com/en/global/655</t>
    <phoneticPr fontId="1"/>
  </si>
  <si>
    <t>Africa</t>
    <phoneticPr fontId="1"/>
  </si>
  <si>
    <t>South Africa</t>
    <phoneticPr fontId="1"/>
  </si>
  <si>
    <t>Shandong</t>
  </si>
  <si>
    <t>https://www.marklines.com/en/global/9538</t>
    <phoneticPr fontId="1"/>
  </si>
  <si>
    <t>Indonesia</t>
    <phoneticPr fontId="1"/>
  </si>
  <si>
    <t>https://www.marklines.com/en/global/4079</t>
    <phoneticPr fontId="1"/>
  </si>
  <si>
    <t>https://www.marklines.com/en/global/4093</t>
    <phoneticPr fontId="1"/>
  </si>
  <si>
    <t>Great Wall</t>
    <phoneticPr fontId="1"/>
  </si>
  <si>
    <t>https://www.marklines.com/en/global/3415</t>
    <phoneticPr fontId="1"/>
  </si>
  <si>
    <t>https://www.marklines.com/en/global/3333</t>
    <phoneticPr fontId="1"/>
  </si>
  <si>
    <t>JAECOO</t>
    <phoneticPr fontId="1"/>
  </si>
  <si>
    <t>https://www.marklines.com/en/global/567</t>
    <phoneticPr fontId="1"/>
  </si>
  <si>
    <t>Tokyo</t>
  </si>
  <si>
    <t>https://www.marklines.com/en/global/409</t>
    <phoneticPr fontId="1"/>
  </si>
  <si>
    <t>Mahindra &amp; Mahindra</t>
    <phoneticPr fontId="1"/>
  </si>
  <si>
    <t>Mahindra</t>
    <phoneticPr fontId="1"/>
  </si>
  <si>
    <t>https://www.marklines.com/en/global/2653</t>
    <phoneticPr fontId="1"/>
  </si>
  <si>
    <t>Leapmotor</t>
    <phoneticPr fontId="1"/>
  </si>
  <si>
    <t>https://www.marklines.com/en/global/9553</t>
    <phoneticPr fontId="1"/>
  </si>
  <si>
    <t>Lexus</t>
    <phoneticPr fontId="1"/>
  </si>
  <si>
    <t>Haval</t>
    <phoneticPr fontId="1"/>
  </si>
  <si>
    <t>https://www.marklines.com/en/global/2773</t>
    <phoneticPr fontId="1"/>
  </si>
  <si>
    <t>https://www.marklines.com/en/global/2215</t>
    <phoneticPr fontId="1"/>
  </si>
  <si>
    <t>https://www.marklines.com/en/global/3609</t>
    <phoneticPr fontId="1"/>
  </si>
  <si>
    <t>https://www.marklines.com/en/global/2803</t>
    <phoneticPr fontId="1"/>
  </si>
  <si>
    <t>https://www.marklines.com/en/global/10428</t>
    <phoneticPr fontId="1"/>
  </si>
  <si>
    <t>https://www.marklines.com/en/global/9975</t>
    <phoneticPr fontId="1"/>
  </si>
  <si>
    <t>https://www.marklines.com/en/global/475</t>
    <phoneticPr fontId="1"/>
  </si>
  <si>
    <t>Fukuoka</t>
  </si>
  <si>
    <t>Mississippi</t>
  </si>
  <si>
    <t>https://www.marklines.com/en/global/3615</t>
    <phoneticPr fontId="1"/>
  </si>
  <si>
    <t>https://www.marklines.com/en/global/10200</t>
    <phoneticPr fontId="1"/>
  </si>
  <si>
    <t>https://www.marklines.com/en/global/10885</t>
    <phoneticPr fontId="1"/>
  </si>
  <si>
    <t>https://www.marklines.com/en/global/1195</t>
    <phoneticPr fontId="1"/>
  </si>
  <si>
    <t>Uzbekistan</t>
    <phoneticPr fontId="1"/>
  </si>
  <si>
    <t>https://www.marklines.com/en/global/2213</t>
    <phoneticPr fontId="1"/>
  </si>
  <si>
    <t>https://www.marklines.com/en/global/115</t>
    <phoneticPr fontId="1"/>
  </si>
  <si>
    <t>On July 5, Scania France announced that its Angers assembly site has celebrated a milestone by producing its 350,000th truck since its establishment in 1992. The vehicle is a 500 S A4x2LB Scania tractor featuring a spacious S cabin and 6-cylinder 13-liter Super engine which generates an output of 500 hp. The vehicle is manufactured for Truck VB (V and B group) in Château-Gontier, France. Currently, the plant dispatches over 100 trucks daily, supported by nearly 1,500 employees, including fewer than 500 temporary workers. The site has added more than 400 new hires in the past three years.</t>
    <phoneticPr fontId="1"/>
  </si>
  <si>
    <t>On July 4, the State Government of Brandenburg announced that the State Office for the Environment (LfU) issued a positive approval forecast, after fully examining the application documents submitted by Tesla to expand the plant in Grünheide. Its production capacity is to be increased from the current maximum of 500,000 vehicles to 1,000,000 vehicles per year. For this purpose, another large hall is to be built to accommodate. In addition, changes and optimizations to the production facilities already built are also planned. The expansion is also to be accompanied by an increase in battery storage production capacity from the current 50 to 100-gigawatt hours per year in the future. The early start initially allows Tesla to set up an asphalted logistics area for new cars. An application has also been made to install photovoltaic systems on the roofs of the buildings of various operating units. Their installation is also already permitted.</t>
    <phoneticPr fontId="1"/>
  </si>
  <si>
    <t>On July 4, Karsan announced that it is now starting to use renewable energy sources in its production facilities. Karsan. It has started to use 100% renewable energy sources in 3 different locations in its Bursa factory since April 2024. It will help to reach its goal of being a carbon-neutral factory by 2030. Green energy obtained from continuously renewable and nature-friendly sources such as solar, wind, hydroelectric, biomass and geothermal energy greatly reduces environmental pollution.</t>
    <phoneticPr fontId="1"/>
  </si>
  <si>
    <t>https://www.marklines.com/en/global/2815</t>
    <phoneticPr fontId="1"/>
  </si>
  <si>
    <t>On July 4, Marcellus Puig, president and CEO of Volkswagen Argentina Group, announced the start of production of the Amarok pick-up at the Pacheco plant in Argentina. During the announcement, Puig mentioned that this is the third generation Amarok. The vehicle started its production at the facility 15 years ago and more than 740,000 units have been manufactured with 64% for export, including 120,000 units with the steering wheel on the right side, especially made for markets such as Oceania, Africa and Central America. Vehicle details will be released soon.</t>
    <phoneticPr fontId="1"/>
  </si>
  <si>
    <t>On July 2, BAIC Group signed a strategic cooperation agreement with Beijing Xianglong Assets Management Co., Ltd.. The agreement fully covers the two parties and their subsidiaries’ cooperation in areas such as automobile services and trade. Subsequently, the two parties will explore in depth a cooperation model for automobile finance to further deepen and consolidate their partnership.</t>
    <phoneticPr fontId="1"/>
  </si>
  <si>
    <t>On July 2, Geely disclosed details about the latest Aegis short-blade lithium-iron phosphate (LFP) battery. The Aegis short-blade LFP battery measures 580mm long and delivers an enhanced energy density of nearly 200Wh/kg and a volume utilization rate improvement of over 50%. The battery employs the CTB (Cell to Body) structure and has passed tests such as the world’s first eight-needle simultaneous puncture test and a live round penetration test. The Geely Yaoning Battery Manufacturing Site, where the Aegis short-blade LFP battery is manufactured, has an annual capacity of 12GWh. The Geely Guiyang Battery Manufacturing Site contains Aegis short-blade LFP battery production lines with the industry’s most efficient transformation technology.</t>
    <phoneticPr fontId="1"/>
  </si>
  <si>
    <t>On July 2, the Smata union of Argentina announced that several assembly plants in the country will adjust their production due to the drop in sales that has occurred in the market. The Renault - Nissan plant in Santa Isabel reduced production at the beginning of July, maintaining only one six-hour shift on the Renault assembly line and two six-hour shifts on the Nissan assembly line. The Stellantis plant in Ferreyra also reduced its manufacturing pace to adapt to domestic demand and the drop in exports. The IVECO truck and bus plant in Córdoba also cut one production shift, although only temporarily, as Iveco hopes to soon resume both shifts. With the production adjustments of these three plants, it is expected that there will also be an adjustment in the production of auto parts in the country.</t>
    <phoneticPr fontId="1"/>
  </si>
  <si>
    <t>https://www.marklines.com/en/global/2789</t>
    <phoneticPr fontId="1"/>
  </si>
  <si>
    <t>On July 1, GAC Honda released upon its 26th anniversary a corporate strategic transformation and upgrading program for an all-domain extreme revolution, aiming to be “more intelligent, greener, and more efficient”. The strategic targets are as follows: In 2024, build and commission a new EV plant and plan 10 intelligent modules, such as an information center, a large quality platform, and an online equipment management system. Actively revitalize local resources by integrating local R&amp;D with Honda’s over 70 years of experience in automobile manufacturing. Build and commission a new zero-carbon EV plant in 2024; achieve carbon peaking and manufacturing phase carbon neutrality in 2025; and achieve product lifecycle carbon neutrality by 2045 (or 2040 as far as possible). Conduct market-centric local development by launching six new battery electric models by 2027 to cover more extensive requirements for vehicle use. Boost the construction of digital platforms and the application of intelligent technology. Further optimize the relations among manufacturing, technology, and talented personnel to facilitate manufacturing efficiency gains.</t>
    <phoneticPr fontId="1"/>
  </si>
  <si>
    <t>On July 4, BYD celebrated the grand inauguration of its Thailand plant. The plant already saw its first model roll off the production line, namely BYD Dolphin. This marked BYD's 8 millionth new energy vehicle rolled off the production line globally. The facility is worth USD 490 million. It will employ around 10,000 workers and will have an annual production capacity of 150,000 units, including BEVs and PHEVs. BYD also plans to assemble batteries and other important parts in Thailand. Thailand’s Board of Investment (BOI) said BYD is using Thailand as a production hub for export to ASEAN and many other countries.</t>
    <phoneticPr fontId="1"/>
  </si>
  <si>
    <t>https://www.marklines.com/en/global/1392</t>
    <phoneticPr fontId="1"/>
  </si>
  <si>
    <t>On July 2, Stellantis announced that its Mangualde plant is the first in Portugal to mass-produce battery-electric passenger and light commercial vehicles. The factory will now produce eight fully electric models, including the Citroën ë-Berlingo, Peugeot E-Partner, Fiat e-Doblò, and Opel Combo-e for both domestic and export markets. Supported by a EUR 119 million investment from the Recovery and Resilience Plan. Notably, a new battery assembly line has been established, modernizing an 800 square meter area and creating 63 new jobs with specialized training. The plant's photovoltaic park with 6,370 solar panels meets 32% of its annual electricity needs, preventing 2,500 tons of carbon emissions annually. By the end of 2025, the plant aims for 50% energy autonomy through additional green energy initiatives and decarbonization efforts across its value chain.</t>
    <phoneticPr fontId="1"/>
  </si>
  <si>
    <t>https://www.marklines.com/en/global/2647</t>
    <phoneticPr fontId="1"/>
  </si>
  <si>
    <t>On July 2, Stellantis announced that it is cutting a shift and laying off about 1,600 workers in July at its Warren Truck Assembly Plant, which normally has about 3,300 hourly workers working on two shifts per day building the Jeep Wagoneer, Wagoneer L and Grand Wagoneer, as well as the Ram 1500 Classic. The Toledo South plant will be down starting the week of July 8 and resuming production the week of August 19 to align production with sales, retool the plant for a new model and observe a week for summer vacation. Employees will be reassigned to support production at the Toledo North plant during this period. Stellantis Q2 2024 U.S. sales numbers showed a 21% decline compared with Q2 2023.</t>
    <phoneticPr fontId="1"/>
  </si>
  <si>
    <t>https://www.marklines.com/en/global/2655</t>
    <phoneticPr fontId="1"/>
  </si>
  <si>
    <t>In Its annual report, Mahindra and Mahindra announced that it spent INR 27.65 billion (including INR 18.85 billion on capital expenditure) for research &amp; development work during the FY 2023-24. It continued to work on advanced technologies, upgrading existing technology and capability development. It expanded on electric vehicles, battery technologies, motors for electric vehicles, active safety systems, advanced electronics, software-defined vehicles, technologies for light-weighting, enhanced vehicle dynamics, and connected vehicles. During the year, it has filed 193 new patent applications, bringing the total to 2,212. It has 1,185 granted patents across various regions.</t>
    <phoneticPr fontId="1"/>
  </si>
  <si>
    <t>On June 28, the first GAC Toyota Tech Open Day was held, where GAC Toyota announced the launch of the era of hybrid balance and exhibited significant achievements in technology innovation in a centralized manner. For electrification, the GAC Toyota 5th-generation intelligent dual-engine hybrid electric power system strikes a balance between fuel and electric power (intelligent power distribution), robust power and low fuel consumption, and performance and safety. Furthermore, GAC Toyota will progress carbon neutrality on the following fronts: Battery-wise, introduce a performance-oriented lithium-ion battery in 2026, an all-solid-state battery between 2027 and 2028, a popularization-oriented lithium-iron phosphate battery between 2026 and 2027, and a high-performance lithium-ion battery between 2027 and 2028. Develop a BEV platform-based engine with better applicability to EVs. Put into practical use a plug-in hybrid electric model with fast charging, which will be launched in China in October 2024. Rapidly expand presence in the hydrogen energy vehicle market in 2030.</t>
    <phoneticPr fontId="1"/>
  </si>
  <si>
    <t>On July 3, multiple sources reported that the management of the Ford factory in Almussafes, along with the UGT, had reached an agreement to implement a Regulation of Employment File (ERE) affecting 626 workers. The agreement includes a financial compensation plan that offers up to EUR 40,000 for employees younger than 54 years old and a monthly income plan for those aged 53 and above. In addition, a rotating ERTE will be implemented for 996 employees until December 31, 2024. The UGT, with the Generalitat's support, expects a mechanism like the RED to take effect in January 2025, as committed by the Government.</t>
    <phoneticPr fontId="1"/>
  </si>
  <si>
    <t>https://www.marklines.com/en/global/1396</t>
    <phoneticPr fontId="1"/>
  </si>
  <si>
    <t>In its Annual Report, Toyota Caetano announced that it produced a total of 1,874 Land Cruiser Series 70 (LC70) vehicles in 2023, a decrease of 36.9% compared to 2022. The decrease in vehicle orders was due to the limitations of the production of components by Toyota Motor Corporation, which forced the Ovar plant to readjust its production capacity to minimize impacts on productivity. The company made two takt-time changes, reducing the line's capacity to 12 units per day.</t>
    <phoneticPr fontId="1"/>
  </si>
  <si>
    <t>On July 3, JAECOO announced that it will make its European public debut at this year’s Goodwood Festival of Speed taking place between July 11-14, 2024.  First UK deliveries are anticipated in late 2024. The JAECOO 7 measures 4,500 mm in length with a 2,672 mm wheelbase, 1,865 mm in width, and is 1,680 mm high. It is powered by a 1.6-litre turbocharged four-cylinder gasoline engine which is mated to a Getrag-sourced 7-speed Dual-Clutch Transmission (DCT). Plug-in hybrid and all-electric variants will follow. </t>
    <phoneticPr fontId="1"/>
  </si>
  <si>
    <t>On July 3, Hyundai Motor announced 2 significant milestones in Indonesia, the completion of HLI Green Power battery cell plant's construction, along with the mass production of Hyundai Kona electric. The Indonesian-made all-new Kona Electric, which will be launched locally on July 17, will be equipped with battery cells produced by HLI Green Power.</t>
    <phoneticPr fontId="1"/>
  </si>
  <si>
    <t>On July 3, Hyundai Motor announced 2 significant milestones in Indonesia, the completion of HLI Green Power battery cell plant's construction, along with the mass production of Hyundai Kona electric. The Indonesian-made all-new Kona Electric, which will be launched locally on July 17, will be equipped with battery cells produced by HLI Green Power. Construction of PT HLI Green Power plant started in 2021. After trial production was conducted in H2/2023, the plant has been producing battery cells since Q2/2024. It has electrode processes, assembly processes, and activation processes on a total site of 320,000 sqm and can produce high-performance NCMA battery cells with an annual capacity of 10 GWh, which can serve over 150,000 EV batteries. They are scheduled to serve EV models produced at Hyundai’s Indonesia plant as well as various models of Hyundai and Kia.</t>
    <phoneticPr fontId="1"/>
  </si>
  <si>
    <t>On July 2, Volkswagen Navarra announced that it has stopped Polo production at its Landaben plant in Pamplona to make way for two new electric models, a Škoda and a Volkswagen, set to launch in 2026. These new models will be produced alongside the T-Cross and Taigo. While Polo production is moving to Kariega, South Africa, it will continue to be available for the European market. The final Polo at Landaben, a Life variant with a 95 hp 1.0 TSI engine was produced for the Spanish market. This marks the end of 8,422,161 units made at the plant since 1984.</t>
    <phoneticPr fontId="1"/>
  </si>
  <si>
    <t>https://www.marklines.com/en/global/1089</t>
    <phoneticPr fontId="1"/>
  </si>
  <si>
    <t>On July 2, Nissan Motor India announced crossing an export milestone of 1.1 million units since the start of its export operations. It reached the feat on June 29, 2024, at the Ennore Kamarajar Port, Tamil Nadu with the Nissan Magnite being the milestone unit exported.</t>
    <phoneticPr fontId="1"/>
  </si>
  <si>
    <t>On July 2, Rivian Automotive announced it had produced 9,612 vehicles at its manufacturing facility in Normal, Illinois and delivered 13,790 vehicles during the period. For the full year 2024, management is reaffirming guidance for annual production of 57,000 total vehicles.</t>
    <phoneticPr fontId="1"/>
  </si>
  <si>
    <t>On July 2, Nikola Corp. announced it had wholesaled 72 Class 8 Nikola hydrogen fuel cell trucks in Q2. For the first half of 2024, Nikola wholesaled 112 hydrogen fuel cell trucks. All Nikola trucks are assembled in Coolidge, Arizona.</t>
    <phoneticPr fontId="1"/>
  </si>
  <si>
    <t>https://www.marklines.com/en/global/2277</t>
    <phoneticPr fontId="1"/>
  </si>
  <si>
    <t>On July 1, multiple sources revealed that in Volkswagen’s Zwickau plant, more than 1,000 temporary jobs could be lost by the end of 2025 due to low demand for EVs. Despite this, VW still employs more people there than when it produced combustion-engine vehicles. A final decision on the contracts will be made in August 2024. Volkswagen had already ceased renewing many fixed-term contracts last year. Post-summer holidays, the plant will shift to a two-shift operation, eliminating night shifts and reducing staff needs. Currently, 9,400 people work there, including temporary staff.</t>
    <phoneticPr fontId="1"/>
  </si>
  <si>
    <t>On July 1, Audi Hungaria announced that its Győr plant is gearing up for the production of the new MEBeco electric drives. Employees will produce the plate pack and rotor, and will also manufacture power electronics in the future. New equipment includes a 110-tonne press and a line transfer unit, has arrived to support the production. Since 2018, Audi Hungaria has produced over 500,000 electric motors. The new MEBeco drives will be used in Volkswagen Group's small electric cars.</t>
    <phoneticPr fontId="1"/>
  </si>
  <si>
    <t>https://www.marklines.com/en/global/3335</t>
    <phoneticPr fontId="1"/>
  </si>
  <si>
    <t>On June 28, FAW Group and the Qingdao Municipal People’s Government held a ceremony in Shandong, Qingdao for the signing of a strategic cooperation agreement and the inauguration of the FAW Jiefang (Qingdao) Commercial Vehicle Development Institute (the Institute). The two parties will further deepen cooperation in areas such as the R&amp;D of key components and intelligent connected vehicles. Located in Laoshan District, the Institute, covering a land area of 102,000 square meters, broke ground on September 30, 2022. With a total investment amount of CNY 1.2 billion. Furthermore, FAW Jiefang unveiled the latest results of its New Energy strategy and the latest hydrogen energy models such as the Sky Link Xingyi hydrogen engine and liquid hydrogen fuel cell tractors.</t>
    <phoneticPr fontId="1"/>
  </si>
  <si>
    <t>On June 28, Leapmotor launched the new C16 mid-to-large-size 6-seater intelligent SUV. The battery electric variants are equipped with an all-domain 800V silicon carbide platform as standard. The variants are powered by a single-speed transmission and a single 215kW/360Nm permanent magnet synchronous motor, with a rear-motor RWD layout, and a power consumption of 14.8kWh/100km. A 67.7kWh lithium-iron phosphate battery completes the powertrain, offering a CLTC range of 520km. Powered by a single-speed transmission, a 1.5L range extender, and a single 170kW/320Nm permanent magnet synchronous motor, the range-extended variants have a rear-motor RWD layout and a CLTC fuel consumption of 5.4L/100km at the lowest charge. A 28.4kWh lithium-iron phosphate battery completes the powertrain, delivering a CLTC electric-mode range of 200km and a CLTC combined range of 1,095km. The C16 comes standard with configurations such as a Qualcomm Snapdragon SA8295P chip.</t>
    <phoneticPr fontId="1"/>
  </si>
  <si>
    <t>https://www.marklines.com/en/global/10395</t>
    <phoneticPr fontId="1"/>
  </si>
  <si>
    <t>On June 26, Great Wall Motors announced that a separate assembly line for the new HAVAL DARGO off-road crossover was launched at the ADM Jizzakh plant in Uzbekistan. This line is a conveyor consisting of 6 assembly sections with dedicated employees. Before the DARGO model, M6, H6, and JOLION were assembled on a common line, which affected the assembly speed. Now, with a separate line, the assembly speed for H6, M6, JOLION, and DARGO will increase significantly.  Individual units and assemblies of HAVAL DARGO are supplied to the multi-brand plant ADM Jizzakh from Great Wall Motor (GWM). Assembled at the ADM Jizzakh plant, the new HAVAL DARGO is available in two trim levels: ELITE and PREMIUM. It has a 4-cylinder turbocharged gasoline engine, mated to a 7-speed robotic gearbox and 4WD all-wheel drive transmission. </t>
    <phoneticPr fontId="1"/>
  </si>
  <si>
    <t>On June 24, Chery CV signed a strategic cooperation agreement with China Logistics Co., Ltd. (China Logistics) in Wuhu, Anhui.</t>
    <phoneticPr fontId="1"/>
  </si>
  <si>
    <t>On July 2, the Government of Navarra announced that Volkswagen Navarra started electrifying its Landaben facilities by extending the 1C Chapistería Building (body shop) by 5,000 square meters to accommodate the new MEB platform for EVs. The upgrade positions the Pamplona plant to produce electric models starting in 2026, transforming it into a factory capable of manufacturing both electric and combustion vehicles for multiple brands.</t>
    <phoneticPr fontId="1"/>
  </si>
  <si>
    <t>On July 1, the UGT union provided updates on the Sagunto Gigafactory project during a press conference at Casa del Pueblo, Spain. Noting that 118 people have been hired to date. Plans are set for the production of the first batteries to begin in 2026, with a substantial increase in hiring anticipated between late 2025 and early 2026.</t>
    <phoneticPr fontId="1"/>
  </si>
  <si>
    <t>Paccar</t>
    <phoneticPr fontId="1"/>
  </si>
  <si>
    <t>On July 1, Amplify Cell Technologies, a joint venture between Accelera by Cummins, the zero-emissions business unit of Cummins Inc., Daimler Trucks &amp; Buses US Holding LLC, and PACCAR announced it recently broke ground at its new battery cell manufacturing plant in Marshall County, Mississippi. The 500-acre site will be home to a two million-square-foot, energy efficient facility with an annual manufacturing capacity of 21-gigawatt hours (GWh) for the production of lithium-ironphosphate (LFP) battery cells. Amplify plans to begin battery cell production in 2027 and is expected to create more than 2,000 U.S. manufacturing jobs.</t>
    <phoneticPr fontId="1"/>
  </si>
  <si>
    <t>On June 27, VW Group, SAIC Motor, Volkswagen (China) Investment Co., Ltd., Volkswagen China Technology Company, and SAIC-VW signed multiple technology cooperation agreements on new SAIC-VW models in Shanghai. The agreements concern technology cooperation on the development of three plug-in hybrid and two battery electric models in China. It is expected that from 2026, a number of co-developed plug-in hybrid and battery electric models will be successively launched on the market. The product layout has been planned beyond 2030.</t>
    <phoneticPr fontId="1"/>
  </si>
  <si>
    <t>According to multiple press releases dated June 26, Hozon New Energy Automobile Co., Ltd. (Hozon Auto), the parent company of Neta Auto, has filed for IPO (initial public offering) with the Hong Kong Exchanges and Clearing Limited (HKEX).</t>
    <phoneticPr fontId="1"/>
  </si>
  <si>
    <t>On July 1, multiple sources reported that the Stellantis Vigo factory once again faced supply challenges which led to the half operations of a production line. Consequently, due to component shortages, all shifts on System 1 which is responsible for assembling the Peugeot 2008 will be halted on July 1-2, 2024. Production is set to resume on July 3, 2024, with the morning shift.</t>
    <phoneticPr fontId="1"/>
  </si>
  <si>
    <t>On July 1, BMW announced that it has rolled off the first fourth-generation BMW 1 Series i.e., BMW 120 in Alpine White from the Leipzig plant in Germany. The model is manufactured at a rate of up to 500 cars per day. Combined with other models, the plant's daily output reaches 1,300 vehicles. The new BMW 1 Series will be available from October 5, 2024. BMW Wackersdorf plant has inaugurated a new production line for instrument panels, focusing on the BMW 1 Series. The highly automated line was made possible with a EUR 10 million investment to improve efficiency compared to previous systems. By reusing 80% of existing equipment, costs were significantly reduced compared to similar projects. After quality checks, instrument panels are dispatched to BMW's Leipzig plant for assembly, incorporating features like the BMW Curved Display. Wackersdorf plant currently supplies panels for BMW 1, 2, 3, and 4 Series, producing up to 2,500 units daily and totaling six million units over the last decade.</t>
    <phoneticPr fontId="1"/>
  </si>
  <si>
    <t>On July 1, BMW announced the start of production for the seventh-generation M5 sedan at its Dingolfing plant. The vehicle features M HYBRID system that combines a V8 engine with an electric drive which delivers output of 727 hp. Key components, including the chassis and high-voltage battery, are produced either on-site or nearby, emphasizing an integrated production approach. The chassis is from Dingolfing plant 02.10, and the high-voltage battery is assembled next door at plant 02.20. The carbon-fiber roof is supplied from a facility in Landshut. Production will ramp up to several dozen M5 vehicles per day, with the European market launch set for November 2, 2024.</t>
    <phoneticPr fontId="1"/>
  </si>
  <si>
    <t>https://www.marklines.com/en/global/2207</t>
    <phoneticPr fontId="1"/>
  </si>
  <si>
    <t>https://www.marklines.com/en/global/10250</t>
    <phoneticPr fontId="1"/>
  </si>
  <si>
    <t>Karnataka</t>
  </si>
  <si>
    <t>On July 1, Mercedes-Benz Research and Development India (MBRDI) signed a five-year Master Research Agreement (MRA) with Birla Institute of Technology and Science (BITS) Pilani for advanced technology research. The collaboration will include joint R&amp;D projects, academic and professional events, and facilitating exchanges of researchers and students. Further, it will enable both parties to share lab facilities, advise research students, obtain co-funding, publish papers, and protect intellectual property. The research areas will encompass software development with a focus on data and AI, electric mobility, and transformative technologies such as generative AI.</t>
    <phoneticPr fontId="1"/>
  </si>
  <si>
    <t>https://www.marklines.com/en/global/3685</t>
    <phoneticPr fontId="1"/>
  </si>
  <si>
    <t>On June 27, MB RUS, which is part of the AVTODOM group, announced that it will start official sales of Forland trucks in Russia in August of this year.  By the end of 2024, the dealer network will expand to 60 dealerships. In Russia, the MB RUS company has become the exclusive distributor of Forland cars. It will present a wide range of trucks with a gross weight of 3.5 to 12 tons with a range of wheelbases from 3000 mm to 5750 mm, both in the design of a truck chassis and with bodies-superstructures. The first to enter the Russian market are the light-duty model Forland 3, medium-tonnage trucks Forland 5 and Forland 8, as well as the flagship Forland 12. </t>
    <phoneticPr fontId="1"/>
  </si>
  <si>
    <t>According to several Korean media outlets, Kia Corporation (Kia) will suspend operations of some engine production lines at its Hwaseong Plant from July 1, 2024, to mid-February 2025, and will conduct line renewal work. During this period, the company will work on trial runs of new equipment and quality assurance, and aims to start mass production of hybrid engines in May next year. The engine to be newly produced is the Thet3 T-GDi (turbocharged, gasoline direct injection). The annual production target is 110,000 units, and if demand increases, the company plansto upgrade other engine production lines at the Hwaseong Plant. The engine will be supplied to Kia’s West Point plant in Georgia, U.S., starting in August 2025, and its first installation is planned in the second-generation Telluride model. The Telluride is currently undergoing model change development, with the gasoline model to be launched in November 2025 and the hybrid model in January 2026.</t>
    <phoneticPr fontId="1"/>
  </si>
  <si>
    <t>Several Korean media outlets reported that Kia Corporation (Kia) will begin construction of a new heavy-duty commercial electric vehicle (EV) PBV (Purpose Built Vehicle) plant at its Hwaseong Plant in South Korea in the first quarter of 2025. This new plant will be the company’s second plant exclusively for PBVs. Construction of the PBV1 plant, which is dedicated to medium-duty PBVs, began in April 2023, with mass production of medium-duty PBVs expected to begin in July 2025. The first mass-produced model will be the PV5. Kia plans to initially produce 150,000 units and will adjust production capacity according to future market demand. Construction of the PBV2 plant, which will be dedicated to heavy-duty PBVs, will begin in the first quarter of 2025. Completion is scheduled for the third quarter of 2026, and mass production of the PV7, which has a spacious interior with up to four-row seating for 11 passengers, is scheduled to begin in 2027. The company's mid- to long-term business strategy focuses on electrification and PBV growth, and it has set annual sales targets of 150,000 units for the PV5 and 100,000 units of the PV7, for a total of 250,000 PBVs by 2030.</t>
    <phoneticPr fontId="1"/>
  </si>
  <si>
    <t>The Japanese Ministry of Land, Infrastructure, Transport, and Tourism (MLIT) announced on June 25 that it has completed verification of the compliance of all vehicle models and engines that were the subject of Daihatsu Motor Co., Ltd. (Daihatsu)'s certification procedural irregularities. As a result, 42 of the 45 vehicle models and all of the four engine models tested to date comply with the standards of the Japanese Road Transport Vehicle Act. The 45 models and four engine models include the Mira Tocot, Boon, and other models, which are no longer in production. The only vehicles that failed to meet the standards were the three Indonesian-made models whose type designations were revoked by MLIT on January 26: the Daihatsu Gran Max, Toyota Motor Corporation’s Town Ace, and Mazda Motor Corporation’s Bongo (all truck types only). As a result of the verification of the three models, MLIT confirmed that they were non-compliant with the standard for prevention of fuel leakage in rear-end collisions as a defect separate from the certification procedural irregularities. The battery fixture could become detached and fail to hold the battery in place. MLIT has instructed Daihatsu to promptly recall the vehicles.   </t>
    <phoneticPr fontId="1"/>
  </si>
  <si>
    <t>Infiniti</t>
    <phoneticPr fontId="1"/>
  </si>
  <si>
    <t>https://www.marklines.com/en/global/10622</t>
    <phoneticPr fontId="1"/>
  </si>
  <si>
    <t>According to multiple press releases dated June 24, Youchuang Battery (Bazhou) Co., Ltd. was recently established in Xinjiang. The new company has a registered capital of CNY 45 million and is jointly owned by companies including UPower Energy Technology (Guangzhou) Co., Ltd. and Inpow Battery Technology Co., Ltd., GAC Group subsidiaries. Its business scope includes manufacturing of batteries; sales of batteries; recycling and cascade utilization of waste New Energy Vehicle (NEV) power storage batteries; and R&amp;D of resource regeneration technology.</t>
    <phoneticPr fontId="1"/>
  </si>
  <si>
    <t>Toyota Motor Corporation (Toyota) has suspended operations of six production lines at five of its plants in Japan from the second shift on Thursday, June 20, due to a shortage of parts. The suspension affects Toyota’s Tahara Plant Production Line #1 (production models: Land Cruiser 250, Lexus GX, and 4Runner); Toyota Auto Body Co., Ltd. (Toyota Auto Body)'s Fujimatsu Plant Production Line #1 (Land Cruiser 70) and Yoshiwara Plant Production Line #1 (Land Cruiser 300 and Lexus LX) and Production Line #2 (Land Cruiser 70); Gifu Auto Body Co., Ltd. (Gifu Auto Body)'s Production Line #2 (Coaster); and Hino Motors, Ltd. (Hino)'s Hamura Plant Production Line #1 (Land Cruiser 250). Of these, the Fujimatsu Plant Production Line #1 and Yoshiwara Plant Production Lines #1 and #2  will resume operations on the second shift Friday, June 21. On Monday, June 24, the Tahara Plant Production Line #1, the Hamura Plant Production Line #1, and Gifu Auto Body Production Line #2  will also resume operations from the first shift. Gifu Auto Body Production Line #2 is operating on a one-shift operation, and no second-shift operation has been scheduled.  </t>
    <phoneticPr fontId="1"/>
  </si>
  <si>
    <t>https://www.marklines.com/en/global/411</t>
    <phoneticPr fontId="1"/>
  </si>
  <si>
    <t>https://www.marklines.com/en/global/417</t>
    <phoneticPr fontId="1"/>
  </si>
  <si>
    <t>Gifu</t>
  </si>
  <si>
    <t>Fiat</t>
    <phoneticPr fontId="1"/>
  </si>
  <si>
    <t>https://www.marklines.com/en/global/10285</t>
    <phoneticPr fontId="1"/>
  </si>
  <si>
    <t>Italy</t>
    <phoneticPr fontId="1"/>
  </si>
  <si>
    <t>On July 11, Fiat unveiled Grande Panda during the 125th year of anniversary celebration in Turin, Italy. Grande Panda is a compact B-segment vehicle designed at the FIAT Centro Stile in Turin. It features a versatile multi-energy platform suitable worldwide and allows customers to choose their preferred powertrain. The vehicle is available in electric and hybrid variants and comes with a 44 kWh battery and 83 kW e-motor, providing over 320 km of range.</t>
    <phoneticPr fontId="1"/>
  </si>
  <si>
    <t>https://www.marklines.com/en/global/1327</t>
    <phoneticPr fontId="1"/>
  </si>
  <si>
    <t>https://www.marklines.com/en/global/2211</t>
    <phoneticPr fontId="1"/>
  </si>
  <si>
    <t>On July 11, BMW announced that its Landshut plant has released its 2023 environmental statement, highlighting substantial efforts in environmental and climate protection. In 2023, the plant reduced its energy consumption by around 10% through targeted optimizations and investments in energy-efficient technologies. Water consumption targets were also significantly exceeded. The light metal foundry also notably reduced natural gas consumption and carbon emissions significantly. Process chain optimizations lowered the aluminum melting and holding temperatures from 830°C to 810°C, saving substantial energy.</t>
    <phoneticPr fontId="1"/>
  </si>
  <si>
    <t>Peugeot</t>
    <phoneticPr fontId="1"/>
  </si>
  <si>
    <t>https://www.marklines.com/en/global/2797</t>
    <phoneticPr fontId="1"/>
  </si>
  <si>
    <t>On July 11, Peugeot announced the specifications of the electric version of the Peugeot 2008 that will be manufactured at the El Palomar plant, in Argentina. The vehicle has a 158 CV engine powered by a 54-kWh battery that offers a range of up to 261 km and can be recharged to 80% in 30 minutes if connected to a 100-kW fast charging station. Its transmission is e-Toggle. In terms of safety, the vehicle has brakes with ABS and electronic brake distribution, ISOFIX system to secure child seats, six airbags, Peugeot Driver Assist, among other systems.</t>
    <phoneticPr fontId="1"/>
  </si>
  <si>
    <t>GM</t>
    <phoneticPr fontId="1"/>
  </si>
  <si>
    <t>https://www.marklines.com/en/global/2475</t>
    <phoneticPr fontId="1"/>
  </si>
  <si>
    <t>On July 11, General Motors announced, that with a USD 500 million grant from the U.S. Department of Energy (DOE) and its own investment, it will prepare its Lansing Grand River plant for electrification. The Lansing Grand River plant will continue to produce the Cadillac CT4 and CT5 (including V-Series) while awaiting announcement of future products, volumes, and timing.</t>
    <phoneticPr fontId="1"/>
  </si>
  <si>
    <t>Volkswagen</t>
    <phoneticPr fontId="1"/>
  </si>
  <si>
    <t>https://www.marklines.com/en/global/911</t>
    <phoneticPr fontId="1"/>
  </si>
  <si>
    <t>Mexico</t>
    <phoneticPr fontId="1"/>
  </si>
  <si>
    <t>On July 10 it was announced that VW began production of the new Jetta at the Puebla, Mexico plant, after the three-week halt announced in June. The first units have already left the production line of segment 1 of the Puebla plant. Two of the engines used in the vehicle are manufactured at the engine plant located in Silao, Guanajuato. The marketing of this vehicle will focus first on the Mexican market and will later expand to the rest of North America. This is the most produced model at the Puebla plant, with more than 6 million units manufactured in total.</t>
    <phoneticPr fontId="1"/>
  </si>
  <si>
    <t>https://www.marklines.com/en/global/2837</t>
    <phoneticPr fontId="1"/>
  </si>
  <si>
    <t>Brazil</t>
    <phoneticPr fontId="1"/>
  </si>
  <si>
    <t>On July 10, BYD launched its Song Pro model in Brazil, at the same time announcing that this will be the first BYD vehicle to be produced in Brazil at the Camaçari plant. It is expected that the vehicle will begin to be assembled at the end of this year with imported parts and that in 2025 fully national manufacturing will begin at the Camaçari plant. In addition to the Song Pro, the plant will produce the Dolphin, Yuan Plus and Song Plus models.</t>
    <phoneticPr fontId="1"/>
  </si>
  <si>
    <t>https://www.marklines.com/en/global/705</t>
    <phoneticPr fontId="1"/>
  </si>
  <si>
    <t>Russia</t>
    <phoneticPr fontId="1"/>
  </si>
  <si>
    <t>On July 9, multiple sources reported that Russian Industry and Trade Minister Anton Alikhanov stated that the former General Motors (GM) plant in St. Petersburg will start assembling cars again by 2026. The production in this plan was suspended in 2015. It was acquired by Hyundai Motor in 2020. Later, Art-Finance LLC, the parent company of Russia's AGR Automotive Group acquired this plant in 2024. AGR is currently in the process of developing an investment program to restart this plant and discussing cooperation with a technology partner.</t>
    <phoneticPr fontId="1"/>
  </si>
  <si>
    <t>https://www.marklines.com/en/global/3341</t>
    <phoneticPr fontId="1"/>
  </si>
  <si>
    <t>On July 9, FAW-VW launched the next-generation Magotan mid-to-high-end sedan. Based on the MQB-B platform. The lowest-spec variant is powered by a 118kW/250Nm 1.5L turbocharged engine and a 7-speed direct-shift gearbox (DSG), delivering a WLTC fuel consumption of 5.8L/100km. The other two variants are powered by a 162kW/350Nm 2.0L turbocharged engine and a 7-speed wet DSG, delivering respective WLTC fuel consumption of 6.66L/100km and 6.71L/100km. All variants have an FWD layout and a top speed of 210km/h.</t>
    <phoneticPr fontId="1"/>
  </si>
  <si>
    <t>On July 9, SAIC Motor and the Purple Mountain Laboratories (PML) signed a strategic cooperation agreement for: 1. The co-development of the industry’s first “ESS (Endogenous Safety and Security, a cyber mimic defense technology) vehicle”, an SAIC Motor Level 3 autonomous vehicle, to make ESS a key innovative technology supporting the seven SAIC Motor base technologies. 2. The establishment of component information security detection platform and system to support the security and quality management of information from the component supply chain. Etc.</t>
    <phoneticPr fontId="1"/>
  </si>
  <si>
    <t>https://www.marklines.com/en/global/2541</t>
    <phoneticPr fontId="1"/>
  </si>
  <si>
    <t>Canada</t>
    <phoneticPr fontId="1"/>
  </si>
  <si>
    <t>The 2025 BrightDrop Zevo 400 and 2025 BrightDrop Zevo 600 electric commercial vans are currently scheduled to start regular production on August 21 at the GM CAMI Assembly plant in Ontario, Canada.. The 2025 BrightDrop Zevo will introduce the front-wheel drive variant for both 400 and 600 configurations that was originally supposed to launch for the 2024 model year, which had offered all-wheel drive (AWD) only. </t>
    <phoneticPr fontId="1"/>
  </si>
  <si>
    <t>Volvo</t>
    <phoneticPr fontId="1"/>
  </si>
  <si>
    <t>https://www.marklines.com/en/global/10691</t>
    <phoneticPr fontId="1"/>
  </si>
  <si>
    <t>Sweden</t>
    <phoneticPr fontId="1"/>
  </si>
  <si>
    <t>On July 10, Mariestad Municipality announced that Volvo Battery Mariestad gained access to the property at Korstorp, to build a battery cell factory for heavy vehicles. The company will be paying SEK 243 million for the area. With the accession, Volvo will now apply for an environmental permit to the Land and Environmental Court after the summer of 2024. In 2022, the Volvo Group announced its plans to establish a significant battery cell production facility in Sweden. The plant is expected to create job opportunities for approximately 3,000 people once it commences series production</t>
    <phoneticPr fontId="1"/>
  </si>
  <si>
    <t>https://www.marklines.com/en/global/8784</t>
    <phoneticPr fontId="1"/>
  </si>
  <si>
    <t>Gujarat</t>
  </si>
  <si>
    <t>On July 11, Triton EV launched its made-in-India hydrogen internal combustion engine. The EV's hydrogen engine only produces zero carbon emissions and only produces water vapor as a byproduct of combustion. It follows an advanced combustion process optimized for hydrogen, which ensures complete fuel utilization and minimizes energy losses. The engine can integrated into almost all vehicle categories, from compact cars to large commercial trucks.</t>
    <phoneticPr fontId="1"/>
  </si>
  <si>
    <t>https://www.marklines.com/en/global/1514</t>
    <phoneticPr fontId="1"/>
  </si>
  <si>
    <t>Belgium</t>
    <phoneticPr fontId="1"/>
  </si>
  <si>
    <t>On July 10, ABVV-Metaal union announced that Audi plans to cease the production of Audi Q8 e-tron at its Brussels plant by the end of 2025 due to sharply declining demand at a special works council. The company is considering a complete termination of activities in Brussels if no alternatives for the Q8 e-tron model are found. During the special works council on July 9, 2024, unions learned that the company plans to halt Q8 e-tron production in 2025 instead of 2027 which potentially leads to layoffs affecting 1,410 employees by October 2024 and an additional 600 by early 2025. Currently, Audi Brussels employs 3,000 people. Previously, the production of the model was planned to transfer to China and Mexico after 2027. However, plans to manufacture the Q4 in Brussels were scrapped in October 2023. The restructuring announcement has significantly impacted the local metal industry, raising concerns about potential factory closure. Employees were placed on economic unemployment ahead of the scheduled summer vacation, and recently finished cars were quickly removed from the Audi Brussels parking lot.</t>
    <phoneticPr fontId="1"/>
  </si>
  <si>
    <t>Aion</t>
    <phoneticPr fontId="1"/>
  </si>
  <si>
    <t>https://www.marklines.com/en/global/10787</t>
    <phoneticPr fontId="1"/>
  </si>
  <si>
    <t>Reported on July 10, GAC AION New Energy Automobile is scheduled to open its manufacturing plant in Rayong, Thailand on July 17. Situated in the Eastern Economic Corridor (EEC) area, this THB 2.3 billion facility with the planned capacity of 50,000 units per year will officially start operating by November.</t>
    <phoneticPr fontId="1"/>
  </si>
  <si>
    <t>On July 10, Stellantis announced the beginning of production of the Peugeot 2008 model at its El Palomar plant, in Argentina. This is the first Stellantis SUV produced in Argentina, and it is possible thanks to an investment of USD 270 million and more than 400 technicians working on it. The vehicle has some modifications for adapting to the region, compared to the European version, that were possible thanks to some changes made in the plant for starting the vehicle's production. In the stamping area, the development of new matrices was necessary. In the painting area they introduced new technologies for a new color, while in the assembly area they incorporated a new glass roof opening mechanism for the vehicle. In general, the vehicle has 40% of pieces from national suppliers.</t>
    <phoneticPr fontId="1"/>
  </si>
  <si>
    <t>https://www.marklines.com/en/global/2143</t>
    <phoneticPr fontId="1"/>
  </si>
  <si>
    <t>On July 10, Ford presented the fully electric Ford Capri as the second model of the new generation of EVs. Ford Capri is coming off the production line at the ultra-modern Cologne Electric Vehicle Center, in Germany. It is an SUV coupé available in RWD and AWD versions. The vehicle is offered from EUR 51,950 that varies according to the version and trim level.</t>
    <phoneticPr fontId="1"/>
  </si>
  <si>
    <t>https://www.marklines.com/en/global/3233</t>
    <phoneticPr fontId="1"/>
  </si>
  <si>
    <t>Kentucky</t>
  </si>
  <si>
    <t>On July 10, Toyota Motor North America announced that it has joined seven other OEMs as an investor in IONNA’s high-powered charging network for BEVs across North America. Toyota currently offers the Toyota bZ4X and the Lexus RZ, and recently announced plans for two all-new three-row BEV SUVs that will be assembled at Toyota Motor Manufacturing Kentucky (TMMK) and Toyota Motor Manufacturing Indiana (TMMI). </t>
    <phoneticPr fontId="1"/>
  </si>
  <si>
    <t>https://www.marklines.com/en/global/3237</t>
    <phoneticPr fontId="1"/>
  </si>
  <si>
    <t>Indiana</t>
  </si>
  <si>
    <t>Sollers</t>
    <phoneticPr fontId="1"/>
  </si>
  <si>
    <t>https://www.marklines.com/en/global/10633</t>
    <phoneticPr fontId="1"/>
  </si>
  <si>
    <t>On July 9, multiple sources reported that Sollers will restart production of commercial vehicles at the former Isuzu plant in the last quarter of 2024.  Sollers will take the vehicle platform with an Asian partner.  The vehicle's specifications will be like Isuzu Trucks. The truck line will be represented by five or six models Sollers bought Isuzu's Russian assets at the end of 2023. </t>
    <phoneticPr fontId="1"/>
  </si>
  <si>
    <t>https://www.marklines.com/en/global/2007</t>
    <phoneticPr fontId="1"/>
  </si>
  <si>
    <t>Ayutthaya</t>
  </si>
  <si>
    <t>On July 8, Honda Automobile (Thailand) Co., Ltd. announced a plan to restructure its vehicle production lines in Thailand. Its Prachinburi plant will be developed into a production hub and export base for CBU vehicles, utilizing production lines that integrate eco-friendly technologies and the ability to support businesses. Meanwhile, its Ayutthaya plant will stop producing cars. Instead, this plant will be developed into a production and export hub for auto parts, leveraging the synergy of Honda’s production technology and supply chains, developed and accumulated over many years. This adjustment aligns with Honda’s aim of improving the capability of producing finished vehicles and accelerating the transition to xEV.</t>
    <phoneticPr fontId="1"/>
  </si>
  <si>
    <t>https://www.marklines.com/en/global/2009</t>
    <phoneticPr fontId="1"/>
  </si>
  <si>
    <t>Prachinburi</t>
  </si>
  <si>
    <t>https://www.marklines.com/en/global/2003</t>
    <phoneticPr fontId="1"/>
  </si>
  <si>
    <t>https://www.marklines.com/en/global/4125</t>
    <phoneticPr fontId="1"/>
  </si>
  <si>
    <t>According to multiple press releases dated July 8, BYD signed a project for the third phase of the Shenzhen-Shanwei BYD Automobile Industrial Park with the Shenzhen-Shanwei Special Cooperation Zone. With a total investment amount of CNY 6.5 billion, the project is slated for the construction of battery pack production lines and a core New Energy Vehicle (NEV) component plant.</t>
    <phoneticPr fontId="1"/>
  </si>
  <si>
    <t>Lucid Motors</t>
    <phoneticPr fontId="1"/>
  </si>
  <si>
    <t>https://www.marklines.com/en/global/9873</t>
    <phoneticPr fontId="1"/>
  </si>
  <si>
    <t>On July 8, the U.S. National Highway Transportation Safety Administration (NHTSA) announced two recalls for Lucid Air sedans, built in Casa Grande, Arizona. NHTSA issued a recall for 5,251 2022-2023 Lucid Air sedans due to the possibility of intermittent hardware connection that may lead to loss of drive power. Another recall that affects 7,506 2022-2024 Air vehicles identifies the failure of a high voltage coolant heater (HVCH) supplied by Webasto Thermo &amp; Comfort SE in Gilching, Germany. To remedy the defects, Lucid said all owners need to do is update the software.</t>
    <phoneticPr fontId="1"/>
  </si>
  <si>
    <t>https://www.marklines.com/en/global/2229</t>
    <phoneticPr fontId="1"/>
  </si>
  <si>
    <t>On July 5, Daimler Truck announced that it has opened a technology center at its Gaggenau site to develop and produce electric motors for commercial vehicles. The center is equipped with advanced machinery that focuses on creating and testing innovative technologies and production processes for "truck-e-fied" electric motors. The centre collaborates with Gehring Technologies GmbH to innovate and test new production processes, including efficient hairpin winding technology for motor coil production. The site has 20 employees in 900 square meters, including offices, meeting rooms, and a clean room for precision measurements. The workforce is divided into two teams: one focusing on electric motor construction and the other on component research and charging concepts.</t>
    <phoneticPr fontId="1"/>
  </si>
  <si>
    <t>https://www.marklines.com/en/global/3429</t>
    <phoneticPr fontId="1"/>
  </si>
  <si>
    <t>On July 5, Auman, a Foton Motor sub-brand, held a launch in Beijing. At the event, two next-generation energy-saving hybrid heavy-duty trucks were launched. Both models are equipped with the FHS (Foton Hybrid System), delivering a power of 730ps and a torque of 3,900Nm. Compared with conventional ICE trucks, the fuel consumption 10% lower. In the future, Foton Motor will actively promote the iteration of hybrid models.</t>
    <phoneticPr fontId="1"/>
  </si>
  <si>
    <t>On July 5, GAC Group signed a strategic cooperation agreement with EHang Intelligent Equipment (Guangzhou) Co., Ltd. (EHang). The two parties will establish a joint venture (JV) for the manufacturing, promotion, and application of unmanned passenger-carrying aircraft.</t>
    <phoneticPr fontId="1"/>
  </si>
  <si>
    <t>Galaxy</t>
    <phoneticPr fontId="1"/>
  </si>
  <si>
    <t>https://www.marklines.com/en/global/9839</t>
    <phoneticPr fontId="1"/>
  </si>
  <si>
    <t>Guizhou</t>
  </si>
  <si>
    <t>On July 5, Galaxy, a Geely sub-brand, started accepting pre-orders for the new E5 compact battery electric SUV. The Galaxy E5 is based on the GEA global intelligent New Energy architecture. It employs CTB (Cell to Body) technology, an 11-in-1 intelligent electric drive, and an Aegis short-blade battery, delivering a maximum total motor power of 160kW, a peak total motor torque of 320Nm, and a top speed of 180km/h. 49.52kWh and 60.22kWh batteries complete the powertrains of the 440km- and 530km-range variants, with a power consumption of 11.9kWh/100km and 12.1kWh/100km, respectively.</t>
    <phoneticPr fontId="1"/>
  </si>
  <si>
    <t>Changan/Chana</t>
    <phoneticPr fontId="1"/>
  </si>
  <si>
    <t>https://www.marklines.com/en/global/3449</t>
    <phoneticPr fontId="1"/>
  </si>
  <si>
    <t>On July 5, Changan Auto signed a brand business cooperation framework agreement with Chongqing Broadcasting Group (CBG) at its global R&amp;D center. The two parties will facilitate cooperation in areas such as corporate brand promotion, content innovation, and public relations dissemination and linkage.</t>
    <phoneticPr fontId="1"/>
  </si>
  <si>
    <t>Dongfeng</t>
    <phoneticPr fontId="1"/>
  </si>
  <si>
    <t>https://www.marklines.com/en/global/4133</t>
    <phoneticPr fontId="1"/>
  </si>
  <si>
    <t>On July 5, Dongfeng Motor Corporation (DFMC) launched the Yuechuang Project for automotive components and established an automotive component business division, aiming to cultivate a first-class automotive component company with core competitiveness. The automotive component business division manages Zhixin Technology Co., Ltd., Dongfeng Hongtai Holdings Group Co., Ltd., Dongfeng Electronic Technology Co., Ltd., and Dongfeng Honda Auto Parts Co., Ltd. It will coordinate the reorganization of DFMC automotive component operations, promote the transformation and development of DFMC automotive component operations, revitalize automotive component operations at the DFMC Shiyan Site. By implementing the Yuechuang Project, DFMC will increase investment in areas of components such as batteries, motors, and electronic controllers to inject strong momentum into its transformation and development.</t>
    <phoneticPr fontId="1"/>
  </si>
  <si>
    <t>https://www.marklines.com/en/global/10679</t>
    <phoneticPr fontId="1"/>
  </si>
  <si>
    <t>Hubei</t>
  </si>
  <si>
    <t>https://www.marklines.com/en/global/3971</t>
    <phoneticPr fontId="1"/>
  </si>
  <si>
    <t>https://www.marklines.com/en/global/10409</t>
    <phoneticPr fontId="1"/>
  </si>
  <si>
    <t>On July 4, Sollers Group announced that it is equipped Sollers Argo light-duty truck with a local gearbox. The units are manufactured at the new SOLLERS Transmission Production plant within the Zavolzhsky Motor Plant industrial park. The localized six-speed manual gearbox is installed on vehicles with a two-liter 130 hp diesel engine, which is also manufactured in Russia at its engine plant in Yelabuga. A new production line was launched at the Zavolzhye site to produce gearboxes for Sollers vehicles. The assembly line is controlled by software developed entirely in Russia and has a capacity of 50,000 units per year.  </t>
    <phoneticPr fontId="1"/>
  </si>
  <si>
    <t>https://www.marklines.com/en/global/687</t>
    <phoneticPr fontId="1"/>
  </si>
  <si>
    <t>https://www.marklines.com/en/global/799</t>
    <phoneticPr fontId="1"/>
  </si>
  <si>
    <t>Ashok Leyland</t>
    <phoneticPr fontId="1"/>
  </si>
  <si>
    <t>Switch Mobility</t>
    <phoneticPr fontId="1"/>
  </si>
  <si>
    <t>https://www.marklines.com/en/global/1103</t>
    <phoneticPr fontId="1"/>
  </si>
  <si>
    <t>On July 10, Switch Mobility rolled out the IeV3 electric LCV from the production line at its Hosur plant. leV3 comes with a 25.6 kWh LFP battery and can produce a peak power of 40 kW and a peak torque of 190 nm. It offers a payload capacity of 1200 (FSD) and has a range of 120 km. It can be charged in 6 hours (approx) via 15A (3.3 kW charger) and in 60 mins with a 30-kW charger.</t>
    <phoneticPr fontId="1"/>
  </si>
  <si>
    <t>On July 9, Sollers presented the all-wheel drive Sollers ST8 pickup truck at the INNOPROM exhibition. The start of Sollers ST8 sales is scheduled for the first quarter of 2025. The pilot batch of pickups will be produced by the end of 2024. It will be produced in Ulyanovsk Automobile Plant using full-cycle technology. It will receive a power unit completely localized in Russia. The car will be equipped with a diesel engine and a six-speed gearbox, which are already produced at the SOLLERS group plants in Yelabuga and Zavolzhye with a high level of localization of all basic parts.</t>
    <phoneticPr fontId="1"/>
  </si>
  <si>
    <t>https://www.marklines.com/en/global/9216</t>
    <phoneticPr fontId="1"/>
  </si>
  <si>
    <t>Poland</t>
    <phoneticPr fontId="1"/>
  </si>
  <si>
    <t>On July 9, Volkswagen Poznań announced that its factories will now use 100% renewable electricity. In 2022, the Września plant began constructing a photovoltaic farm. The first stage, covering 4 ha with a 2 MW capacity was completed and launched in spring 2023. Recently, the second stage was completed by expanding the installation to 22 ha with nearly 25,000 photovoltaic panels generating 15.2 MW. This makes the Września plant fully self-sufficient in optimal sunlight conditions. Future plans include an additional 3 MW ground installation and a 6.5 MW roof installation.</t>
    <phoneticPr fontId="1"/>
  </si>
  <si>
    <t>On July 9, Audi announced it is considering ending production of its Q8 e-tron and Q8 Sportback e-tron models at the Brussels plant earlier than planned, due to a decline in demand for luxury electric vehicles. This decision is compounded by existing issues at the plant, such as facility layout and high logistics costs, which increase manufacturing expenses. As a result, the Audi Brussels Board of Directors is seeking to restructure the plant, initiating information and consultation processes in accordance with Belgian law. If no alternatives are found, some plant activities may need to close. "The announcement of the intention does not mean that a decision has been made. Nevertheless, this news has been felt very profoundly by the employees in Brussels and by me too" commented Volker Germann, CEO of Audi Brussels.</t>
    <phoneticPr fontId="1"/>
  </si>
  <si>
    <t>https://www.marklines.com/en/global/9563</t>
    <phoneticPr fontId="1"/>
  </si>
  <si>
    <t>Alabama</t>
  </si>
  <si>
    <t>On July 9, Mazda North American Operations (MNAO) announced pricing for the 2025 Mazda CX-50, and the availability of a CX-50 Hybrid version. Built at Mazda Toyota Manufacturing, USA, Inc. (MTMUS) in Huntsville, Alabama, 2025 CX-50 models will begin arriving in dealership in August, with CX-50 Hybrid models arriving in late 2024. The CX-50 Hybrid platform is designed around the Toyota Hybrid System (THS), a powertrain package that is comprised of a 2.5-liter naturally-aspirated four-cylinder engine, hybrid EV battery, three electric motors, Electronically-controlled Continuously Variable Transmission (eCVT), and standard Electric AWD (eAWD).</t>
    <phoneticPr fontId="1"/>
  </si>
  <si>
    <t>https://www.marklines.com/en/global/10759</t>
    <phoneticPr fontId="1"/>
  </si>
  <si>
    <t>On July 9, the Michigan Economic Development Corp. (MEDC) reduced incentives to Ford Motor Co. after slower-than-expected EV sales resulted in the OEM pulling back on plans at its BlueOval Battery Park Michigan were reduced from 35 GWh to 20 GWh. Construction of BlueOval Battery Park Michigan is approximately 20% complete. The main facility will be nearly 1.8 million square feet, comprising a cell plant and a pack plant. Additional support buildings will bring the total operation to approximately 2 million square feet. The plant is now expected to create 1,700 jobs, down from 2,500 jobs.</t>
    <phoneticPr fontId="1"/>
  </si>
  <si>
    <t>Suzuki</t>
    <phoneticPr fontId="1"/>
  </si>
  <si>
    <t>https://www.marklines.com/en/global/1256</t>
    <phoneticPr fontId="1"/>
  </si>
  <si>
    <t>On July 8, Maruti Suzuki India Limited (MSIL) surpassed a landmark of 2 million cumulative vehicle dispatches using railways. Through logistics, it has achieved a cumulative reduction of ~10,000 metric tonnes of CO2 emissions and ~270 million liters of cumulative fuel savings. MSIL will reach 4 million units of production capacity by FY 2030-31, and it plans to augment the use of railways in vehicle dispatches, by close to 35% over the next 7-8 years. In early 2024, India’s first automobile in-plant railway siding was inaugurated at the Gujarat facility. MSIL’s next in-plant railway siding is in progress at the Manesar facility and will be operational soon.</t>
    <phoneticPr fontId="1"/>
  </si>
  <si>
    <t>https://www.marklines.com/en/global/1251</t>
    <phoneticPr fontId="1"/>
  </si>
  <si>
    <t>Delhi</t>
  </si>
  <si>
    <t>https://www.marklines.com/en/global/1255</t>
    <phoneticPr fontId="1"/>
  </si>
  <si>
    <t>Haryana</t>
  </si>
  <si>
    <t>https://www.marklines.com/en/global/1253</t>
    <phoneticPr fontId="1"/>
  </si>
  <si>
    <t>Volvo Cars</t>
    <phoneticPr fontId="1"/>
  </si>
  <si>
    <t>https://www.marklines.com/en/global/9324</t>
    <phoneticPr fontId="1"/>
  </si>
  <si>
    <t>South Carolina</t>
  </si>
  <si>
    <t>Production of the 2025 Volvo EX90 electric SUV started in early June in Ridgeville, South Carolina, but Volvo recently sent an email to customers saying EX90 vehicles will initially lack some safety and functionality features, which will be added later with future over-the-air updates, as will the requirement to use battery power to run the core computer. The two-row Polestar 3, which shares the same platform and is slated to start production alongside the three-row EX90 at the Ridgeville plant in August, is being affected by the same software-related delay and is not yet clear if the Polestar also will ship with missing features.</t>
    <phoneticPr fontId="1"/>
  </si>
  <si>
    <t>Mack Trucks</t>
    <phoneticPr fontId="1"/>
  </si>
  <si>
    <t>https://www.marklines.com/en/global/10303</t>
    <phoneticPr fontId="1"/>
  </si>
  <si>
    <t>Virginia</t>
  </si>
  <si>
    <t>On June 27, Mack Trucks announced that PITT OHIO recently ordered four Mack MD Electric models for regional deliveries in both Harrisburg and Pittsburgh, Pennsylvania. Developed specifically for medium-duty applications, the Mack MD Electric is produced at the Mack Roanoke Valley Operations (RVO) facility in Salem, Virginia, and can be configured as a Class 6 or Class 7 vehicle.</t>
    <phoneticPr fontId="1"/>
  </si>
  <si>
    <t>https://www.marklines.com/en/global/1375</t>
    <phoneticPr fontId="1"/>
  </si>
  <si>
    <t>On July 8, the Italian Metalworkers Federation (FIM-CISL) announced that the production at Stellantis' Atessa plant reached 117,000 units in H1 2024. The plant operated on 15 shifts without material shortages. However, in June, 400-600 workers were placed on temporary layoffs due to a decline in camper market orders, reducing daily camper cabin production from 400 to 100. On starting July 2024, saw further declines, with Van production drops leading to two-shift operations. The new paint shop upgrade, which eliminates solvents and reduces environmental impact, is complete. </t>
    <phoneticPr fontId="1"/>
  </si>
  <si>
    <t>https://www.marklines.com/en/global/1325</t>
    <phoneticPr fontId="1"/>
  </si>
  <si>
    <t>On July 8, the Italian Metalworkers Federation (FIM-CISL) announced that the production at Stellantis' Melfi plant produced 47,020 units i.e., drop of 57.6% YoY in H1 2024 against 110,820 units in H1 2023. Production is split among the Fiat 500X (39%), Jeep Renegade (27%), and Jeep Compass (34%). The plant experienced 65 collective production stoppages (28 in Q1, 37 in Q2). CDS usage affected 23% of workers in Q1 (1,282 daily) and 40% in Q2 (1,500 daily). Shifts were reduced from 17 to 15 in mid-May 2023, with the plant now operating on two shifts. The plant is now transitioning to five new multi-brand models on the BEV STLA Medium platform (four new models will be fully electric, with hybrid options, and one will be hybrid only). In July 2024, production will stop for five days in the second week. The estimated annual production of these five models is around 260,000 cars, expected to fully utilize the plant's capacity. Currently, about 3,000 workers are employed in related industries.</t>
    <phoneticPr fontId="1"/>
  </si>
  <si>
    <t>https://www.marklines.com/en/global/1323</t>
    <phoneticPr fontId="1"/>
  </si>
  <si>
    <t>On July 8, the Italian Metalworkers Federation (FIM-CISL) announced that the production at Stellantis' Cassino plant fell 38.7% YoY to 15,900 units in H1 2024, compared to 25,940 units in H1 2023. The plant shifted to a single shift from double shifts last year, impacting employment, which stands at 2,700. There were 20 collective stoppages, with an average of 600 workers affected daily, and 60 workers on temporary transfer. Current production comprises 20% Alfa Romeo Giulia, 54% Alfa Romeo Stelvio, and 26% Maserati Grecale, including its electric version.</t>
    <phoneticPr fontId="1"/>
  </si>
  <si>
    <t>https://www.marklines.com/en/global/1329</t>
    <phoneticPr fontId="1"/>
  </si>
  <si>
    <t>On July 8, the Italian Metalworkers Federation (FIM-CISL) announced that the production at Stellantis' Pomigliano plant is the only assembly plant with growth of 3.5% YoY to 103,920 units in H1 2024 against 100,420 units in H1 2023. However, production dropped to a single shift in March 2024, with 13 days of stoppage. Due to volume concerns, the plant will close from July 15 to August 19, 2024, using 2 weeks of Cassa Integrazione and 3 weeks of holidays.</t>
    <phoneticPr fontId="1"/>
  </si>
  <si>
    <t>https://www.marklines.com/en/global/1361</t>
    <phoneticPr fontId="1"/>
  </si>
  <si>
    <t>On July 8, the Italian Metalworkers Federation (FIM-CISL) announced that the production at Stellantis' Modena plant dropped significantly by 73.3% YoY to 160 units in H1 2024, from 600 units in 2023, with low volumes expected for the entire year. The full-electric Folgore platform for the MC20 and MC20 Cielo is planned for early 2025, with no significant volume changes anticipated until then.</t>
    <phoneticPr fontId="1"/>
  </si>
  <si>
    <t>On July 8, the Italian Metalworkers Federation (FIM-CISL) announced that the production at Stellantis' Turin plant production fell 63.4% YoY to 19,510 units in H1 2024, against 53,330 in H1 2023. The 500 BEV represented 90% of output (17,660 units), with Maserati at 1,850 units. Production of the 500 BEV dropped by nearly two-thirds compared to 46,930 units in H1 2023, leading to a single-shift production line and 45 days of stoppages. Maserati's line faced 65 days of stoppage and will use a Solidarity Contract for 968 workers from April to December 2024. The launch of the future Maserati luxury sedan Quattroporte EV at Mirafiori has been delayed to 2028, and the new SUV Levante Folgore on the Large E-UV Bev platform to 2027, with no assigned plant. Starting early 2024, the Fiat 500e from Mirafiori will be exported to the US.</t>
    <phoneticPr fontId="1"/>
  </si>
  <si>
    <t>On July 8, ADM Jizzakh announced that it had assembled 1,000 Kia Sonet cars in Uzbekistan. Production volumes are increasing from month to month, and it is planned that by the end of September Sonet will cross another record of 10,000 cars. ADM Jizzakh is equipped with modern equipment, which allows it to produce high-quality cars that meet world standards. </t>
    <phoneticPr fontId="1"/>
  </si>
  <si>
    <t>https://www.marklines.com/en/global/817</t>
    <phoneticPr fontId="1"/>
  </si>
  <si>
    <t>On July 8, multiple sources reported that the Russian Minister of Industry and Trade stated that AGR Automotive Group (AGR) has launched serial car production at Volkswagen's former Russian automobile plant in Kaluga, following negotiations with a new partner.  However, he didn’t confirm the models. </t>
    <phoneticPr fontId="1"/>
  </si>
  <si>
    <t>https://www.marklines.com/en/global/10478</t>
    <phoneticPr fontId="1"/>
  </si>
  <si>
    <t>On July 8, Valladolid City Council received a letter from Switch Mobility, a subsidiary of Ashok Leyland that it is suspending and postponing its decisions related to its Valladolid project until 2026. The company decided to postpone its plans due to uncertainties in the electric vehicle (EV) market. It will reassess the prospects for future growth in the EV sector before moving forward.</t>
    <phoneticPr fontId="1"/>
  </si>
  <si>
    <t>On July 8, Lucid Group, Inc. announced that it produced 2,110 vehicles at its plant in Casa Grande, Arizona and delivered 2,394 of those vehicles during the second quarter. Lucid will issue an earnings release for Q2 2024 financial results on August 5. </t>
    <phoneticPr fontId="1"/>
  </si>
  <si>
    <t>https://www.marklines.com/en/global/4512</t>
    <phoneticPr fontId="1"/>
  </si>
  <si>
    <t>Nevada</t>
  </si>
  <si>
    <t>Tesla is preparing to start construction on its upcoming high-volume Semi-dedicated plant on the grounds of Gigafactory Nevada, as suggested by social media posts indicating huge steel deliveries recently arriving to the site. Tesla started breaking ground on expansions to Gigafactory Nevada in January, setting the stage for increased production of both the Semi and 4680 battery cells. Semi prototypes and initial production has taken place in a small section of Gigafactory Nevada. Senior Manager of the Semi Program Dan Priestley noted that the company is aiming to begin Semi production on the new line in late 2025, with deliveries starting in 2026.</t>
    <phoneticPr fontId="1"/>
  </si>
  <si>
    <t>https://www.marklines.com/en/global/9485</t>
    <phoneticPr fontId="1"/>
  </si>
  <si>
    <t>On July 4, the Guangzhou Development District (GDD) signed an investment cooperation agreement on a flying car project with XPeng AeroHT to promote the R&amp;D, mass production, and application of flying cars by vigorously supporting the company in areas such as land utilization, financing, and application scenarios. XPeng AeroHT will build flying car R&amp;D, intelligent manufacturing, and sales centers in the GDD for testing, manufacturing, sales, and operation of such cars. Serving as the world’s first flying car mass production plant with modern assembly lines, the intelligent manufacturing center will manufacture the flight body for the Land Aircraft Carrier modular flying car first.</t>
    <phoneticPr fontId="1"/>
  </si>
  <si>
    <t>Skywell</t>
    <phoneticPr fontId="1"/>
  </si>
  <si>
    <t>https://www.marklines.com/en/global/3749</t>
    <phoneticPr fontId="1"/>
  </si>
  <si>
    <t>Jiangsu</t>
  </si>
  <si>
    <t>On June 28, Skywell Group signed a strategic cooperation agreement with Turkish local companies ALDO and KAYALAR GROUP, jointly carrying out projects such as SKD cooperation for new energy-heavy trucks, micro pure electric SUVs, standardized operation projects for integrated charging and swapping of electric heavy trucks, and comprehensive electrification of urban distribution logistics in Turkey. </t>
    <phoneticPr fontId="1"/>
  </si>
  <si>
    <t>UralAZ</t>
    <phoneticPr fontId="1"/>
  </si>
  <si>
    <t>https://www.marklines.com/en/global/803</t>
    <phoneticPr fontId="1"/>
  </si>
  <si>
    <t>On July 8, URAL Automobile Plant presented a new generation modular electric cargo platform at the industrial exhibition "Innoprom-2024". The capacity of Russian-made traction batteries is 250 kWh. It has a range of up to 250 km. URAL also presented the electric hybrid truck Ural C230E5. The vehicle has a 4x2 wheel arrangement. It has a range of 500 km. The presented modifications of electric vehicles have passed preliminary road tests and after certification will be sent for trial operation. The start of serial production is planned for the end of 2025.</t>
    <phoneticPr fontId="1"/>
  </si>
  <si>
    <t>Shineray</t>
    <phoneticPr fontId="1"/>
  </si>
  <si>
    <t>SWM</t>
    <phoneticPr fontId="1"/>
  </si>
  <si>
    <t>https://www.marklines.com/en/global/9105</t>
    <phoneticPr fontId="1"/>
  </si>
  <si>
    <t>Chongqing</t>
  </si>
  <si>
    <t>On July 8, multiple sources reported that SWM Motor, a group company of Shineray Group, China, has applied to start production of vehicles in Turkey. ATMO Group, the representative of SWM Motor in Turkey, announced it. The production facility will meet the needs of the Turkish market and will also focus on exports to Balkan countries and other markets in the EU region. SWM entered the Turkish market in 2023 and introduced G01, G01F, G03F, G05, and the electric light commercial vehicle X30L EV. </t>
    <phoneticPr fontId="1"/>
  </si>
  <si>
    <t>KAMAZ</t>
    <phoneticPr fontId="1"/>
  </si>
  <si>
    <t>https://www.marklines.com/en/global/10385</t>
    <phoneticPr fontId="1"/>
  </si>
  <si>
    <t>On July 8, Kamaz announced corporate paid leave for employees. The production of the main products, suspended for the period of the two-week corporate leave, will be launched on July 22, 2024. However, equipment repair and some other functions will continue to work during this period. </t>
    <phoneticPr fontId="1"/>
  </si>
  <si>
    <t>https://www.marklines.com/en/global/735</t>
    <phoneticPr fontId="1"/>
  </si>
  <si>
    <t>https://www.marklines.com/en/global/9057</t>
    <phoneticPr fontId="1"/>
  </si>
  <si>
    <t>https://www.marklines.com/en/global/737</t>
    <phoneticPr fontId="1"/>
  </si>
  <si>
    <t>https://www.marklines.com/en/global/741</t>
    <phoneticPr fontId="1"/>
  </si>
  <si>
    <t>https://www.marklines.com/en/global/1809</t>
    <phoneticPr fontId="1"/>
  </si>
  <si>
    <t>Austria</t>
    <phoneticPr fontId="1"/>
  </si>
  <si>
    <t>On July 8, INEOS Automotive confirmed that it is delaying the launch of its all-new 4X4 vehicle, INEOS Fusilier, due to slow consumer adoption of electric vehicles (EVs) and uncertainty in the industry regarding tariffs, timing, and taxes. The carmaker highlighted achieving net-zero targets requires policymakers to provide long-term clarity, along with the availability of multiple technology options that consider factors such as raw materials, infrastructure, and affordability. According to the company, INEOS being a new small-volume manufacturer can only produce vehicles that will sell. Fusilier being an EV with the option of a range extender, uses a gasoline engine that charges the electric battery, which will be prohibited in both Europe and the UK by 2035.</t>
    <phoneticPr fontId="1"/>
  </si>
  <si>
    <t>On July 6, multiple sources reported that Stellantis' Mirafiori plant in Turin will close early this year for the summer holidays, beginning on July 15, 2024, and resuming operations at the end of August. The closure affects the entire factory, with the body shop section on redundancy from July 15 to August 4, followed by the plant-wide summer shutdown from August 5 to 25, 2024.</t>
    <phoneticPr fontId="1"/>
  </si>
  <si>
    <t>https://www.marklines.com/en/global/1561</t>
    <phoneticPr fontId="1"/>
  </si>
  <si>
    <t>Vietnam</t>
    <phoneticPr fontId="1"/>
  </si>
  <si>
    <t>On July 5, Ford Vietnam officially launched the all-new Ford Transit with 3 variants: Trend (16 seats), Premium (16 seats), and Premium+ (18 seats), priced from VND 905 million. Locally assembled at the Ford Hai Duong factory, the all-new Transit possesses a modern, comfortable, and high-class design style. The new Ford Transit is powered by a 2.3L Turbo Diesel Engine, working with a 6-speed transmission.</t>
    <phoneticPr fontId="1"/>
  </si>
  <si>
    <t>Farizon</t>
    <phoneticPr fontId="1"/>
  </si>
  <si>
    <t>https://www.marklines.com/en/global/10797</t>
    <phoneticPr fontId="1"/>
  </si>
  <si>
    <t>According to multiple press releases dated July 3, Wenzhou Farizon Green Ecological Technology Co., Ltd. was recently established in Wenzhou, Zhejiang. The new company has a registered capital of CNY 100 million and is 60% and 40% owned by Farizon and Wenzhou Transportation Group Automotive Service Co., Ltd., respectively. Its business scope includes sales of New Energy Vehicles; repair and maintenance of motor vehicles; manufacturing of automotive components and accessories; and manufacturing of construction machinery.</t>
    <phoneticPr fontId="1"/>
  </si>
  <si>
    <t>Seres</t>
    <phoneticPr fontId="1"/>
  </si>
  <si>
    <t>https://www.marklines.com/en/global/9540</t>
    <phoneticPr fontId="1"/>
  </si>
  <si>
    <t>On July 3, Seres Group announced on the Shanghai Stock Exchange (SSE) that Seres Auto, a holding subsidiary, plans to acquire 919 AITO logo marks and figurative trademarks that have been registered or are under application and 44 related exterior design patents from Huawei for CNY 2.5 billion in total. Seres Auto recently signed a cooperation agreement on further deepening joint operations.</t>
    <phoneticPr fontId="1"/>
  </si>
  <si>
    <t>https://www.marklines.com/en/global/9578</t>
    <phoneticPr fontId="1"/>
  </si>
  <si>
    <t>Aito</t>
    <phoneticPr fontId="1"/>
  </si>
  <si>
    <t>Isuzu</t>
    <phoneticPr fontId="1"/>
  </si>
  <si>
    <t>https://www.marklines.com/en/global/553</t>
    <phoneticPr fontId="1"/>
  </si>
  <si>
    <t>Kanagawa</t>
  </si>
  <si>
    <t>https://www.marklines.com/en/global/595</t>
    <phoneticPr fontId="1"/>
  </si>
  <si>
    <t>Tochigi</t>
  </si>
  <si>
    <t>https://www.marklines.com/en/global/503</t>
    <phoneticPr fontId="1"/>
  </si>
  <si>
    <t>Hiroshima</t>
  </si>
  <si>
    <t>On July 1, Mazda Motor Corporation (Mazda) resumed shipments of two models to the Japanese market that had been suspended due to certification misconduct. The Japanese Ministry of Land, Infrastructure, Transport and Tourism (MLIT) confirmed that the products comply with standards and lifted the order to suspend shipments on June 28. The two models are the Mazda2 1.5L gasoline engine model (excluding the 15MB grade) and the Roadster RF, and shipments of finished vehicles were suspended from May 30. Production for the domestic market of the two models, which were suspended from June 6, is expected to resume in mid-July.</t>
    <phoneticPr fontId="1"/>
  </si>
  <si>
    <t>https://www.marklines.com/en/global/505</t>
    <phoneticPr fontId="1"/>
  </si>
  <si>
    <t>Yamaguchi</t>
  </si>
  <si>
    <t>https://www.marklines.com/en/global/439</t>
    <phoneticPr fontId="1"/>
  </si>
  <si>
    <t>Saitama</t>
  </si>
  <si>
    <t>Honda Motor Co., Ltd. (Honda) launched the all-new "Freed" compact minivan in Japan on June 28, the first all-new model in eight years. The new model, the third generation, is available in two types: the "Freed Air" (three-row seat version) with a high quality, refined and simple design, and the "Freed Crosstar" (three-row or two-row seat versions) with a tough design suitable for the outdoors. Both types are available in gasoline (FWD/4WD) and hybrid (FWD/4WD) versions. The second-generation hybrid model was equipped with the SPORT HYBRID i-DCD one-motor hybrid system, while the third-generation model uses the e:HEV two-motor hybrid system. In order to maintain a body size that is easy to maneuver, the overall length of the vehicle was increased by only 45mm as a result of the installation of the e:HEV system. The gasoline models are powered by a 1.5L DOHC i-VTEC engine combined with a CVT. The all-new Freed is produced at Saitama Factory Automobile Plant (Yorii-machi, Saitama Prefecture), aiming for monthly sales of 6,500 units. </t>
    <phoneticPr fontId="1"/>
  </si>
  <si>
    <t>https://www.marklines.com/en/global/424</t>
    <phoneticPr fontId="1"/>
  </si>
  <si>
    <t>Iwate</t>
  </si>
  <si>
    <t>Toyota Motor East Japan, Inc. released its "Environmental Report 2023" on June 28, which summarizes its environmental preservation efforts. According to the report, the company has introduced hydropower-derived renewable energy to its Iwate Plant as part of its efforts to reduce CO2 emissions. </t>
    <phoneticPr fontId="1"/>
  </si>
  <si>
    <t>https://www.marklines.com/en/global/437</t>
    <phoneticPr fontId="1"/>
  </si>
  <si>
    <t>The Japanese Ministry of Land, Infrastructure, Transport and Tourism (MLIT) announced on June 28 that it has confirmed that all of the 31 models (including three motorcycle models) from Mazda Motor Corporation (Mazda), Yamaha Motor Co., Ltd. (Yamaha), Honda Motor Co., Ltd. (Honda), and Suzuki Motor Corporation (Suzuki), which were found to have committed misconduct in their applications for type designation, are in compliance with standards. Based on the results, MLIT has lifted its order suspending shipments of two Mazda models and one Yamaha motorcycle model that are currently in production. All but these three models are already out of production. MLIT had instructed 85 companies including automakers and other companies to investigate and report on the existence of fraudulent activities. As of June 28, a total of 83 companies had completed their investigations, of which the above four companies had reported wrongdoing.</t>
    <phoneticPr fontId="1"/>
  </si>
  <si>
    <t>https://www.marklines.com/en/global/443</t>
    <phoneticPr fontId="1"/>
  </si>
  <si>
    <t>Mie</t>
  </si>
  <si>
    <t>https://www.marklines.com/en/global/453</t>
    <phoneticPr fontId="1"/>
  </si>
  <si>
    <t>https://www.marklines.com/en/global/495</t>
    <phoneticPr fontId="1"/>
  </si>
  <si>
    <t>Shizuoka</t>
  </si>
  <si>
    <t>https://www.marklines.com/en/global/517</t>
    <phoneticPr fontId="1"/>
  </si>
  <si>
    <t>Okayama</t>
  </si>
  <si>
    <t>According to Mitsubishi Motors Corporation's (Mitsubishi Motors) official website (as of May 9), the company has terminated production of the compact SUV RVR for the Japanese domestic market. Production for overseas markets continues at the Mizushima Plant.</t>
    <phoneticPr fontId="1"/>
  </si>
  <si>
    <t>Mitsubishi Motors</t>
    <phoneticPr fontId="1"/>
  </si>
  <si>
    <t>Mitsubishi</t>
    <phoneticPr fontId="1"/>
  </si>
  <si>
    <t>Chevrolet</t>
    <phoneticPr fontId="1"/>
  </si>
  <si>
    <t>https://www.marklines.com/en/global/867</t>
    <phoneticPr fontId="1"/>
  </si>
  <si>
    <t>On July 3, GM announced that it will start production of the Cadillac Optiq at the Ramos Arizpe Plant in Mexico at the end of 2024. “We have the opportunity to manufacture this unit in our manufacturing complex in Ramos Arizpe, we have already announced the manufacture of Chevrolet Equinox EV, Blazer EV and now Optiq for the North American market” commented Francisco Garza, president, and CEO of General Motors Mexico. During the second half of the year, 9 new models are expected for Mexico, Central America and the Caribbean, including Buick Enclave 2025, Chevrolet Tahoe and Suburban, Chevrolet Traverse 2024, Blazer EV, Cadillac Optiq, Hummer pickup and SUV, and Brightdrop Zevo 400.</t>
    <phoneticPr fontId="1"/>
  </si>
  <si>
    <t>https://www.marklines.com/en/global/2575</t>
    <phoneticPr fontId="1"/>
  </si>
  <si>
    <t>On July 18, Ford Motor Company announced plans to assemble F-Series Super Duty pickups at its Oakville Assembly Complex in Ontario, Canada, starting in 2026. Adding production of up to 100,000 units to Oakville expands Super Duty production across three plants in North America, including Kentucky Truck Plant and Ohio Assembly Plant, now operating at full capacity. Ford plans to invest USD 3 billion to expand Super Duty production, including USD 2.3 billion to install assembly and integrated stamping operations at Oakville Assembly Complex. The increased production also adds 150 jobs at Windsor Engine Complex, which will manufacture more V8 engines for Super Duty, while Sharonville Transmission Plant receives USD 24 million investment, Rawsonville Components Plant receives USD 1 million investment and Sterling Axle Plant opens 50 new jobs.</t>
    <phoneticPr fontId="1"/>
  </si>
  <si>
    <t>https://www.marklines.com/en/global/2591</t>
    <phoneticPr fontId="1"/>
  </si>
  <si>
    <t>https://www.marklines.com/en/global/2571</t>
    <phoneticPr fontId="1"/>
  </si>
  <si>
    <t>https://www.marklines.com/en/global/2621</t>
    <phoneticPr fontId="1"/>
  </si>
  <si>
    <t>https://www.marklines.com/en/global/2617</t>
    <phoneticPr fontId="1"/>
  </si>
  <si>
    <t>JAC</t>
    <phoneticPr fontId="1"/>
  </si>
  <si>
    <t>https://www.marklines.com/en/global/10827</t>
    <phoneticPr fontId="1"/>
  </si>
  <si>
    <t>According to multiple press releases dated July 16, chairman of Huawei’s Consumer BG and Intelligent Automotive Solution BU revealed on July 15 that the name of the cooperative brand with JAC Group has been confirmed as the “Zunjie”.</t>
    <phoneticPr fontId="1"/>
  </si>
  <si>
    <t>GM will begin production of the 2025 Chevrolet Blazer EV on August 5, after pushing it back from its original start-of-production date of June 3. The 2025 Chevrolet Blazer EV introduces several updates and variants that were not yet put into production during the crossover’s inaugural year. The 2025 Blazer EV SS, RS RWD, LT FWD and RS FWD variants are expected to begin production later in the model year. The Blazer EV shares the GM BEV3 platform with the Chevrolet Equinox EV and Honda Prologue it is built along side with at the GM Ramos Arizpe plant in Mexico.</t>
    <phoneticPr fontId="1"/>
  </si>
  <si>
    <t>https://www.marklines.com/en/global/2233</t>
    <phoneticPr fontId="1"/>
  </si>
  <si>
    <t>On July 8, Mercedes Benz announced the opening of its eCampus in Stuttgart-Untertürkheim. This center will be dedicated to the development of batteries for the brand's EVs through the development of innovative chemical compositions and optimized production processes for high-performance cells, seeking to reduce battery costs by more than 30%. The factory, spanning approximately 10,000 square meters, has begun industrial production of battery cells. The battery manufacturing process goes from the creation of electrodes to the assembly of the cells. Currently, Mercedes Benz is working on lithium-ion cells with high-energy anodes based on silicon composites and innovative cobalt-free cathode chemistries, as well as on solid-state battery technology. The new building for the second stage of construction set to complete by the end of the year, will include a battery ramp-up factory for product development and industrial production. Covering 20,000 square meters, it will feature advanced test benches to ensure battery safety and longevity. </t>
    <phoneticPr fontId="1"/>
  </si>
  <si>
    <t>https://www.marklines.com/en/global/10243</t>
    <phoneticPr fontId="1"/>
  </si>
  <si>
    <t>https://www.marklines.com/en/global/10769</t>
    <phoneticPr fontId="1"/>
  </si>
  <si>
    <t>Announced on May 20, Changan Auto Southeast Asia Co., Ltd., at Subcon Thailand 2024 event on May 16, announced its partnership with Thailand parts manufacturers such as AAPICO, Thai Summit, and Summit. The collaboration includes a total procurement plan of over THB 20 billion for the production of Changan’s first EV in Thailand, which will start in 2025. Changan plans to launch more than 15 new models over the next 5 years in Thailand. The company also aims to increase the use of locally sourced parts to over 60%.</t>
    <phoneticPr fontId="1"/>
  </si>
  <si>
    <t>https://www.marklines.com/en/global/2209</t>
    <phoneticPr fontId="1"/>
  </si>
  <si>
    <t>On July 18, BMW announced that the Regensburg plant initiated a pilot project in vehicle assembly utilizes "3D human simulation" to virtually map future manufacturing structures and simulate employee workflows. The future factory layouts can already be experienced virtually. Years before the official launch of new production lines. Digital planning reduces planning effort and ensures more efficient, stable vehicle launches. BMW Group uses NVIDIA Omniverse Enterprise to run simulations with digital twins, validating and optimizing complex manufacturing systems. The "3D human simulation" covers a complete line section with 41 operating cycles over 1,000 square meters of assembly space. The realistic simulation allows for effective cycle specifications and ergonomic analyses.</t>
    <phoneticPr fontId="1"/>
  </si>
  <si>
    <t>https://www.marklines.com/en/global/1337</t>
    <phoneticPr fontId="1"/>
  </si>
  <si>
    <t>On July 17, multiple sources reported that Stellantis plans to increase production of gearboxes for hybrid vehicles by 10% to address slowing EV demand, according to the director of the Mirafiori plant in Italy. Production of the electric Fiat 500 in Turin is suspended until August 15, 2024, due to low demand. </t>
    <phoneticPr fontId="1"/>
  </si>
  <si>
    <t>Announced on July 17, PT Hyundai Motors Indonesia officially launched the all-new KONA Electric at the Gaikindo Indonesia International Auto Show (GIIAS) 2024. The model features a battery made at PT HLI Green Power, making it the first EV in Indonesia to use locally produced batteries. The Signature Standard Range, Prime Standard Range, and Style variants are equipped with a 48.9 kWh battery, offering a range of over 400 km on a single charge. Both trims feature a motor that produces 114.6 kW. Meanwhile, the Signature Long Range and Prime Long Range variants come with a 66 kWh battery, offering a range of over 500 km and over 600 km, respectively. Both trims are powered by a motor that produces 160 kW. All variants deliver a torque of 255 Nm. The all-new KONA Electric is available in 5 variants..</t>
    <phoneticPr fontId="1"/>
  </si>
  <si>
    <t>https://www.marklines.com/en/global/10740</t>
    <phoneticPr fontId="1"/>
  </si>
  <si>
    <t>On July 17, GAC AION held the “Grand Inauguration of AION Thailand Intelligent Factory &amp; the Roll-off Ceremony of 1st AION EV in Thailand”, carrying the slogan of "See the Lighthouse, See the Future". This smart factory in Rayong province is known as the company’s first overseas plant and the only photovoltaic energy storage and charging integration comprehensive energy utilization factory in Thailand. It adheres to AION Production System (APS) that aims to minimize waste, optimize efficiency, and focus on the latest intelligent manufacturing. The plant features 100% data interconnection and interoperability, as well as the high-quality AION Global Quality Assurance System (QAS) with machine vision plus AI Technology and non-destructive process controls. In addition, the second-generation AION V has officially rolled off the production line (both in Thailand and in China). </t>
    <phoneticPr fontId="1"/>
  </si>
  <si>
    <t>https://www.marklines.com/en/global/10310</t>
    <phoneticPr fontId="1"/>
  </si>
  <si>
    <t>On July 17, VW announced the premiere of ID.UNYX in China, an E-SUV coupé model. This EV is the first model of the VW sub-brand of the same name as the model and was specifically designed for customers in China. The entry version of the vehicle is equipped with a 77-kWh battery that powers a 210-kW electric drive motor on the rear axle. Its range is of up to 621 km. an AWD version will also be available with an output of 250-kW. The vehicle was created at Volkswagen's innovation and development center in Hefei and manufactured at one of Volkswagen Group's electric vehicle plants in Hefei. Four more vehicles are expected to be unveiled in the next three years by the ID.Unix sub-brand, alongside the E-SUV coupé. This is part of VW’s plant of introducing 34 new models in China by 2030.</t>
    <phoneticPr fontId="1"/>
  </si>
  <si>
    <t>https://www.marklines.com/en/global/9517</t>
    <phoneticPr fontId="1"/>
  </si>
  <si>
    <t>https://www.marklines.com/en/global/2658</t>
    <phoneticPr fontId="1"/>
  </si>
  <si>
    <t>On July 16, as it completes retooling, Stellantis announced that its Indiana Transmission Plant (ITP) was preparing to start gear machining and final assembly of electric drive modules (EDM) in the third quarter of 2024. ITP currently builds 65/66/68 RFE RWD transmissions for Ram trucks, Cummins Diesel and Heavy Duty trucks, and 948TE transmissions in all-wheel, four-wheel and two-wheel drive configurations for the Chrysler Pacifica, and exported overseas for the Jeep Renegade (assembled at the Melfi Assembly Plant in Italy), and Ram ProMaster City (assembled at the TOFAS plant in Bursa, Turkey).</t>
    <phoneticPr fontId="1"/>
  </si>
  <si>
    <t>https://www.marklines.com/en/global/10763</t>
    <phoneticPr fontId="1"/>
  </si>
  <si>
    <t>California</t>
  </si>
  <si>
    <t>Tesla is looking to hire nearly 800 new employees following the largest round of layoffs in the company’s history. In mid-May, Tesla posted 17 roles for its Palo Alto, California, office related to AI and robotics, which climbed to about 130 positions on July 10. A relatively new location for Tesla, the Global Engineering and AI Headquarters opened in 2023. There are at least 25 jobs related to self-driving development or Autopilot, and at least 30 focused on Optimus. Tesla is also listing several dozen energy-related positions in Palo Alto and Lathrop, California, where the company builds Megapacks. The company has hired back some of its 500-person Supercharger organization, and will invest more than USD 500 million in the charging business this year.</t>
    <phoneticPr fontId="1"/>
  </si>
  <si>
    <t>https://www.marklines.com/en/global/9497</t>
    <phoneticPr fontId="1"/>
  </si>
  <si>
    <t>On July 15, Uzavtosanoat announced that "BYD Uzbekistan Factory" has reached agreements with Chinese partners on the production of new models of BYD cars as part of the strategy to meet the demands of all segments of the population and to expand the range of manufactured products. Among the models planned for production are the BYD Seagull and E2. BYD Seagull and E2 models were handed over to the "Quality and Safety Testing" test laboratory complex of the "UzTest" state institution. The models will be tested for electromagnetic compatibility, brake system efficiency, NVH, HVAC, controllability and stability, lighting system, etc. </t>
    <phoneticPr fontId="1"/>
  </si>
  <si>
    <t>UzAvtosanoat</t>
    <phoneticPr fontId="1"/>
  </si>
  <si>
    <t>https://www.marklines.com/en/global/3893</t>
    <phoneticPr fontId="1"/>
  </si>
  <si>
    <t>On July 14, Farizon New Energy Commercial Vehicles Group (Farizon) announced that the first Xinghan G hydrogen fuel cell heavy-duty trucks recently rolled off the production line for shipment. Based on the GXA-T architecture, China’s first forward developed digital intelligent architecture for New Energy heavy-duty trucks. So far, the series has covered various types of models such as intelligent electric trucks, methanol electric trucks, and hydrogen fuel cell electric trucks. The Xinghan G hydrogen fuel cell heavy-duty truck is matched with 88.29kWh power battery and a 450kW drive motor complete the powertrain, delivering a range of 550km and a combined hydrogen consumption of 9kg/100km.</t>
    <phoneticPr fontId="1"/>
  </si>
  <si>
    <t>https://www.marklines.com/en/global/9594</t>
    <phoneticPr fontId="1"/>
  </si>
  <si>
    <t>Shanxi</t>
  </si>
  <si>
    <t>According to multiple press releases dated July 12, Xingchu XIANG, chairman of JAC Group, gave a keynote presentation at the 2024 China Auto Forum, saying that the company is accelerating product innovation and sparing no effort to promote a cooperative project with Huawei. This project is for the development of a new platform and a leading intelligent electric architecture, with multiple models planned. The first model has entered the verification phase and is expected to roll off the production line and be launched at the end of 2024 and in the first half of 2025, respectively.</t>
    <phoneticPr fontId="1"/>
  </si>
  <si>
    <t>Hongqi</t>
    <phoneticPr fontId="1"/>
  </si>
  <si>
    <t>https://www.marklines.com/en/global/9099</t>
    <phoneticPr fontId="1"/>
  </si>
  <si>
    <t>On July 11, FAW Hongqi started accepting pre-orders for the HS7 PHEV luxury mid-to-large-size SUV. The HS7 PHEV has an intelligent 4WD layout. Equipped with a 120kW/260Nm 2.0T dedicated hybrid engine and front 168kW/340Nm and rear 70kW/160Nm motors, the model delivers a top speed of 180km/h and a WLTC fuel consumption of 6.3L/100km at the lowest charge. A 20.1kWh power battery completes the powertrain, with CLTC electric-mode and combined ranges of 100km and 1,102km, respectively. The HS7 PHEV comes standard with features such as ACC (Adaptive Cruise Control) or SACC (Super Adaptive Cruise Control).</t>
    <phoneticPr fontId="1"/>
  </si>
  <si>
    <t>Wuling</t>
    <phoneticPr fontId="1"/>
  </si>
  <si>
    <t>https://www.marklines.com/en/global/4153</t>
    <phoneticPr fontId="1"/>
  </si>
  <si>
    <t>Guangxi</t>
  </si>
  <si>
    <t>On July 10, SAIC-GM-Wuling (SGMW) signed a strategic cooperation agreement with China Unicom to further promote the integration and development of 5G-represented next-generation information technologies in areas such as intelligent manufacturing and intelligent connected vehicles (ICVs).</t>
    <phoneticPr fontId="1"/>
  </si>
  <si>
    <t>DS</t>
    <phoneticPr fontId="1"/>
  </si>
  <si>
    <t>https://www.marklines.com/en/global/2251</t>
    <phoneticPr fontId="1"/>
  </si>
  <si>
    <t>On July 16, Stellantis Germany announced the addition of a new engine variant for the DS 4, with production of the DS 4 Hybrid started at the Rüsselsheim plant. The fully electric DS 4 E-Tense will soon enter production at the southern Hesse plant. DS 4 Hybrid features a 100 kW gasoline engine supported by a 21 kW electric motor, with a 0.9 kWh lithium-ion battery enabling electric driving. Quality assurance at the Rüsselsheim plant includes monitoring painting robots with a sensitive camera system and testing each DS 4 on an in-house track to ensure no irregularities or noises before delivery.</t>
    <phoneticPr fontId="1"/>
  </si>
  <si>
    <t>https://www.marklines.com/en/global/2201</t>
    <phoneticPr fontId="1"/>
  </si>
  <si>
    <t>On July 16, Audi announced the production of new Audi A5 models is initiated at Neckarsulm plant, based on the Premium Platform Combustion (PPC). The renovated paint shop is set for completion in 2025. It introduces new environmentally friendly processes, including a painting method saving up to 140 kWh per vehicle, advanced corrosion prevention, and efficient paint separation techniques. Neckarsulm employs a closed water cycle with the Unteres Sulmtal Wastewater Association’s treatment plant. It is the first site in the Group to install all add-on parts in the body shop fully automatically, improving fitting accuracy and minimizing external influences with the help of seven robots. A virtually smokeless fixing process attaches glued components more efficiently, reducing residue build-up. Quality control is performed in line with new measuring technology, using robots to ensure dimensional accuracy, allowing faster reactions to deviations. Innovative technologies like augmented reality (AR) streamline car body inspection, enhancing efficiency through digitalization with real-time guidance on tablet-based AR apps.</t>
    <phoneticPr fontId="1"/>
  </si>
  <si>
    <t>https://www.marklines.com/en/global/2225</t>
    <phoneticPr fontId="1"/>
  </si>
  <si>
    <t>On July 16, Daimler Trucks collaborated with GV Trucknet to establish initial routes for electric trucks and logistics design. They will use two eActros 300 lowliner variants for new round trips between GV Trucknet's site in Kornwestheim and Mercedes-Benz truck plants in Wörth and Gaggenau. Mercedes-Benz Trucks plans to electrify delivery traffic to the Wörth plant by the end of 2026 and extend this initiative to other German plants such as Kassel, Mannheim, and Gaggenau. Große-Vehne Spedition, working with Mercedes-Benz Group AG in automotive logistics, currently uses two eActros 300 units for daily commutes of 180 km between Bad Cannstatt and Sindelfingen.</t>
    <phoneticPr fontId="1"/>
  </si>
  <si>
    <t>https://www.marklines.com/en/global/2247</t>
    <phoneticPr fontId="1"/>
  </si>
  <si>
    <t>https://www.marklines.com/en/global/2227</t>
    <phoneticPr fontId="1"/>
  </si>
  <si>
    <t>https://www.marklines.com/en/global/2243</t>
    <phoneticPr fontId="1"/>
  </si>
  <si>
    <t>On July 16, Lucid Group, Inc. announced updates for the 2025 model year that further raise the bar, enabling a landmark 5.0 miles per kilowatt hour of energy and record 146 MPGe EPA rating for the Air Pure, which equates to the most energy-efficient vehicle ever. The heat pump first employed on Lucid Sapphire now becomes standard across the lineup, improving real-world range. Lucid is currently preparing its state-of-the-art factory in Casa Grande, Arizona to begin production of the Lucid Gravity SUV. </t>
    <phoneticPr fontId="1"/>
  </si>
  <si>
    <t>https://www.marklines.com/en/global/3121</t>
    <phoneticPr fontId="1"/>
  </si>
  <si>
    <t>On July 16, Honda announced that the development of the next-generation Passport Trailsport – the most adventure ready and capable Honda SUV yet – is currently underway. The 2026 Honda Passport is set for arrival in early 2025 with a rugged design, authentic off-road capability, high level versatility and innovative features. The Passport is built at Honda’s plant in Lincoln, Alabama.</t>
    <phoneticPr fontId="1"/>
  </si>
  <si>
    <t>On July 15, multiple sources reported that the Ural automobile plant will be on a planned annual corporate vacation from July 15 to July 28, 2024. Only the repairs and modernization of existing equipment will be carried out during this period. The Ural Automobile Plant is one of the leading Russian manufacturers of trucks and special passenger vehicles.</t>
    <phoneticPr fontId="1"/>
  </si>
  <si>
    <t>Haima</t>
    <phoneticPr fontId="1"/>
  </si>
  <si>
    <t>https://www.marklines.com/en/global/3961</t>
    <phoneticPr fontId="1"/>
  </si>
  <si>
    <t>Henan</t>
  </si>
  <si>
    <t>According to multiple press releases dated July 15, Zhengzhou Haima Automobile R&amp;D Co., Ltd. was recently established in Zhengzhou, Henan. The new company has a registered capital of CNY 10 million and is jointly owned by Haima Motor, a subsidiary of Haima Automobile Co., Ltd., and Beijing Sazer Automotive Technical Co., Ltd. Its business scope includes R&amp;D of automotive components; R&amp;D of mechanical equipment.</t>
    <phoneticPr fontId="1"/>
  </si>
  <si>
    <t>https://www.marklines.com/en/global/10431</t>
    <phoneticPr fontId="1"/>
  </si>
  <si>
    <t>Tennessee</t>
  </si>
  <si>
    <t>Ford has been progressing on construction of its BlueOval City complex in Tennessee, which includes an EV battery plant and separate EV assembly site The BlueOval City battery plant, operated in a joint venture between Ford and SK On, is set to begin trial operations in August to test out the facility’s readiness in terms of building batteries. When it begins full-scale production in late 2025, a few months later than previously expected, the battery plant will have a total annual capacity of 45 GWh. The joint venture is still building two plants at the site, but will only utilize one for the time being. EV assembly at the BlueOval City complex has pushed back its planned production start date for a next-generation Ford F-150 EV pickup from 2025 to 2026.</t>
    <phoneticPr fontId="1"/>
  </si>
  <si>
    <t>Xiaomi</t>
    <phoneticPr fontId="1"/>
  </si>
  <si>
    <t>https://www.marklines.com/en/global/10580</t>
    <phoneticPr fontId="1"/>
  </si>
  <si>
    <t>On July 12, the Ministry of Industry and Information Technology of China (MIIT) released the 385th list of the “On-road Motor Vehicle Manufacturers and Products” announcement, where four Xiaomi battery electric sedans are included. According to the announcement, for the Xiaomi SU7 model, the rear emblem and the manufacturer have been changed from “Beijing Xiaomi” to “Xiaomi” and from “BAIC Group Off-road Vehicle Co., Ltd.” to “Xiaomi EV”, respectively. These indicate that Xiaomi EV has been officially qualified for independent automobile manufacturing.</t>
    <phoneticPr fontId="1"/>
  </si>
  <si>
    <t>https://www.marklines.com/en/global/3689</t>
    <phoneticPr fontId="1"/>
  </si>
  <si>
    <t>According to multiple press releases dated July 11, FAW Jiefang Qingdao Automotive Co., Ltd. (FJQA) recently signed a cooperation agreement with Suzhou PlusAI Co., Ltd. (PlusAI) in Qingdao, Shandong for the joint definition and development of the world’s first production autonomous gas heavy-duty truck. The two parties will set up a joint project group for cooperation on all processes such as vehicle definition, R&amp;D, mass production, operation. The FAW Jiefang JH6 super truck, the first cooperative product, will gain market access and reach mass production in 2025.</t>
    <phoneticPr fontId="1"/>
  </si>
  <si>
    <t>On July 16, Audi unveiled the new A5 family in the mid-size segment. The vehicle is manufactured in Neckarsulm plant, the A5 is offered in four variants: A5 Sedan, S5 Sedan, A5 Avant, and S5 Avant. These models are the first to use the Premium Platform Combustion (PPC). The new MHEV plus system, based on a 48-volt electrical system, supports the combustion engine.</t>
    <phoneticPr fontId="1"/>
  </si>
  <si>
    <t>https://www.marklines.com/en/global/10220</t>
    <phoneticPr fontId="1"/>
  </si>
  <si>
    <t>On July 15, multiple sources reported that Volkswagen closed the Volkswagen Group Future Center on June 11, 2024, after cutting two-thirds of its budget over the past 18 months due to internal restructuring, revenue drops, and increased competition from China. Over fifty employees protested in front of the innovation center in Potsdam, Germany, opposing the decision to shut down the design center after more than twenty years of operation. Employees and IG Metall union members demonstrated with a banner reading "The Volkswagen Future Center Has No Future," protesting the facility's closure.</t>
    <phoneticPr fontId="1"/>
  </si>
  <si>
    <t>https://www.marklines.com/en/global/1343</t>
    <phoneticPr fontId="1"/>
  </si>
  <si>
    <t>On July 15, multiple sources reported that Stellantis workers at the Termoli plant are facing a significant production slowdown in late July 2024. The site has seen a sharp decline, prompting the implementation of social safety nets. Starting July 15, 2024, the redundancy fund will support workers until July 20, 2024, with potential extensions until the end of the month due to reduced production levels. Recent weeks have seen Stellantis request redundancy payments for production departments handling GME, GSE, and V6 engines, effective from July 15 to 20. Workers involved in the Fire engine range are expected to utilize social safety nets until July 28, 2024.</t>
    <phoneticPr fontId="1"/>
  </si>
  <si>
    <t>https://www.marklines.com/en/global/9267</t>
    <phoneticPr fontId="1"/>
  </si>
  <si>
    <t>On July 15, multiple sources reported that Haval had stopped production in its Russian plant in Tula region from July 15 to 21, 2024 due to corporate vacation. It produces three models - Jolion, F7, and Dargo.</t>
    <phoneticPr fontId="1"/>
  </si>
  <si>
    <t>VinFast</t>
    <phoneticPr fontId="1"/>
  </si>
  <si>
    <t>Vinfast</t>
    <phoneticPr fontId="1"/>
  </si>
  <si>
    <t>https://www.marklines.com/en/global/10896</t>
    <phoneticPr fontId="1"/>
  </si>
  <si>
    <t>On July 15, VinFast held the groundbreaking ceremony for its new EV assembly plant in Indonesia. Situated in the emerging industrial hub of Subang, West Java, PT VinFast Automobile Indonesia plant represents an initial investment of around USD 200 million. The facility’s several key production areas will include Body Shop, General Assembly Shop, Paint Shop, and testing area, etc. Operations are expected to start in the final quarter of 2025 with the planned annual capacity of 50,000 units. The plant will produce RHD VinFast’s e-SUV models, including VF 3, VF 5, VF 6, and VF 7 for the Indonesian market. </t>
    <phoneticPr fontId="1"/>
  </si>
  <si>
    <t>https://www.marklines.com/en/global/2607</t>
    <phoneticPr fontId="1"/>
  </si>
  <si>
    <t>On July 12, Ray Leathers, CEO of the Shelby County Industrial &amp; Development Foundation, said that Ford is in the final stages of making a USD 400 million commitment for a facility to support a unicast aluminum forming process near where Ford has two plants producing trucks (Kentucky Truck Plant) and SUVs (Louisville Assembly). Though Leathers warns that the aluminum forming plant, which is expected to occupy around 500,000 square feet, it is not yet “a done deal”, the Kentucky Cabinet for Economic Development already in May approved USD 11 million in tax incentives for the project. </t>
    <phoneticPr fontId="1"/>
  </si>
  <si>
    <t>https://www.marklines.com/en/global/2605</t>
    <phoneticPr fontId="1"/>
  </si>
  <si>
    <t>Dacia</t>
    <phoneticPr fontId="1"/>
  </si>
  <si>
    <t>https://www.marklines.com/en/global/6431</t>
    <phoneticPr fontId="1"/>
  </si>
  <si>
    <t>Morocco</t>
    <phoneticPr fontId="1"/>
  </si>
  <si>
    <t>On July 12, Renault Group Morocco announced that it has launched the production of the Dacia Jogger, the first hybrid vehicle "Made in Morocco," at the Tangier plant. The vehicle is intended for both national and export markets, marks a milestone by integrating hybrid engine production in Morocco. Moroccan Minister of Industry and Trade announced that the plant's second production line will manufacture up to 120,000 Dacia Jogger hybrids annually for European and Moroccan markets. The production process involves around 30 robots in the sheet metal and assembly departments, with over 2,500 workers trained, including 700 in electronic training. Dacia Morocco is set to release the Dacia Jogger with diesel and hybrid engines in September 2024.</t>
    <phoneticPr fontId="1"/>
  </si>
  <si>
    <t>Omoda</t>
    <phoneticPr fontId="1"/>
  </si>
  <si>
    <t>https://www.marklines.com/en/global/1925</t>
    <phoneticPr fontId="1"/>
  </si>
  <si>
    <t>On July 12, The Barcelona City Council delegation visited Chery's R&amp;D center in Shanghai, China, to learn about the advanced technologies used by the automaker. During the meeting, Chery and Catalan company Ebro announced their plans to start production of the Omoda 5, equipped with Chinese technology, at the Ebro Factory in Barcelona's Free Trade Zone, Spain, by the end of 2024. Following the Omoda 5, Ebro plans to produce its SUV models, the S700 and S800, at the same facility. Under the joint venture, Chery aims to carry out the entire manufacturing process at the Zona Franca plant, aiming to produce 50,000 electric vehicles annually by 2027.</t>
    <phoneticPr fontId="1"/>
  </si>
  <si>
    <t>https://www.marklines.com/en/global/1065</t>
    <phoneticPr fontId="1"/>
  </si>
  <si>
    <t>Pakistan</t>
    <phoneticPr fontId="1"/>
  </si>
  <si>
    <t>On July 12, Indus Motor Company, assembler, and manufacturer of Toyota vehicles in Pakistan announced that it has decided to shut down its production plant from July 15 to July 22, 2024 (both days inclusive) due to the current low level of inventory of manufactured vehicles, shortage of parts and components for manufacturing of vehicles and supply chain challenges.</t>
    <phoneticPr fontId="1"/>
  </si>
  <si>
    <t>https://www.marklines.com/en/global/3979</t>
    <phoneticPr fontId="1"/>
  </si>
  <si>
    <t>On July 10, Dongfeng Automobile Co., Ltd. announced on the Shanghai Stock Exchange (SSE) that it will absorb and merge Dongfeng Light Commercial Vehicle Marketing Co., Ltd. (DFLCVM).</t>
    <phoneticPr fontId="1"/>
  </si>
  <si>
    <t>https://www.marklines.com/en/global/10327</t>
    <phoneticPr fontId="1"/>
  </si>
  <si>
    <t>On July 9, Skywell Group announced the recent holding of a ceremony for the centralized signing and groundbreaking of major industrial projects in Wuxing District, Huzhou, Zhejiang. Skywell Group plans to build a comprehensive high-tech industry site in Huzhou integrating a New Energy commercial vehicle manufacturing center, a battery pack intelligent manufacturing center, an operation demonstration center, and an R&amp;D and innovation center.</t>
    <phoneticPr fontId="1"/>
  </si>
  <si>
    <t>On July 3, the 28 millionth finished FAW-VW vehicle, a next-generation Magotan, rolled off the production line at the Changchun site. Launch of the next-generation Magotan mid-to-high-end sedan is scheduled for July 9. It is equipped with a Qualcomm Snapdragon 8155 chip-powered in-vehicle system, the IQ. Pilot intelligent driver assistance system, and a Level 2+ intelligent driving system available at a maximum speed of 130km/h. Also rolling off the production line is the AGT, the first hybrid model to contain an in-house developed TQ200 dual-engine transmission, signifying FAW-VW’s entry into the era of hybrid vehicles. From 2026, the automaker will successively introduce multiple in-house developed battery electric and plug-in hybrid models.</t>
    <phoneticPr fontId="1"/>
  </si>
  <si>
    <t>Recently launched as a 2024 model in the North American EV market, the 2025 model year Chevrolet Equinox EV is now being prepped to start production in Ramos Arizpe, Mexico on August 26. For the 2025 model year, the 1LT version has been deleted from the lineup, leaving buyers with the LT and RS as the two remaining trim levels. Available in either FWD or eAWD drivetrains, the Equinox EV is built on the GM BEV3 platform, which it shares with the Blazer EV and other GM EVs.</t>
    <phoneticPr fontId="1"/>
  </si>
  <si>
    <t>https://www.marklines.com/en/global/2833</t>
    <phoneticPr fontId="1"/>
  </si>
  <si>
    <t>On July 10, it was announced that the plant of Stellantis in Betim, Brazil, will produce eight types of engines thanks to the expansion that is being carried out. This is possible thanks to the previously announced investment of BRL 14 billion, which includes the launch of 40 new products, the development of new Bio-hybrid technologies, other technologies for the decarbonization of the automotive supply chain and new strategic commercial opportunities. This amount is part of the BRL 32 billion announced for South America.</t>
    <phoneticPr fontId="1"/>
  </si>
  <si>
    <t>https://www.marklines.com/en/global/2459</t>
    <phoneticPr fontId="1"/>
  </si>
  <si>
    <t>For the second model year of Chevrolet’s all-electric pickup truck, the 2025 Silverado EV will be receiving notable updates, including the introduction of the all-terrain Trail Boss model. The 2025 Silverado EV Work Truck will be available with three battery sizes,  including the Standard Range (2WT), the Extended Range (5WT), and the Max Range (8WT), replacing the 2024 Silverado EV‘s 3WT and 4WT trim levels. The 2025 model year will also see the introduction of the LT trim and non-First Edition RST trims. With production of the 2025 model yet starting on September 3, the Silverado EV continues to be built on the GM BT1 platform at the Factory Zero plant in Michigan. </t>
    <phoneticPr fontId="1"/>
  </si>
  <si>
    <t>Nissan Motor Co., Ltd. (Nissan) announced on June 24 that it will begin selling the all-new Infiniti QX80 in the U.S. market at the end of July. The MSRP (manufacturer's suggested retail price) starts at USD 82,450. The all-new QX80 full-size SUV is equipped with a powertrain that includes a 3.5-liter twin-turbo engine, combined with a 9-speed automatic transmission. The engine has a maximum output of 450 HP and maximum torque of 516 lb-ft, which are 50 HP and 103 lb-ft higher than the previous model, respectively. The all-new model is also equipped with technologies such as "Invisible Hood View," which allows the driver to see forward through the hood, "Front Wide View," which displays the front sides of the vehicle on two 14.3-inch displays, and "ProPILOT Assist 2.1," which enables hands-off driving on the highway. As with the previous model, the new QX80 is assembled by Nissan Shatai Kyushu Co., Ltd.</t>
    <phoneticPr fontId="1"/>
  </si>
  <si>
    <t>https://www.marklines.com/en/global/3287</t>
    <phoneticPr fontId="1"/>
  </si>
  <si>
    <t>On July 25, Volvo Autonomous Solutions (VAS) announced that the production of the new Volvo VNL Autonomous truck has started at the Volvo Trucks’ New River Valley plant in Virginia, USA. The new VNL autonomous truck features the Aurora Driver, an SAE L4 autonomous driving system, equipped with advanced AI software, dual computers, high-resolution cameras, imaging radar, proprietary LiDAR with detection capabilities beyond 400 meters, and additional sensors for safe navigation.</t>
    <phoneticPr fontId="1"/>
  </si>
  <si>
    <t>https://www.marklines.com/en/global/2517</t>
    <phoneticPr fontId="1"/>
  </si>
  <si>
    <t>Missouri</t>
  </si>
  <si>
    <t>On July 25, GM confirmed that its Wentzville plant has restarted after a nearly three-day strike at the Lear factory in Missouri that supplies seats for GM's midsize pickups and vans after the UAW reached a tentative agreement with Lear. GM had added a third shift at the Wentzville plant in September 2023 to build more trucks and vans.</t>
    <phoneticPr fontId="1"/>
  </si>
  <si>
    <t>On July 24, Ford reported second-quarter revenue of USD 47.8 billion (up 6.2%), and adjusted EBIT of USD 2.8 billion (down 26.3%). Ford Pro’s second-quarter EBIT was USD 2.6 billion, an increase of 7% and a margin of 15% on 9% a revenue gain. With customers now buying every Super Duty truck and Transit van the company can make, Ford recently announced it would prepare the Oakville plant in Canada to build up to 100,000 Super Duties a year by 2026.</t>
    <phoneticPr fontId="1"/>
  </si>
  <si>
    <t>DRB-Hicom</t>
    <phoneticPr fontId="1"/>
  </si>
  <si>
    <t>Proton</t>
    <phoneticPr fontId="1"/>
  </si>
  <si>
    <t>https://www.marklines.com/en/global/997</t>
    <phoneticPr fontId="1"/>
  </si>
  <si>
    <t>Malaysia</t>
    <phoneticPr fontId="1"/>
  </si>
  <si>
    <t>On July 23, Proton, Malaysia held the groundbreaking ceremony for new additions to its stamping facilities in Tanjong Malim, which will expand the volume of parts stamping at this plant. The new E-Line will feature a four-stage stamping process with a 1600-ton stamping machine and three 800-ton machines. Meanwhile, the new F-Line will have a five-stage stamping process using a 2000-ton, 1200-ton, and three 1000-ton stamping force machines. Robots will also be used to transfer parts between workstations while IR 4.0 technology will be implemented using real-time data and machine learning to improve the quality of parts produced. This MYR 253 million project is the 2nd planned expansion to Proton’s parts stamping capabilities followed the inauguration of the D-Line stamping plant in March 2023. The new stamping lines will allow Proton to be less dependent on imported parts for its models. Proton added that for the whole of 2023 and up to June 2024, its Tanjong Malim plant has stamped out 6,067,064 components, of which 395,211 are from the new D-Line, and this number will grow exponentially when production for the Proton Saga sedan is relocated from Shah Alam plant to Tanjong Malim plant in 2026.</t>
    <phoneticPr fontId="1"/>
  </si>
  <si>
    <t>https://www.marklines.com/en/global/9824</t>
    <phoneticPr fontId="1"/>
  </si>
  <si>
    <t>On July 23, GAC Aion announced the launch of its 2nd-generation AION V. Positioned as a new hardcore smart electric SUV. The SUV adopts an FWD layout. The 520km-range variants are powered by a magazine battery with capacities of 62.268 kWh, 62.27 kWh, and 62.681kWh. The motor on these variants delivers a maximum power of 150kW and a peak torque of 240Nm. The combined power consumption is 12.8kWh/100km under the CLTC standard.</t>
    <phoneticPr fontId="1"/>
  </si>
  <si>
    <t>https://www.marklines.com/en/global/859</t>
    <phoneticPr fontId="1"/>
  </si>
  <si>
    <t>The refreshed 2025 Ford Maverick is set to be revealed on August 1, with ordering banks opening the same day. The 2025 Ford Maverick, built in Hermosillo, Mexico, sports a revised front fascia with a new bumper and headlight design as well as a new, larger infotainment screen inside the cabin. Prototypes of the 2025 Maverick have recently been spotted with both all-wheel drive and hybrid badging, suggesting that these configurations may become available. </t>
    <phoneticPr fontId="1"/>
  </si>
  <si>
    <t>Zotye</t>
    <phoneticPr fontId="1"/>
  </si>
  <si>
    <t>https://www.marklines.com/en/global/9432</t>
    <phoneticPr fontId="1"/>
  </si>
  <si>
    <t>On July 22, China Chentong Holdings Group (CCT Group) announced that China Chengtong International Investment Co., Ltd., a company funded by CCT Group, signed a strategic cooperation agreement with Zotye Auto. Under the agreement, Zotye Auto will enter the Moscow Greenwood World Trade Center constructed by CCT Group. The two companies will enhance cooperation in the automotive economy and trade in Russia. On July 22, Zotye Auto announced that as of July 20, 2024, Zotye and its subsidiaries had an aggregate outstanding principal due of CNY 282 million, which accounted for approximately 18.79% of the listed company’s latest audited net assets. As some mortgage debts are overdue, Zotye will have to pay relevant default fine, overdue fine, and other expenses. There are still uncertainties in the related matters, which may have certain impacts on Zotye’s daily production.</t>
    <phoneticPr fontId="1"/>
  </si>
  <si>
    <t>Changan Qiyuan</t>
    <phoneticPr fontId="1"/>
  </si>
  <si>
    <t>https://www.marklines.com/en/global/4163</t>
    <phoneticPr fontId="1"/>
  </si>
  <si>
    <t>According to multiple sources dated July 22, Changan Auto recently saw the NEVO E07 mid-to-large crossover SUV roll off the production line at its digital intelligent factory. The NEVO E07, the first product based on Changan’s SDA architecture, represents a new sort of variable car which can be converted into three body types: SUV, pickup truck, and coupe. The four-wheel drive model features front and rear motors. Powered by Changan’s Golden Shield ternary lithium batteries which adopt nano insulation material made of military-grade basalt, the SUV achieves 100% heat suppression. CTV (cell-to-vehicle) technology ensures improved safety for vehicle body and battery.</t>
    <phoneticPr fontId="1"/>
  </si>
  <si>
    <t>On July 22, GAC Group announced that Lisheng Automotive Technology (Guangzhou) Co., Ltd., a joint venture established by GAC Group and Luxshare Precision Industry Co., Ltd. in June 2023, was officially completed and put into production. With a construction area of approximately 100,000 square meters, Lisheng Technology's Nansha R&amp;D and manufacturing base is aimed at localizing the R&amp;D and production of core components for automotive domain controllers.</t>
    <phoneticPr fontId="1"/>
  </si>
  <si>
    <t>On July 22, XPeng announced that it entered into a Master Agreement on E/E Collaboration with Volkswagen Group. Under the agreement, the two companies will jointly develop industry-leading E/E Architecture for all China-made vehicles based on Volkswagen’s China Main Platform (CMP) and Modular Electric Drive Matrix (MEB) platform. Under the E/E Architecture technical collaboration, XPeng and Volkswagen Group have established Project House in Guangzhou and Hefei for engineers from both parties to work closely together and accelerate the development process for E/E Architecture. The first vehicle model equipped with the jointly developed E/E Architecture is expected to be put into production within 24 months. From 2026, all all-electric vehicles of the Volkswagen brand in China will be equipped with this architecture.</t>
    <phoneticPr fontId="1"/>
  </si>
  <si>
    <t>https://www.marklines.com/en/global/4215</t>
    <phoneticPr fontId="1"/>
  </si>
  <si>
    <t>Sichuan</t>
  </si>
  <si>
    <t>On July 20, FAW Toyota announced that it recently saw the first new Prado SUV roll off the production line at its Chengdu plant. The new Prado features a Toyota Pilot advanced intelligent driving system. It is powered by an HEV system consisting of a 288V high-voltage AC motor, a longitudinally mounted 2.4T engine and an 8-speed automatic transmission. Features such as EPS (Electric Power Steering) and Stabilizer Disconnect Mechanism (SDM) are used in a Toyota vehicle for the first time.</t>
    <phoneticPr fontId="1"/>
  </si>
  <si>
    <t>Announced on July 19, Proton is ramping up production of X50 SUV to expedite delivery timeline for eager customers by August 2024. the 2024 X50 SUV has received an overwhelming response with 8,000 bookings already collected since its launch in June. Since its original debut in 2020, the Proton X50 has been Malaysia's best-selling SUV, with 115,262 units sold up to June 2024.</t>
    <phoneticPr fontId="1"/>
  </si>
  <si>
    <t>https://www.marklines.com/en/global/3981</t>
    <phoneticPr fontId="1"/>
  </si>
  <si>
    <t>On July 14, Dongfeng Honda revealed several official images of the Ye S7, the first model of its new electric vehicle (EV) brand Ye designed for the Chinese market. Based on the brand’s new Architecture W, the Ye S7 uses lithium ternary batteries supplied by CATL. Both single-motor rear-wheel drive (RWD) and dual-motor four-wheel drive (4WD) will be available to choose from. The dual-motor 4WD version achieves a maximum power of 150kW for the front motor and 200kW for the rear motor.</t>
    <phoneticPr fontId="1"/>
  </si>
  <si>
    <t>https://www.marklines.com/en/global/613</t>
    <phoneticPr fontId="1"/>
  </si>
  <si>
    <t>On June 4, Ford celebrated that one-millionth Ranger was recently rolled off from the assembly line at at Ford South Africa’s Silverton Manufacturing Plant.</t>
    <phoneticPr fontId="1"/>
  </si>
  <si>
    <t>https://www.marklines.com/en/global/1445</t>
    <phoneticPr fontId="1"/>
  </si>
  <si>
    <t>On July 25, multiple sources reported that Toyota Motor Manufacturing Turkey will suspend production at its Sakarya plant for three weeks between July 29, 2024, and August 17, 2024, due to planned maintenance and overhaul work. During the suspension period, the company will perform maintenance and repair works at the facility to maximize the performance and efficiency of the plant.</t>
    <phoneticPr fontId="1"/>
  </si>
  <si>
    <t>https://www.marklines.com/en/global/757</t>
    <phoneticPr fontId="1"/>
  </si>
  <si>
    <t>On July 24, Atom announced that it is planning to enter the international arena and open additional production outside the country. It is assisted by the Russian Direct Investment Fund and the international corporation XY Group, which promotes the strategic development of Russian projects abroad. As part of the partnership, it is also planned to open a joint research and development center in China. In Russia, the production of the electric car will be launched on specially designated production lines of the Moskvich plant using a full assembly cycle in mid of 2025. </t>
    <phoneticPr fontId="1"/>
  </si>
  <si>
    <t>https://www.marklines.com/en/global/1889</t>
    <phoneticPr fontId="1"/>
  </si>
  <si>
    <t>Slovenia</t>
    <phoneticPr fontId="1"/>
  </si>
  <si>
    <t>On July 24, Slovenian government, along with representatives from Renault and the Revoz plant, signed a Memorandum of Understanding (MoU) to develop produce the Renault Twingo E-Tech Electric in Slovenia. This vehicle will be produced at the Revoz plant, where Renault plans to invest in new equipment and technologies to transition the plant into an EV production facility. The MoU outlines potential government support through subsidies and incentives for investments in tangible and intangible assets, development, research, innovation, and the recruitment and retraining of employees. The Renault Twingo E-Tech Electric is expected to hit the market within two years, priced below EUR 20,000, excluding purchase incentives.</t>
    <phoneticPr fontId="1"/>
  </si>
  <si>
    <t>Revoz</t>
    <phoneticPr fontId="1"/>
  </si>
  <si>
    <t>https://www.marklines.com/en/global/3261</t>
    <phoneticPr fontId="1"/>
  </si>
  <si>
    <t>West Virginia</t>
  </si>
  <si>
    <t>On July 24, Toyota West Virginia announced the start of production for the fifth-generation hybrid transaxle, a result of more than USD 300 million in investments at the plant announced in 2021 and 2022. With more than 2,000 employees, Toyota West Virginia represents a USD 2 billion investment and assembles both engines and drivetrain components for Toyota’s North American operations.</t>
    <phoneticPr fontId="1"/>
  </si>
  <si>
    <t>On July 23, GM reported record Q2 profits and revenue, but recorded a USD 600 million charge for indefinitely stopping production of the self-driving Cruise Origin, assembled at Factory Zero, but paused since November 2023. CEO Mary Barra said the Cruise subsidiary will instead focus their next autonomous vehicle on the next-generation Chevrolet Bolt, instead of the Origin. Moving ahead, the Cruise version of the Bolt will be assembled most likely at the Fairfax Assembly plant in Kansas, which will build the upcoming Chevrolet Bolt using the Ultium propulsion system. Meanwhile, production of the Equinox EV at the Ramos Arizpe Assembly plant in Mexico has been increased.</t>
    <phoneticPr fontId="1"/>
  </si>
  <si>
    <t>https://www.marklines.com/en/global/2519</t>
    <phoneticPr fontId="1"/>
  </si>
  <si>
    <t>Kansas</t>
  </si>
  <si>
    <t>On July 23, GM CEO Mary Barra said that GM is again delaying the launch of Chevrolet Silverado EV and GMC Sierra EV production at its Orion Assembly plant, which previously built the Chevrolet Bolt EV, this time by six months to mid-2026. GM’s electric trucks, including the Chevrolet Silverado EV and GMC Hummer EV pickup and SUV, are currently built at Factory Zero.</t>
    <phoneticPr fontId="1"/>
  </si>
  <si>
    <t>https://www.marklines.com/en/global/2479</t>
    <phoneticPr fontId="1"/>
  </si>
  <si>
    <t>GMC</t>
    <phoneticPr fontId="1"/>
  </si>
  <si>
    <t>On July 22, GM announced that production at its midsize truck plant in Wentzville, Missouri, is down as it awaits the end of a labor dispute at the plant's seat supplier plant owned by Lear Corp. About 4,600 employees at the Wentzville plant make the Chevrolet Colorado and GMC Canyon, and Chevrolet Express and GMC Savana vans.</t>
    <phoneticPr fontId="1"/>
  </si>
  <si>
    <t>On July 21, during an event at its Normal, Illinois plant, Rivian’s vice president of manufacturing Tim Fallon said pre-orders for the R2 have reached “well over 100,000,” with new orders increasing “organically.” Rivian is expected to hire more employees to meet its target of bringing the R2 to market in 2026, along with a plant expansion that should provide a production capacity of 215,000 units annually, with 155,000 of those expected to be R2 models.</t>
    <phoneticPr fontId="1"/>
  </si>
  <si>
    <t>https://www.marklines.com/en/global/10321</t>
    <phoneticPr fontId="1"/>
  </si>
  <si>
    <t>Texas</t>
  </si>
  <si>
    <t>Futronic, a Korea-based supplier of actuators, motors, and other controller devices, has recently been approved to build a USD 28 million facility not far from Tesla Gigafactory Texas.</t>
    <phoneticPr fontId="1"/>
  </si>
  <si>
    <t>Porsche</t>
    <phoneticPr fontId="1"/>
  </si>
  <si>
    <t>https://www.marklines.com/en/global/965</t>
    <phoneticPr fontId="1"/>
  </si>
  <si>
    <t>Reported on July 24, Sime Darby Bhd has expanded its Inokom facility in Kedah, Kulim, Malaysia to 11,000 sqm, to facilitate the local production of a second Cayenne variant from Porsche. On June 11, 2024, Sime Darby and Porsche celebrated the first Cayenne S E-Hybrid Coupé locally assembled at this plant. This new variant will be the first Malaysia-made Porsche to be exported to Thailand, one of Porsche's largest markets in the ASEAN region. Over 2,000 locally-assembled Porsche Cayennes found new homes with Malaysian families in only 2 years after assembly started, Porsche added.</t>
    <phoneticPr fontId="1"/>
  </si>
  <si>
    <t>Inokom</t>
    <phoneticPr fontId="1"/>
  </si>
  <si>
    <t>https://www.marklines.com/en/global/1881</t>
    <phoneticPr fontId="1"/>
  </si>
  <si>
    <t>Serbia</t>
    <phoneticPr fontId="1"/>
  </si>
  <si>
    <t>On July 23, EIB (European Investment Bank) Global announced it is providing a EUR 73 million loan to Fiat Chrysler Automobiles (FCA) Serbia to modernize its Kragujevac facility for a new EV platform. The project aims to support the green transformation of the European automotive industry, increase competitiveness, and facilitate technology transfer. The new Fiat Grande Panda is going to be produced in Serbia and it will feature a unique multi-energy platform for global use. A high-level inauguration event was held to mark the modernization of the Stellantis Kragujevac factory for future battery EV production.</t>
    <phoneticPr fontId="1"/>
  </si>
  <si>
    <t>https://www.marklines.com/en/global/3113</t>
    <phoneticPr fontId="1"/>
  </si>
  <si>
    <t>On July 23, Honda announced it will launch a refreshed Civic Si in the U.S. in early August, with an aggressive new front design, improved dynamics and new standard features. Civic Si’s VTEC 1.5-liter Turbo engine sends 200-hp and 192 lb-ft of torque to the front wheels, complimented by a precise short-throw 6-speed manual transmission. The 2025 Civic Si is produced at the Honda plant in Alliston, Ontario, with its turbocharged engine produced at the Honda engine plant in Anna, Ohio.</t>
    <phoneticPr fontId="1"/>
  </si>
  <si>
    <t>https://www.marklines.com/en/global/3125</t>
    <phoneticPr fontId="1"/>
  </si>
  <si>
    <t>Bentley</t>
    <phoneticPr fontId="1"/>
  </si>
  <si>
    <t>https://www.marklines.com/en/global/1378</t>
    <phoneticPr fontId="1"/>
  </si>
  <si>
    <t>UK</t>
    <phoneticPr fontId="1"/>
  </si>
  <si>
    <t>On July 23, Bentley announced the end of production of the W12 engine hand-built at the Crewe plant in UK, where more than 100,000 W12 engines since 2003 were built. The plan of ceasing production of the engine is in line with Bentley’s ground-breaking Beyond100 strategy of becoming a global leader in sustainable luxury mobility. The 6.0-liter twin turbo W12 engine will be replaced with a new powertrain, an Ultra High-Performance Hybrid made up of a V8 ICE engine and an advanced battery technology that will be available in every model in Bentley’s range.</t>
    <phoneticPr fontId="1"/>
  </si>
  <si>
    <t>https://www.marklines.com/en/global/10326</t>
    <phoneticPr fontId="1"/>
  </si>
  <si>
    <t>Singapore</t>
    <phoneticPr fontId="1"/>
  </si>
  <si>
    <t>Announced on July 22, the Singapore-made Hyundai IONIQ 6 has officially been launched on July 19 with pre-booking and test drives now available. This locally produced electric sedan followed the IONIQ 5 and the IONIQ 5 robotaxi made at Hyundai Motor Group Innovation Center Singapore (HMGICS). Its 4 available trims are Inspiration (77 kWh, Cat B), Prestige (77 kWh, Cat B), Prestige (53 kWh, Cat A), and Exclusive (53 kWh, Cat A). HMGICS has introduced a long-range Prestige (77 kWh) 2WD model that boasts a range of up to 614 km (WLTP), compared to the 519 km (WLTP) of the AWD version. </t>
    <phoneticPr fontId="1"/>
  </si>
  <si>
    <t>https://www.marklines.com/en/global/420</t>
    <phoneticPr fontId="1"/>
  </si>
  <si>
    <t>Miyagi</t>
  </si>
  <si>
    <t>Toyota Motor Corporation (Toyota) will extend the suspension of production of three models that were found to have been involved in procedural irregularities in model certification applications until the end of August. The three models concerned are the Corolla Fielder, Corolla Axio, and Yaris Cross, all of which are produced by Toyota Motor East Japan, Inc., a Toyota subsidiary. An investigation conducted in response to an order from the Japanese Ministry of Land, Infrastructure, Transport and Tourism (MLIT) revealed the irregularities and production has been suspended since June 6. As of June, the suspension was set to last until the end of July, but due to the ongoing investigation by the MLIT into compliance with the standards, it was determined that the suspension period would be extended. Production of the Yaris Cross for export will continue.  </t>
    <phoneticPr fontId="1"/>
  </si>
  <si>
    <t>On July 17, Daihatsu Motor Co., Ltd. (Daihatsu) resumed production of two hybrid models at its Shiga (Ryuo) Plant, which had been halted due to certification irregularities. The models are the hybrid versions of the Daihatsu Rocky and the Toyota Motor Corporation (Toyota) Raize. Production and factory shipments had been suspended since May 2023 after procedural irregularities in their approval applications were discovered. The Japanese Ministry of Land, Infrastructure, Transport and Tourism (MLIT) lifted its shipment suspension order on April 19, production resumed on July 17 and shipments resumed on the following day (July 18). The certification irregularities by Daihatsu, which was discovered in 2023, affected all models produced by the company in Japan (24 models including OEM-supply models). Production of the Rocky and Raize gasoline models was suspended in late December 2023, but resumed in March after the shipment suspension order was lifted by the MLIT. Production of the other 22 models was also suspended in late December 2023, but resumed sequentially from February to May.</t>
    <phoneticPr fontId="1"/>
  </si>
  <si>
    <t>https://www.marklines.com/en/global/373</t>
    <phoneticPr fontId="1"/>
  </si>
  <si>
    <t>On July 18, Toyota Motor Corporation (Toyota) announced the Japanese-market version of the LBX MORIZO RR, a high-performance version of the Lexus LBX, Lexus's smallest SUV. Order-taking began on the same day, and the model is scheduled to go on sale around the end of August. While the LBX is equipped with a hybrid system, the LBX MORIZO RR is powered by a 1.6-liter in-line three-cylinder intercooled turbocharged engine (maximum output 224kW / maximum torque 400Nm) developed for the GR Yaris and mated to either a Direct Shift 8-speed automatic transmission or a 6-speed iMT (Intelligent Manual Transmission). The drive system is an electronically controlled full-time AWD. Production will take place at the GR Factory of Toyota’s Motomachi Plant.</t>
    <phoneticPr fontId="1"/>
  </si>
  <si>
    <t>Mercedes-Benz Truck</t>
    <phoneticPr fontId="1"/>
  </si>
  <si>
    <t>https://www.marklines.com/en/global/2829</t>
    <phoneticPr fontId="1"/>
  </si>
  <si>
    <t>On July 18, Mercedes-Benz announced the launch of its eO500U battery-powered city bus in Argentina. This is the first battery-powered electric bus chassis developed and produced by Mercedes-Benz at the Sao Bernardo do Campo factory in Brazil and arrives in Argentina with the same characteristics available in Brazil. The chassis has five battery modules that together offer up to 250 km of range and can be fully recharged in 3 hours. On the rear axle, the chassis has two electric motors, as well as an EBS electronic brake and an energy regeneration system. The total gross weight of the bus is 21.2 tons, and it can be equipped with bodies up to 13.2 meters. </t>
    <phoneticPr fontId="1"/>
  </si>
  <si>
    <t>Mazda Motor Corporation (Mazda) has decided to gradually resume production of two models for the Japanese domestic market that were found to have been the subject of procedural irregularities in their certification: the Mazda2 with a 1.5-liter gasoline engine (excluding the 15MB grade) and the Roadster RF. Production of these models for the domestic market had been suspended since June 6 after an investigation conducted at the request of the Japanese Ministry of Land, Infrastructure, Transport and Tourism (MLIT) uncovered the irregularities. With the MLIT lifting its shipment suspension order on June 28, production of the Mazda2 gasoline engine model at the Hofu Plant will resume on July 18, and production of the Roadster RF at the Hiroshima Plant will resume on July 22. </t>
    <phoneticPr fontId="1"/>
  </si>
  <si>
    <t>https://www.marklines.com/en/global/273</t>
    <phoneticPr fontId="1"/>
  </si>
  <si>
    <t>Announced on July 17, 2024, GWM, at the GAIKINDO Indonesia International Auto Show 2024(GIIAS), made the local debut of the Haval Jolion HEV. This model is confirmed to be the first GWM vehicle to be assembled in Indonesia (at the facility in Wanaherang, West Java).</t>
    <phoneticPr fontId="1"/>
  </si>
  <si>
    <t>Mazda Motor Corporation (Mazda) has decided to end production of the diesel version of its Mazda2 five-door hatchback for the Japanese market in mid-September at its Hofu Plant, taking into consideration a comprehensive review of costs and future market trends as well as the fact that road emissions tests (RDE) will be applied to diesel passenger cars (continuously produced models) starting in October. The Mazda2 diesel model is powered by the compact SKYACTIV-D 1.5 diesel engine with a displacement of 1.5 liters. Production for the Japanese domestic market will be discontinued, but production for markets outside Japan will continue at the Hofu Plant. Production of the Mazda2 gasoline engine model will also continue at the Hofu Plant for both domestic and overseas markets.</t>
    <phoneticPr fontId="1"/>
  </si>
  <si>
    <t>https://www.marklines.com/en/global/10159</t>
    <phoneticPr fontId="1"/>
  </si>
  <si>
    <t>On July 23, Stellantis MEA announced a two-phase acquisition of Sopriam, a subsidiary of the Al Mada group. The first phase involves immediate majority control with full ownership by early 2025. Stellantis will manage the import and distribution of Peugeot, Citroën, and DS Automobiles in Morocco, adding to its existing brands. Stellantis will manage the import and distribution of its brand vehicles. The acquisition strengthens Stellantis' presence in Morocco, which began in 2015 with a strategic partnership with the Moroccan government. Stellantis' operations in Morocco include a robust commercial network, the first Africa Technical Center in Casablanca focusing on core technologies and future mobility, and the expanding Kenitra plant which is set to double its capacity to 400,000 vehicles by 2027.</t>
    <phoneticPr fontId="1"/>
  </si>
  <si>
    <t>https://www.marklines.com/en/global/9519</t>
    <phoneticPr fontId="1"/>
  </si>
  <si>
    <t>On July 22, multiple sources reported that Stellantis' Vigo factory will close for vacation from July 24, 2024, with operations continuing on the weekend shift until July 28. System 1, which assembles the Peugeot 2008, will be on hold until August 19, 2024. While System 2, which produces vans, will restart on August 17, 2024, operating only on the weekend shift. Additionally, the labour authority has mandated the registration of the agreement in the Official Gazette of the Province as of July 17, 2024.</t>
    <phoneticPr fontId="1"/>
  </si>
  <si>
    <t>On July 22, Kamaz announced that it has restarted operations after a two-week paid corporate vacation. Kamaz is expecting busy production months. The summer corporate vacation lasted from July 8 to July 21, 2024. Kamaz’s main production facilities were suspended during this period.</t>
    <phoneticPr fontId="1"/>
  </si>
  <si>
    <t>On July 22, multiple sources reported that the Moskvich automobile plant has suspended production of cars due to a two-week corporate vacation. The production will stop from July 22 to August 4, 2024. </t>
    <phoneticPr fontId="1"/>
  </si>
  <si>
    <t>Tata Motors</t>
    <phoneticPr fontId="1"/>
  </si>
  <si>
    <t>Tata</t>
    <phoneticPr fontId="1"/>
  </si>
  <si>
    <t>https://www.marklines.com/en/global/10753</t>
    <phoneticPr fontId="1"/>
  </si>
  <si>
    <t>On July 22, Sir Robert McAlpine (SRM), a family-owned building and civil engineering company, announced that it was selected by Agratas, Tata Group's global battery business, as an official delivery partner for Building One of its battery cell manufacturing facility in Somerset, UK. SRM will start preparations for developing the facility, which will be operational in 2026. The preparatory works have been ongoing at the site for several months, with piling for Building One expected to start in the coming weeks. </t>
    <phoneticPr fontId="1"/>
  </si>
  <si>
    <t>On July 22, the new production lines of Stellantis' plant in Kragujevac, Serbia, were inaugurated, marking the start of production for the Fiat Grande Panda. The factory's update took around two years, currently featuring automated and robotic production lines employing about 1,000 people, making Serbia the first country in the Balkans to produce EVs. Mass production of the Fiat Grande Panda is expected to begin in two months, with a hybrid version also projected to be produced at the same plant. </t>
    <phoneticPr fontId="1"/>
  </si>
  <si>
    <t>On July 22, Honda announced the arrival of the facelifted 2025 Odyssey minivan at U.S. dealerships. The enhanced appearance of the 2025 Odyssey includes a sporty new grille, and reshaped front and rear fascias. All 2025 Odysseys feature a 280 hp V6 engine and 10-speed automatic transmission with paddle shifters. The 5th-generation Odyssey and its V6 engine are produced at the Honda plant in Lincoln, Alabama, alongside Pilot, Passport and Ridgeline. Its 10-speed automatic transmission is manufactured at the Honda transmission plant in Tallapoosa, Georgia.</t>
    <phoneticPr fontId="1"/>
  </si>
  <si>
    <t>https://www.marklines.com/en/global/3137</t>
    <phoneticPr fontId="1"/>
  </si>
  <si>
    <t>On July 20, Mercedes Benz is celebrating the 120th anniversary of its Stuttgart-Untertürkheim plant. Annually, over 2 million engines, transmissions, axles, components, and batteries are produced here for vehicles on three continents. Investments in the three-digit million-euro range will enhance its role as a high-tech facility for drive technologies. The plant produces drive components and houses the forge, a significant portion of drivetrain R&amp;D, a test track, the Mercedes-Benz eCampus, and the central van division. Over 23,000 employees work at the site, with around 14,100 in production. Starting in 2024, Untertürkheim will ramp up production of electric drive units for fully electric Mercedes Benz vehicles. From 2024, electric drive unit parts will be made and assembled into electric axles. Transmission production is located at the Hedelfingen plant. By 2030, more than 70% of production energy will come from renewable sources, expanding solar and wind energy and securing further power purchase agreements.</t>
    <phoneticPr fontId="1"/>
  </si>
  <si>
    <t>On July 22, BMW Group announced that it has started the use of electricity to purify exhaust air in its paint shops. The new process allows for the high temperatures required for thermal purification of exhaust air from paint booths and drying rooms to be generated electrically by eliminating the need for natural gas. The eRTO (electrically regenerative thermal oxidation) process cleanses gaseous and vaporous substances through combustion at up to 1,000 degrees Celsius using only electricity. The first systems have been tested at the Regensburg and BMW Brilliance plants in Lydia, China, with the Dingolfing plant being the first European site to adopt this process and already converting a paint line for series production. Future installations of the eRTO system are planned, with the upcoming Debrecen plant set to start production at the end of 2025.</t>
    <phoneticPr fontId="1"/>
  </si>
  <si>
    <t>https://www.marklines.com/en/global/10495</t>
    <phoneticPr fontId="1"/>
  </si>
  <si>
    <t>Liaoning</t>
  </si>
  <si>
    <t>https://www.marklines.com/en/global/9879</t>
    <phoneticPr fontId="1"/>
  </si>
  <si>
    <t>On July 19, Daimler Truck officially opened the Battery Technology Center (BTC) at the Mercedes-Benz Mannheim plant. The 10,000 square meter BTC combines product and process development for battery-electric commercial vehicles, building expertise in battery and production processes. Two production areas are being created: one for pilot cell production to build process knowledge, and the other for manufacturing prototype battery packs for testing. The pilot line for battery packs at Mannheim is preparing for future series production of the next generation of lithium-ion batteries, planned for the second half of the decade. In parallel, a second Technology Center at the Gaggenau and Kassel sites is developing future electric drives and high-voltage components. Over 60 new systems are being installed to support prototype production of battery cells and systems, including coating, welding, assembly, and bonding processes. A total of 100 employees work at BTC, utilizing a modern office concept for increased creativity and efficiency.</t>
    <phoneticPr fontId="1"/>
  </si>
  <si>
    <t>On July 19, Bentley Motors celebrated the topping out of its new Design Centre, marking the end of the building's structural phase. The Design Centre is set to be completed next year and will transform Bentley’s historic ‘Front of House’ building from 1939 in Crewe. The new facility will be about twice the size of the old Design Centre and house around 50 designers specializing in exterior, interior, and trim design. The expansion is part of Bentley’s GBP 2.5 billion investment in its Beyond100 strategy, which aims to reinvent its product range for a fully electrified future.</t>
    <phoneticPr fontId="1"/>
  </si>
  <si>
    <t>https://www.marklines.com/en/global/1921</t>
    <phoneticPr fontId="1"/>
  </si>
  <si>
    <t>On July 19, multiple sources reported that Mercedes-Benz Vitoria factory would suspend part of its night shift production due to a Crowstrike update issue causing blue screen errors on Windows computers. The company is working with its supplier to address the problem. Trade unions reported intermittent stoppages but no complete shutdowns. Following a meeting, the company announced that production in the Rough Assembly and Painting sectors will be canceled for the night shift, while Final Assembly will operate with all three shifts.</t>
    <phoneticPr fontId="1"/>
  </si>
  <si>
    <t>On July 17, BAIC Group signed a hydrogen energy industry cooperation agreement with Dongfang Electric (Chengdu) Hydrogen Energy Technology Co., Ltd. (DEH) for: The market promotion of hydrogen fuel cell products in the Beijing-Tianjin-Hebei region and Sichuan and the development of hydrogen energy vehicles. The establishment of a hydrogen energy joint R&amp;D center for the development of hydrogen fuel cell commercial vehicles for use in certain areas and certain scenarios etc.</t>
    <phoneticPr fontId="1"/>
  </si>
  <si>
    <t>On July 17, the ID. UNYX intelligent electric coupe SUV, the first model from VW Anhui, a joint venture between JAC Group and VW Group, was launched. The ID. UNYX long-range variants are powered by a 170kW/310Nm permanent magnet synchronous motor and an 82.4kWh ternary lithium-ion battery, with an RWD layout, a power consumption of 14.1kWh/100km, and a CLTC electric-mode range of 621km. In the future, JAC Group and VW Group will continuously deepen cooperation in areas such as electrification, intelligent connectivity, and intelligent mobility.</t>
    <phoneticPr fontId="1"/>
  </si>
  <si>
    <t>On July 17, FAW Group announced the recent signing of a strategic cooperation framework agreement for vehicle-road-cloud integration with the Changchun Municipal People’s Government, China Mobile Communications Group Co., Ltd., and China Intelligent and Connected Vehicles (Beijing) Research Institute Co., Ltd.</t>
    <phoneticPr fontId="1"/>
  </si>
  <si>
    <t>https://www.marklines.com/en/global/3743</t>
    <phoneticPr fontId="1"/>
  </si>
  <si>
    <t>On July 17, the EZ-6, the first Changan Mazda midsize sedan based on an electric platform, rolled off the production line at the Nanjing Plant. Being available with both battery electric and range-extended electric variants. Furthermore, Changan Mazda signed and settled a cooperative project for New Energy Vehicles (NEVs) in Jiangning District, Nanjing. With this project as a start, the automaker will continue to invest over CNY 10 billion in the R&amp;D of NEVs to accelerate the development of multiple follow-up NEV models.</t>
    <phoneticPr fontId="1"/>
  </si>
  <si>
    <t>https://www.marklines.com/en/global/9602</t>
    <phoneticPr fontId="1"/>
  </si>
  <si>
    <t>On July 9, EVOLUTE started serial production of the hybrid crossover, i-SPACE at its EV-specialized plant in the Lipetsk region, marking the first serial production of a hybrid crossover in Russia. The vehicle is powered by a hybrid powertrain with an electric motor generating 178 hp of power and 300 Nm torque. The model includes a 17.52 kWh traction battery charged by a 1.5-liter naturally aspirated gasoline engine with a capacity of 110 hp. The company has implemented the localization plan for this model, which will offer customers a car with state-of-the-art serial hybrid technology. The company has finalized agreements with two suppliers to localize the production of traction batteries at the Lipetsk automobile plant, with the installation of batteries scheduled to be completed within six months. </t>
    <phoneticPr fontId="1"/>
  </si>
  <si>
    <t>https://www.marklines.com/en/global/10577</t>
    <phoneticPr fontId="1"/>
  </si>
  <si>
    <t>NextStar Energy, a joint venture between Stellantis and LG Energy Solution, celebrated its first anniversary and provided a status update of its upcoming battery plant in Windsor, Ontario, Canada, which is currently under construction. Construction and the installation of equipment for the module building is nearly complete. The exterior construction of the cell building is approximately 90% complete, while interior construction and equipment installation at the cell building has begun. When completed, NextStar Energy expects that the Windsor battery plant will have an annual production capacity of 49.5 GWh. Full-scale production of battery modules at the plant is expected to begin in early fall 2024. Cell manufacturing is scheduled to begin in 2025.</t>
    <phoneticPr fontId="1"/>
  </si>
  <si>
    <t>https://www.marklines.com/en/global/2847</t>
    <phoneticPr fontId="1"/>
  </si>
  <si>
    <t>On July 30, it was announced that the GM plant in Sao José dos Campos, Brazil, had stopped production activities on multiple occasions. The first stoppage occurred on Friday, July 26, when workers halted operations for two hours in the afternoon. The second occurred on Monday, July 29, with operations stopped in the morning. These interruptions were due to worker dissatisfaction over the dismissal of 50 employees during the previous week. During a meeting between GM representatives and the local metal workers union, it was agreed that all factory employees will have job stability for two months, until September 30. The union mentioned that, if personnel cuts were necessary, a Voluntary Dismissal Program should be opened.</t>
    <phoneticPr fontId="1"/>
  </si>
  <si>
    <t>On August 1, the CEO of Switch Mobility, in a social media post, announced that Switch Mobility has expanded its electric bus production line. The expansion will enable it to enhance production efficiency, catering to new products with cutting-edge technology and precision.</t>
    <phoneticPr fontId="1"/>
  </si>
  <si>
    <t>https://www.marklines.com/en/global/9812</t>
    <phoneticPr fontId="1"/>
  </si>
  <si>
    <t>On July 31, Tesla has announced that it has produced its 10 millionth drive unit from its facilities in a post on social media platform X, with a photo posted in what appears to be Gigafactory Shanghai. Tesla’s 10 millionth drive unit milestone comes less than two months after the company announced that Gigafactory Nevada plant had produced its five millionth drive unit, making it appear for now that the majority of drive units that Tesla has produced to date were manufactured in Gigafactory Nevada, which supplies the Fremont Factory.</t>
    <phoneticPr fontId="1"/>
  </si>
  <si>
    <t>https://www.marklines.com/en/global/3283</t>
    <phoneticPr fontId="1"/>
  </si>
  <si>
    <t>https://www.marklines.com/en/global/9012</t>
    <phoneticPr fontId="1"/>
  </si>
  <si>
    <t>On July 30, UzAuto Motors JSC exported the first batch of Chevrolet Cobalt cars to Mongolia. "Doctor Auto Chain" LLC, a distributor of UzAuto Motors, manages the sale and service of Chevrolet cars in Ulaanbaatar, Mongolia. The Chevrolet Cobalt meets all the requirements for use in Mongolia's harsh climate and difficult road conditions. </t>
    <phoneticPr fontId="1"/>
  </si>
  <si>
    <t>On July 30, Indus Motor Company Limited (Toyota Pakistan) commenced an export activity of certain vehicles to other Toyota-affiliated companies. Indus Motor Company Limited (IMC) stated that at this initial stage, the financial benefits from this export activity are minimal. The impact on our overall business remains insignificant and immaterial. But this initiative marks a significant step for IMC.</t>
    <phoneticPr fontId="1"/>
  </si>
  <si>
    <t>https://www.marklines.com/en/global/4075</t>
    <phoneticPr fontId="1"/>
  </si>
  <si>
    <t>NECIPS dated July 30 shows that GAC Motor Co., Ltd. was officially renamed GAC Trumpchi Motor Co., Ltd.. Established in July 2008, the company has a registered capital of around CNY 16 billion and is wholly owned by GAC Group. ​</t>
    <phoneticPr fontId="1"/>
  </si>
  <si>
    <t>https://www.marklines.com/en/global/2199</t>
    <phoneticPr fontId="1"/>
  </si>
  <si>
    <t>On July 31, Audi unveiled A6 e-tron as a Sportback and Avant, marking the second model on the PPE platform built in Ingolstadt plant, Germany. The A6 e-tron features powerful, efficient electric motors and a newly developed 100 kWh lithium-ion battery, offering a range of up to 756 km. </t>
    <phoneticPr fontId="1"/>
  </si>
  <si>
    <t>On July 31, Ford presented the refreshed 2025 Maverick lineup, including a new all-wheel drive hybrid powertrain, new towing technologies and a larger infotainment touchscreen. Ford added a third shift at the Hermosillo Assembly Plant in Mexico in 2023 in response to demand for the popular Maverick, especially hybrid models.</t>
    <phoneticPr fontId="1"/>
  </si>
  <si>
    <t>Lion Electric</t>
    <phoneticPr fontId="1"/>
  </si>
  <si>
    <t>https://www.marklines.com/en/global/10596</t>
    <phoneticPr fontId="1"/>
  </si>
  <si>
    <t>On July 31, the Lion Electric Company announced its financial and operating results for Q2 2024, with a net loss of USD (19.3) million, as compared to net loss of USD (11.8) million in Q2 2023. Lion Electric announced an action plan that reduces the company's workforce by 30% (representing approximately 300 employees) across Canada and the U.S., adjust truck manufacturing operations by introducing a batch-size manufacturing approach for trucks directly aligned with the company's order book, sell its battery packs to third parties, and potentially sublease of a significant portion of its Joliet Facility.</t>
    <phoneticPr fontId="1"/>
  </si>
  <si>
    <t>On July 30, Baojun revealed more configurations of the Yunhai, its first intelligent long-range SUV. The Yunhai is available in battery electric and plug-in hybrid variants. The battery electric variants offer a CLTC range of 600km. The plug-in hybrid variants feature the Lingxi hybrid system, delivering a WLTC fuel consumption as low as 4.96L/100km at the lowest charge, a CLTC electric-mode range of 140km, and a combined range of 1,100km.</t>
    <phoneticPr fontId="1"/>
  </si>
  <si>
    <t>https://www.marklines.com/en/global/6437</t>
    <phoneticPr fontId="1"/>
  </si>
  <si>
    <t>On July 30, Isuzu Commercial Truck of America announced it has been awarded zero-emission certifications by the California Air Resources Board (CARB) and the Environmental Protection Agency (EPA) for the Isuzu NRR-EV. Now approved for sale in all 50 states, the NRR-EV will be assembled in Charlotte, Michigan starting in August 2024.</t>
    <phoneticPr fontId="1"/>
  </si>
  <si>
    <t>On July 30, the U.S. and Mexican governments announced an agreement on a course of remediation at the VW plant in Puebla, Mexico, in response to a petition filed under the U.S.-Mexico-Canada Agreement’s (USMCA) Rapid Response Labor Mechanism. The Puebla plant will reinstate eight unjustly terminated workers with full back pay and the same titles, job duties, working conditions and benefits they had when fired. VW also established guidelines to prevent employer interference in union affairs and safeguard workers’ rights to associate freely.</t>
    <phoneticPr fontId="1"/>
  </si>
  <si>
    <t>https://www.marklines.com/en/global/165</t>
    <phoneticPr fontId="1"/>
  </si>
  <si>
    <t>On July 26, the head of Renault Group's LCV segment announced that it has halted production of the third-generation Renault Master van and continued the production of the fourth generation at its Batilly factory in France. Both generations have been produced concurrently since late last year. With 1.8 million units of the third generation made, the "NEXT-GEN" heavy van now takes over. The plant has undergone significant transformations to increase efficiency, including a new battery workshop, advanced robots, a digitized monitoring system, a control tower, and 110,000 hours of team training.</t>
    <phoneticPr fontId="1"/>
  </si>
  <si>
    <t>On July 26, GAC Aion shipped the first 500 Aion Y Plus SUVs for export to Indonesia from the Port of Xinsha, which signifies that the automaker’s presence in the Indonesian market has entered a new significant stage. This April, GAC Aion officially entered the Indonesian market, signing an agreement with Indomobile, a leading local automobile group, for strategic cooperation in various areas such as automobile manufacturing, automobile sales services and finance, the energy ecosystem, the mobility market, and the upstream and downstream of the industry chain. The GAC Aion Indonesian Plant is expected to be completed and commissioned around the end of 2024 and will launch locally manufactured products. Next, GAC Aion will penetrate countries such as Qatar and Mexico and plans to establish global production and sales sites in regions such as Asia-Pacific, Europe, the Middle East, and the Americas.</t>
    <phoneticPr fontId="1"/>
  </si>
  <si>
    <t>https://www.marklines.com/en/global/10900</t>
    <phoneticPr fontId="1"/>
  </si>
  <si>
    <t>https://www.marklines.com/en/global/1801</t>
    <phoneticPr fontId="1"/>
  </si>
  <si>
    <t>On July 31, BMW Group announced that its Component plant 02.20 in Dingolfing celebrates a decade of electric powertrain production, having manufactured over 1.5 million electric motors, one million high-voltage batteries, and 10 million battery modules. Since 2015, BMW has invested over EUR 1 billion to transform the plant into a key E-Drive Competence Centre by establishing around 15 production lines and employing more than 2,500 people. Today, the plant 02.20 produces about 80% of BMW’s electric motors and 60% of its high-voltage batteries. It will continue to play a crucial role in future developments, including supporting new facilities and providing expertise to the new plant in Debrecen, the high-voltage battery facility in Irlbach-Straßkirchen, and the Steyr plant in Austria for the Neue Klasse’s electric motors, while Landshut plant will supply the housing.</t>
    <phoneticPr fontId="1"/>
  </si>
  <si>
    <t>https://www.marklines.com/en/global/10707</t>
    <phoneticPr fontId="1"/>
  </si>
  <si>
    <t>https://www.marklines.com/en/global/1287</t>
    <phoneticPr fontId="1"/>
  </si>
  <si>
    <t>On July 31, Toyota  Kirloskar Motor (TKM) signed a memorandum of understanding (MOU) with the Government of Maharashtra, to examine the setting-up of a green field manufacturing facility at Chhatrapati Sambhaji Nagar. The proposed investment, once finalized, is expected to be made over a multi-year period, potentially contributing to substantial job creation. TKM is considering a significant investment in Maharashtra which will further strengthen its focus on advanced green technologies along with quality products and services. </t>
    <phoneticPr fontId="1"/>
  </si>
  <si>
    <t>https://www.marklines.com/en/global/1285</t>
    <phoneticPr fontId="1"/>
  </si>
  <si>
    <t>https://www.marklines.com/en/global/1353</t>
    <phoneticPr fontId="1"/>
  </si>
  <si>
    <t>On July 29, Iveco Group announced that its Suzzara plant in Mantua, Italy, has produced its 1,800,000th vehicle. The milestone vehicle is the new eDaily, an electric version of the iconic Daily featuring 140kW motor with 400 Nm of torque. The milestone vehicle is delivered to Tesco, UK based supermarket company for its fleet of 571 electrified home delivery vehicles.</t>
    <phoneticPr fontId="1"/>
  </si>
  <si>
    <t>On July 29, Seres Group announced on the Shanghai Stock Exchange (SSE) that it plans to invest in Shenzhen Yinwang Intelligent Technology Co., Ltd. (Shenzhen Yinwang). If the transaction is completed, Shenzhen Yinwang will serve as a Seres Group joint stock subsidiary. Established on January 16, 2024 with a registered capital of CNY 1 billion. The company is 100% owned by Huawei.</t>
    <phoneticPr fontId="1"/>
  </si>
  <si>
    <t>https://www.marklines.com/en/global/3045</t>
    <phoneticPr fontId="1"/>
  </si>
  <si>
    <t>Six months after BMW signed a deal with robotics startup Figure AI, the Figure 01 bipedal humanoid robots are being tested at BMW's Spartanburg, South Carolina production facility. Figure's robots were first tasked with moving bins and boxes throughout the plant's body shop, displaying their capabilities with grasping complex shapes, navigating and avoiding obstacles, and placing parts with precision. As their training and testing proceed over the next 12 to 24 months, their responsibilities are expected to expand to include performing sheet metal work and warehouse operations.</t>
    <phoneticPr fontId="1"/>
  </si>
  <si>
    <t>Evergrande</t>
    <phoneticPr fontId="1"/>
  </si>
  <si>
    <t>https://www.marklines.com/en/global/10317</t>
    <phoneticPr fontId="1"/>
  </si>
  <si>
    <t>On July 28, Evergrande Auto (the Company) announced on the Hong Kong Exchanges and Clearing Limited (HKEX) that Evergrande New Energy Vehicle (Guangdong) Co., Ltd. and Evergrande Smart Automotive (Guangdong) Co., Ltd. (the Relevant Subsidiaries) received a notice from the relevant local people’s court on July 26. According to the notice, individual creditors of the Relevant Subsidiaries applied to the relevant local people’s court for bankruptcy and reorganization of the Relevant Subsidiaries on July 25. This has a material impact on the production and operating activities of the Company and the Relevant Subsidiaries.</t>
    <phoneticPr fontId="1"/>
  </si>
  <si>
    <t>https://www.marklines.com/en/global/9900</t>
    <phoneticPr fontId="1"/>
  </si>
  <si>
    <t>Cadillac revealed its Sollei electric convertible concept car on July 23 at Cadillac House at Vanderbilt, within the General Motors Tech Center, where the Cadillac Celestiq has been on display. The Sollei convertible shares its architecture, electric motors and batteries with the Celestiq, which has a fixed roof, four doors and a hatchback. The first Celestiqs were supposed to be delivered in beginning of 2024, but first deliveries are now being pushed back to the end of 2024, according to Cadillac’s John Roth said after revealing the brand’s striking Sollei concept car in the same building. Cadillac recently announced the first Celestiqs will now be 2025 models.</t>
    <phoneticPr fontId="1"/>
  </si>
  <si>
    <t>On July 25, the Beijing Municipal Commission of Planning and Natural Resources announced that Xiaomi Jingxi Technology Co., Ltd., a Xiaomi Corp. subsidiary, won a bid for the right to use an industrial plot in the Beijing E-Town for CNY 842 million. Classified as M1 Industrial Land, the plot has a total transfer term of 50 years and an area of around 530,000 square meters. According to a related document, this industrial plot is slated for a project for the manufacturing of intelligent connected New Energy Vehicles and their components, with an investment amount of no less than CNY 2.6 billion in fixed assets and an annual output value of not less than CNY 16 billion upon commissioning. The design scheme shows that the project covers a total floor area of around 400,000 square meters.</t>
    <phoneticPr fontId="1"/>
  </si>
  <si>
    <t>https://www.marklines.com/en/global/10581</t>
    <phoneticPr fontId="1"/>
  </si>
  <si>
    <t>https://www.marklines.com/en/global/10511</t>
    <phoneticPr fontId="1"/>
  </si>
  <si>
    <t>On July 25, Ford signed a contract to expand its facilities in the Senai Cimatec Park, Camaçari, Brazil, with a new building dedicated to engineering. The event also marked the beginning of the construction of the first building of the Science Park, which will support science and research development, as well as startups connected to the Cimatec system, with investments from the Technology Parks public notice. The new building will accommodate up to 1,000 people and is expected to be completed in early 2026. Currently, the Development and Technology Center is one of Ford's nine global engineering centers, employing over 1,500 people within its 6,000 square meters of space.</t>
    <phoneticPr fontId="1"/>
  </si>
  <si>
    <t>On July 30, BMW announced that it is expanding its production network for the next generation of high-voltage batteries for the Neue Klasse in Irlbach-Strasskirchen (Germany), Debrecen (Hungary), Woodruff (US), Shenyang (China), and San Luis Potosí (Mexico). The first Neue Klasse vehicles will be produced at Debrecen plant, Hungary starting in 2025, alongside high-voltage battery manufacturing. Final buildings are being completed and will be handed over by year-end. The new battery assembly plant in Irlbach-Straßkirchen, Germany will supply German plants with batteries. Prototype cells are already being produced at the CMCC in Parsdorf, Germany, complementing the Battery Cell Competence Centre (BCCC) in the city. Shenyang's plant is set to produce batteries from 2026 in China. The installation of plant and machinery began in March 2024. San Luis Potosí, Mexico will begin series production in 2027, with expansions in the bodyshop, vehicle assembly areas, and logistics spaces. Woodruff plant, US will cover 93 hectares and create over 300 jobs. Scheduled to open in 2026, it will assemble high-voltage batteries for cars produced at the nearby Spartanburg plant, US.</t>
    <phoneticPr fontId="1"/>
  </si>
  <si>
    <t>https://www.marklines.com/en/global/10316</t>
    <phoneticPr fontId="1"/>
  </si>
  <si>
    <t>https://www.marklines.com/en/global/10729</t>
    <phoneticPr fontId="1"/>
  </si>
  <si>
    <t>https://www.marklines.com/en/global/8952</t>
    <phoneticPr fontId="1"/>
  </si>
  <si>
    <t>https://www.marklines.com/en/global/9255</t>
    <phoneticPr fontId="1"/>
  </si>
  <si>
    <t>UAZ</t>
    <phoneticPr fontId="1"/>
  </si>
  <si>
    <t>On July 29, multiple sources reported that Ulyanovsk Automobile Plant (UAZ) had suspended production of cars from July 29 to August 4, 2024, due to a corporate holiday. UAZ stated that a shortage of cars is not expected during the holiday period.</t>
    <phoneticPr fontId="1"/>
  </si>
  <si>
    <t>UD Trucks</t>
    <phoneticPr fontId="1"/>
  </si>
  <si>
    <t>https://www.marklines.com/en/global/2111</t>
    <phoneticPr fontId="1"/>
  </si>
  <si>
    <t>Samut Prakan</t>
  </si>
  <si>
    <t>Announced on July 29, Isuzu has started production of the heavy-duty S&amp;E Series for international markets at the Thai production base of UD Trucks Corporation, an Isuzu Group company. It will serve markets across ASEAN, the Middle East, and Latin America as the successor to the existing C&amp;E Series. The heavy-duty S&amp;E Series has a gross vehicle weight (GVW) of 25 - 41 tons and a gross combination weight (GCW) of 36 - 80 tons and is available in rigid and tractor unit variations. The line-up includes a GCW of above 60 tons, which was not available with the C&amp;E Series and having hub reduction feature models, which improves drivability on a rough road. The Automated Manual Transmission (AMT) equipped models have been expanded from a few countries to all market destinations.</t>
    <phoneticPr fontId="1"/>
  </si>
  <si>
    <t>https://www.marklines.com/en/global/10899</t>
    <phoneticPr fontId="1"/>
  </si>
  <si>
    <t>Announced on July 26, PT VKTR Teknologi Mobilitas Tbk (VKTR) unveiled progress of the first CKD based commercial electric vehicle facility in Indonesia, VKTS. VKTS is currently in the process of Building/Utility construction, scheduled to be completed by August 2024. Machinery and Equipment will be installed from September 2024. VKTS will be ready for line production commissioning by November 2024.</t>
    <phoneticPr fontId="1"/>
  </si>
  <si>
    <t>On July 27, Semi Program Head Dan Priestley posted the new rendering on X of the completed look of the upcoming Semi factory at Gigafactory Nevada, along with a photo of the site showing the present stage of construction. Tesla made preparations to begin construction on the Semi factory expansion earlier in July. Located alongside Gigafactory Nevada, the expansion project with the Semi and 4680 battery cell facilities is expected to cost approximately USD 3.6 billion and ultimately add four million square feet of manufacturing space and 6,500 employees. Tesla is aiming for Semi production to begin at Gigafactory Nevada in late 2025.</t>
    <phoneticPr fontId="1"/>
  </si>
  <si>
    <t>On July 26, Audi Hungaria launched its Aluminum Closed Loop project in 2021, recycling aluminum scrap from production by returning it to the supplier, who produces new aluminum coils. The process saves approximately 95% of the energy compared to producing aluminum from primary raw materials. Audi Hungaria has steadily increased its recycled aluminum, now recycling over 6,000 tons of aluminum sheet waste annually by saving nearly 45,000 tons of carbon dioxide per year. Overall, Audi Hungaria recycles more than 99% of its waste generated, including other residual materials.</t>
    <phoneticPr fontId="1"/>
  </si>
  <si>
    <t>https://www.marklines.com/en/global/2523</t>
    <phoneticPr fontId="1"/>
  </si>
  <si>
    <t>On July 26, GM announced that its Arlington Assembly plant celebrated the 70th anniversary of the plant and assembling its 13 millionth vehicle. Arlington Assembly has undergone numerous investments over the years, totaling USD 1.9 billion since 2014, and has a modernized body shop, equipped with 1,450 robotic welders that was initiated in 2020.Arlington Assembly has over 5,400 employees working in three shifts, six days a week, producing over 1,350 vehicles per day, and set a monthly production record of over 34,000 vehicles in March 2023.</t>
    <phoneticPr fontId="1"/>
  </si>
  <si>
    <t>https://www.marklines.com/en/global/4043</t>
    <phoneticPr fontId="1"/>
  </si>
  <si>
    <t>Hunan</t>
  </si>
  <si>
    <t>On July 25, BYD launched the Song L DM-i and 2025 Song Plus DM-i plug-in hybrid SUVs. The Song L DM-i, a new midsize SUV of the Dynasty series, is based on a next-generation plug-in hybrid platform. Equipped with a 74kW/126Nm 1.5L high-efficiency dedicated hybrid engine, a 160kW/260Nm permanent magnet synchronous motor, and a dedicated hybrid blade battery, the model delivers CLTC electric-mode ranges of 75km, 112km, and 160km. The 75km-range variant has a 12.9kWh battery capacity, offering an NEDC fuel consumption of 3.88L/100km at the lowest charge.</t>
    <phoneticPr fontId="1"/>
  </si>
  <si>
    <t>https://www.marklines.com/en/global/10526</t>
    <phoneticPr fontId="1"/>
  </si>
  <si>
    <t>On July 25, Chery globally launched the new Fulwin T10 mid-to-large-size ultra-long-range plug-in hybrid SUV. The Fulwin T10 is powered by a 115kW/220Nm 5th-generation 1.5T dedicated hybrid engine and a 3-speed dedicated hybrid transmission. A CATL 34.46kWh C-DM M3P battery, and a WLTC combined range of 1,400km. The Fulwin T10 200km-range variant is equipped with a 4WD system with front 165kW/390Nm and rear 175kW/310Nm motors, delivering a combined system power of 455kW, a combined system torque of 920Nm, and a WLTC fuel consumption of 6.8L/100km at the lowest charge. The Fulwin T10 comes standard with features such as a Qualcomm Snapdragon 8155 chip, AEB (Autonomous Emergency Braking), and LDP (Lane Departure Prevention).</t>
    <phoneticPr fontId="1"/>
  </si>
  <si>
    <t>https://www.marklines.com/en/global/2521</t>
    <phoneticPr fontId="1"/>
  </si>
  <si>
    <t>On July 25, Chevrolet announced the launch of the Corvette ZR1 with the most powerful V8 engine ever produced in U.S. from an automotive OEM, called the LT7, which produces 1,064 hp and 828 lb-ft of torque. Hand-assembled at the Performance Build Center at the Bowling Green Assembly Plant, ZR1’s 5.5-liter LT7 twin-turbocharged DOHC V8 engine starts with the same architecture as Z06’s LT6 from the Gemini V8 engine family, but adds twin turbochargers and other modifications.</t>
    <phoneticPr fontId="1"/>
  </si>
  <si>
    <t>https://www.marklines.com/en/global/10671</t>
    <phoneticPr fontId="1"/>
  </si>
  <si>
    <t>On July 24, it was announced that Tesla’s Gigafactory construction in Mexico is on hold at least until after the U.S. presidential elections. Musk cited potential tariffs on vehicles produced in Mexico proposed by Donald Trump as the reason for the pause. Tesla had announced plans to build a manufacturing plant in Mexico that was supposed to start production in 2026, but political uncertainty has led to delays. Despite support from Mexican state and federal governments and initial construction efforts in Nuevo León, the project has faced setbacks, last time due to high interest rates and now, political considerations. Musk, a Trump supporter, emphasized the need to wait and see how the political situation unfolds before proceeding with the Gigafactory in Mexico: "I think we have to see what happens with the election. Trump has said he will impose tariffs on vehicles produced in Mexico. So, it doesn't make sense to invest heavily in Mexico if that's going to happen."</t>
    <phoneticPr fontId="1"/>
  </si>
  <si>
    <t>https://www.marklines.com/en/global/2525</t>
    <phoneticPr fontId="1"/>
  </si>
  <si>
    <t>In its Q2 2024 earnings report released on July 23, General Motors announced that the refreshed 2025 GMC Yukon will be revealed on August 19. The 2025 GMC Yukon will feature front and rear fascias designed to closely resemble the GMC Sierra EV. While the naturally aspirated 5.3-liter V8 L84 gasoline engine and naturally aspirated 6.2-liter V8 L87 gasoline engine from the 2024 model year will remain, the 3.0-liter I6 LM2 turbodiesel Duramax engine will be replaced by the 3.0-liter I6 LZ0 turbodiesel Duramax. The GM 10-speed automatic transmission will be the sole transmission across the lineup. The revised full-size SUV will continue to be built on the GM T1 platform at the Arlington plant.</t>
    <phoneticPr fontId="1"/>
  </si>
  <si>
    <t>On July 22, Audi Hungaria announced that it has invested EUR 190.2 million in a new 15,000-square-metre production area for PPE drives within an existing hall. The facility in Győr plant employs 700 workers who are producing around 2,000 PPE electric drives daily. Audi’s latest all-electric model Q6 e-tron powered by a PPE electric motor made by Audi Hungaria in Győr, is now available to Hungarian customers. With over EUR 12 billion invested in Győr since its founding, Audi Hungaria is a major investor in the Hungarian industry and employs over 12,000 employees.</t>
    <phoneticPr fontId="1"/>
  </si>
  <si>
    <t>On February 27, PT VKTR Teknologi Mobilitas Tbk (VKTR) held the groundbreaking ceremony for the first CKD based commercial electric vehicle facility in Indonesia, through its subsidiary which is a joint venture with Karoseri Tri Sakti, namely PT VKTR Sakti Industries (VKTS). Situated in Magelang, Central Java, VKTR has set aside IDR 200 billion for the construction and technology development, while Karoseri Tri Sakti’s provided investment of around IDR 100 billion will be in the form of existing land and buildings. Once this facility reaches a stable stage, it will have an annual production capacity of up to 3,000 combined buses and trucks. This VKTS facility is expected to (i) create at least 100 green jobs by 2024, while meeting the minimum domestic component level (TKDN) of 40% (by 2025) as set by the government. This VKTS facility will also become the central hub for EV technology transfer and official local assembly facility for BYD (by 2026).</t>
    <phoneticPr fontId="1"/>
  </si>
  <si>
    <t>On July 29, multiple sources reported that Stellantis would halt production at its Malfi plant from July 29 to August 26, 2024. Earlier, it was supposed to be closed till August 2, 2024, but Stellantis has extended the shutdown period. Besides, Stellantis and unions will also discuss renewing the solidarity contracts to manage the activity of the plant over the next few months.</t>
    <phoneticPr fontId="1"/>
  </si>
  <si>
    <t>On July 29, multiple sources reported that Stellantis had extended its summer break from two weeks to six weeks at its Cassino plant in Italy, causing a halt in production operations for 40 days. The work at the plant resumes starting from September 9, 2024. The stoppage includes the planned summer holiday from August 5 to August 26, 2024, along with additional use of social safety nets before and after this period.</t>
    <phoneticPr fontId="1"/>
  </si>
  <si>
    <t>https://www.marklines.com/en/global/2269</t>
    <phoneticPr fontId="1"/>
  </si>
  <si>
    <t>On July 26, Volkswagen Commercial Vehicles (VWN) announced that it would resume production at its Hanover facility on July 29, 2024, after a three-week summer break. VWN carried out massive reconstruction measures within the plant in the three-week holiday corridor, which included over 20 major projects and 800 individual measures, carried out by 5,000 VWN employees and external partners. The company changed the timing in the assembly lines, relocated work areas with robots and other machines, and integrated new and modern technologies into the factory. The company prepared everything in the factory to produce the Multivan and ID. Buzz, which are now each produced on one line. VWN is also prepared for the additional derivatives of ID. Buzz and Multivan, including the sporty GTX version with standard all-wheel drive, the new California, and the Multivan with all-wheel drive and plug-in hybrid, which will start production in the second half of 2024.</t>
    <phoneticPr fontId="1"/>
  </si>
  <si>
    <t>On July 25, Dongfeng Automobile Co., Ltd. (DFAC) announced that its abbreviated stock name will be changed from "Dongfeng Automobile" to "Dongfeng Share" from July 30, 2024. The stock symbol "600006" remains unchanged. The change of abbreviated stock name does not involve the adjustment of DFAC's development strategies and business plans. The main business of DFAC will remain unchanged.</t>
    <phoneticPr fontId="1"/>
  </si>
  <si>
    <t>https://www.marklines.com/en/global/9822</t>
    <phoneticPr fontId="1"/>
  </si>
  <si>
    <t>According to multiple sources dated July 24, Sichuan Xiaodian New Energy Automobile Technology Co., Ltd. was recently established in Leshan City, Sichuan Province. The company has a registered capital of CNY 1.7 billion. It is jointly held by Zhidian Motor, Shanghai Xiaodian Automobile Technology Co., Ltd. (a subsidiary of Zhidian Motor), Leshan State-owned Assets Investment and Operation (Group) Co., Ltd., and Leshan Xingjia Investment Development (Group) Co., Ltd. Its business scope includes production of road motor vehicles, manufacturing of automotive parts and accessories, battery manufacturing, and R&amp;D of automotive parts.</t>
    <phoneticPr fontId="1"/>
  </si>
  <si>
    <t>https://www.marklines.com/en/global/9345</t>
    <phoneticPr fontId="1"/>
  </si>
  <si>
    <t>On July 23, Geely Farizon detailed its Xuanwu Battery for commercial vehicles. The Xuanwu Battery has been tested on a Farizon Xingxiang V7E model. It delivered a range of 285km and an energy consumption level of 16.1kWh/100km.</t>
    <phoneticPr fontId="1"/>
  </si>
  <si>
    <t>On July 23, Lucid CEO and CTO Peter Rawlinson shared a short clip of a Lucid Gravity pre-production unit at the company’s plant in Casa Grande, Arizona on his LinkedIn page. As this marks the beginning of the Lucid Gravity pre-production run, Rawlinson noted that each unit will help the company “perfect the process and will be used for final validation testing to ensure top-tier build quality in full-scale production”. The company is working toward regular Gravity production in late 2024.</t>
    <phoneticPr fontId="1"/>
  </si>
  <si>
    <t>On July 23 during GM’s Q2 earnings call, GM CEO Mary Barra noted changes the company has embraced to make its cars less expensive to produce, such as the Cadillac Lyriq in Spring Hill, Tennessee. “Through smarter contenting and optimizing selectable options, we have been able to eliminate more than 2,400 unique parts on 10 vehicles we’re launching through the first quarter of 2025,” Barra said, including subsystems and relatively costly seat assemblies, consoles, door trims, and fascias.</t>
    <phoneticPr fontId="1"/>
  </si>
  <si>
    <t>On August 8, Rever Automotive - BYD launched the BYD SEALION 6 DM-i Super Hybrid in Thailand, priced from THB 939,900. This is the first PHEV model locally manufactured at BYD's plant in Rayong. This PHEV comes with an 18.3-kWh BYD Blade Battery, Xiao Yun Plug-in Hybrid 1.5 liter High-efficiency Engine, and an electric motor (FWD).</t>
    <phoneticPr fontId="1"/>
  </si>
  <si>
    <t>On August 7, Iveco presented the BUS 17-210 G chassis powered by natural gas and biomethane at LatBus 2024 in Brazil. Designed primarily for urban transportation, the BUS 17-210G can be equipped with up to 9 storage cylinders, allowing it to achieve a range of up to 350 km and a refueling time of 20 minutes. It is equipped with the N60 CNG engine from FPT Industrial, which uses stoichiometric combustion technology, the bus produces 210hp and 760Nm of torque. This engine reduces emissions by up to 90% of NO2 and 10% of CO2 with the use of natural gas, and up to 95% less CO2 with the use of biomethane. Produced in Córdoba, Argentina, the model is presented as a viable option for the energy transition in Latin America, supported by the wide availability of gas in the region and it is available to order with the main urban bodies.</t>
    <phoneticPr fontId="1"/>
  </si>
  <si>
    <t>Stellantis (US)</t>
    <phoneticPr fontId="1"/>
  </si>
  <si>
    <t>Chrysler</t>
    <phoneticPr fontId="1"/>
  </si>
  <si>
    <t>https://www.marklines.com/en/global/2675</t>
    <phoneticPr fontId="1"/>
  </si>
  <si>
    <t>On August 7, the Dodge brand revealed details of the all-new 2024 Dodge Charger Daytona, which begins U.S. deliveries in Q4. Two-door coupe versions of Charger Daytona Scat Pack and Charger Daytona R/T will begin production at the Windsor Assembly Plant in summer 2024. Production of all-electric four-door Daytona Scat Pack and R/T models will begin in the first half of 2025. Gas-powered two-door Dodge Charger SIXPACK H.O. and four-door Dodge Charger SIXPACK S.O. models scheduled to begin production in the second half of 2025. </t>
    <phoneticPr fontId="1"/>
  </si>
  <si>
    <t>Dodge</t>
    <phoneticPr fontId="1"/>
  </si>
  <si>
    <t>https://www.marklines.com/en/global/3133</t>
    <phoneticPr fontId="1"/>
  </si>
  <si>
    <t>On August 7, Acura introduced its refreshed RDX performance SUV ahead of its arrival at U.S. dealers later this month. The third-generation Acura RDX is manufactured alongside the Acura MDX at the East Liberty Auto Plant. Its 2.0-liter VTEC turbo engine is produced at the Anna Engine Plant, while the SH-AWD system is manufactured at the Honda Transmission Plant in Ohio, and  the 10-speed automatic transmission is made in the Honda Transmission Plant in Georgia.</t>
    <phoneticPr fontId="1"/>
  </si>
  <si>
    <t>Acura</t>
    <phoneticPr fontId="1"/>
  </si>
  <si>
    <t>https://www.marklines.com/en/global/3111</t>
    <phoneticPr fontId="1"/>
  </si>
  <si>
    <t>On August 7, NorthStar Clean Energy announced the official opening of Newport Solar, a 180 MW project designed to source renewable electricity for General Motors’ operations in the Midcontinent Independent System Operator (MISO) territory including Lansing Delta Township Assembly and Lansing Grand River Assembly in Michigan, as well as Wentzville Assembly in Missouri.</t>
    <phoneticPr fontId="1"/>
  </si>
  <si>
    <t>https://www.marklines.com/en/global/2473</t>
    <phoneticPr fontId="1"/>
  </si>
  <si>
    <t>Buick</t>
    <phoneticPr fontId="1"/>
  </si>
  <si>
    <t>Cadillac</t>
    <phoneticPr fontId="1"/>
  </si>
  <si>
    <t>Atom announced that it has concluded strategic agreements with leading companies in the Russian market. More than 105,000 pre-orders were placed for the first series of Atom. At present, more than 1,400 employees are engaged in the development of the electric car and related IT services. Moscow is Atom's largest development center, where its engineering and IT centers are located. On dedicated lines of the Moskvich plant, the Atom team, together with the company's specialists, is preparing for serial production. </t>
    <phoneticPr fontId="1"/>
  </si>
  <si>
    <t>KAMA</t>
    <phoneticPr fontId="1"/>
  </si>
  <si>
    <t>https://www.marklines.com/en/global/515</t>
    <phoneticPr fontId="1"/>
  </si>
  <si>
    <t>Mitsubishi Motors Corporation (Mitsubishi Motors) announced on August 1 that it will significantly upgrade the plug-in hybrid (PHV) system of its Outlander PHEV crossover SUV and launch it in Japan in the fall of 2024. The new system uses a newly developed drive battery and significantly extends the EV-mode driving range. In addition, the interior will be newly equipped with an audio system jointly developed with Yamaha Corporation.</t>
    <phoneticPr fontId="1"/>
  </si>
  <si>
    <t>Toyota Motor Corporation (Toyota) has suspended operations on five production lines at three plants of Toyota subsidiary Toyota Auto Body Co., Ltd. in Japan from the second shift on July 23 due to parts shortages. The suspension affects Production Line #1 (Land Cruiser 70) and Production Line #2 (Noah/Voxy, etc.) at Toyota Auto Body's Fujimatsu Plant; Production Line #1 (Land Cruiser 300/Lexus LX) and Production Line #2 (Land Cruiser 70) at the Yoshiwara Plant; and Production Line #1 at the Inabe Plant ( Alphard/Vellfire, etc.). Production was planned to resume from the second shift on July 24 at Production Lines #1 and #2 at the Fujimatsu Plant and Production Lines #1 and #2 at the Yoshiwara Plant. Resumption of operations at the Inabe Plant Production Line #1 is scheduled from the first shift on July 25.</t>
    <phoneticPr fontId="1"/>
  </si>
  <si>
    <t>https://www.marklines.com/en/global/413</t>
    <phoneticPr fontId="1"/>
  </si>
  <si>
    <t>Isuzu Motors Limited (Isuzu) announced on July 24 that it will release "Elfmio," a light-duty diesel truck that can be driven with a standard driver's license (automatic transmission only), in Japan on July 30. The Elfmio, which is compatible with a standard driver's license, will broaden the range of drivers and contribute to alleviating the driver shortage that is becoming more serious in the logistics industry and other sectors. The Elfmio is equipped with the RZ4E 1.9L diesel engine (maximum output: 88kW / peak torque: 320Nm), which offers excellent fuel economy, mated to a 6-speed automatic transmission as its powertrain. In addition to single cab and double cab variations, Isuzu's unique space cab with extended interior space behind the seats is also available. The Elfmio will be produced at Isuzu’s Fujisawa Plant. In January, Isuzu also introduced the Elfmio EV, a light-duty BEV truck drivable with a standard driver's license.</t>
    <phoneticPr fontId="1"/>
  </si>
  <si>
    <t>https://www.marklines.com/en/global/555</t>
    <phoneticPr fontId="1"/>
  </si>
  <si>
    <t>Isuzu Motors Limited (Isuzu) announced on July 23 that it has added models with gross vehicle weights (GVW) of 15 tons or more (16-ton, 20-ton, and 22-ton specifications) to its new "Forward" (medium-duty truck) lineup launched in Japan in 2023. The models above 15-ton GVW are equipped with the DB6A 6.7-liter new inline six-cylinder diesel engine jointly developed with Cummins Inc. (Cummins) of the U.S. The DB6A-TCC, mounted on 6x4 models, has a maximum output of 220kW and peak torque of 1,081Nm, while the DB6A-TCN, installed in 4x2 models, has a maximum output of 191kW and peak torque of 883Nm. In May 2019, Isuzu and Cummins signed the Isuzu Cummins Powertrain Partnership (ICPP) for the efficient development of next-generation powertrains. The installation of the DB6A engine in the Forward is a result of this agreement. A line-off ceremony for the DB6A was recently held at Isuzu's Tochigi Plant.</t>
    <phoneticPr fontId="1"/>
  </si>
  <si>
    <t>On July 23, UD Trucks Corporation (UD Trucks) announced the addition of models with gross vehicle weights (GVW) of 15 tons or more (16-ton, 20-ton, and 22-ton specifications) to its new Condor (medium-duty truck) lineup, which was launched in Japan in January. The Condor is an OEM-supplied model based on Isuzu Motors Limited’s (Isuzu's) Forward medium-duty truck, which is produced at Isuzu's Fujisawa Plant. The models over 15 tons, which went on sale on July 23, are equipped with the new DB6A inline 6-cylinder diesel engine with a displacement of 6.7 liters, jointly developed by Isuzu and Cummins Inc. of the U.S. The DB6A-TCC, mounted on 6x4 models, delivers maximum output of 220kW and peak torque of 1,081Nm, while the DB6A-TCN, installed in 4x2 models, delivers maximum output of 191kW and peak torque of 883Nm. A line-off ceremony for the DB6A engine was recently held at Isuzu's Tochigi Plant.</t>
    <phoneticPr fontId="1"/>
  </si>
  <si>
    <t>https://www.marklines.com/en/global/2595</t>
    <phoneticPr fontId="1"/>
  </si>
  <si>
    <t>On August 7, Ford Pro announced that the new, updated 2025 Ford Police Interceptor Utility (PIU) is shipping to police agencies across the U.S. Assembled at the Chicago Assembly Plant, the PIU offers a 3.3-liter direct-injected V6 with hybrid system (AWD), 3.3-liter V6 gas engine (AWD), and 3.0-liter V6 EcoBoost engine (AWD).The hybrid system powers onboard equipment even when the gas engine is off, contributing to fuel savings. The 2025 Ford PIU comes standard with features including Police Perimeter Alert.</t>
    <phoneticPr fontId="1"/>
  </si>
  <si>
    <t>On August 6, the BMW Group announced that the latest humanoid robot Figure 02, from California company Figure, successfully inserted sheet metal parts into specific fixtures, which were then assembled as part of the chassis at BMW Group Plant Spartanburg during a trial run lasting several weeks. Figure 02 has three times the processing power of its predecessor, improved voice communication, better cameras, microphones, and sensors, a high-performance battery, and fourth-generation human-scale hands. Currently, there are no Figure AI robots at the Spartanburg plant, and no definite timetable has been established for bringing Figure robots to the plant, though BMW will continue to work with Figure for data capturing and training capabilities for the Figure02 robots.</t>
    <phoneticPr fontId="1"/>
  </si>
  <si>
    <t>On August 4, Farizon New Energy Commercial Vehicles Group (Farizon) launched 260kW and 400kW methanol-hydrogen electric systems and the first high-power automatic power transmission chain for heavy-duty commercial vehicles at an event in Hangzhou. Farizon owns the intellectual property rights for the 260kW methanol-hydrogen electric system, which delivers a maximum thermal efficiency of 50.3%, a methanol-to-electricity conversion rate of 2.2kWh/L. The range extender offers an energy density of 320W/kg, two times that of a power battery. Together with ZF, Farizon launched the world’s first zero-carbon methanol automatic power transmission chain for heavy-duty commercial vehicles. The 400kW methanol-hydrogen power system of the product has been innovated and upgraded on all fronts to offer remarkable performance enhancement, such as a high output power of 540PS, a high output torque of 2,500Nm, a combined thermal efficiency of over 45% from deep joint optimization of the engine and the transmission, and a hydraulic retarding assisted braking power of over 600kW for efficient braking.</t>
    <phoneticPr fontId="1"/>
  </si>
  <si>
    <t>On August 2, the Dongfeng Motor Corporation (DFMC) Global Innovation Center (the Center) was officially inaugurated and commissioned in Wuhan, Hubei. Positioned as a site for research on basic science and forward-looking technologies for the next 5 to 10 years, the Center will probe more thoroughly into future key competitive areas, such as New Energy, new materials, autonomous driving, and AI, and pool and nurture top technical personnel more extensively. The Center will actively cooperate with the industry’s high-quality R&amp;D resources on the four areas of forward-looking technologies, advanced materials and processes, intelligentization, and technology exhibition to step up shaping a complete automotive industry chain with global competitiveness.</t>
    <phoneticPr fontId="1"/>
  </si>
  <si>
    <t>https://www.marklines.com/en/global/8598</t>
    <phoneticPr fontId="1"/>
  </si>
  <si>
    <t>On August 7, JLR announced that it has entered a plant shutdown period, during which maintenance work will be carried out on the production lines to ensure efficient operation for the remainder of the year. In addition to maintenance, JLR will continue to build an additional 30,000 square meters space at its Solihull facility for new EV production. It will also install new robots for Range Rover Electric production, and upgrades will be made to the trim and final spaces for next-generation EVs. It will carry out over 76 different activities at its Electric Propulsion Manufacturing Centre, including machinery relocation and new technology installation. Additionally, JLR will continue to transform its Halewood plant into an all-electric facility. While the Nitra plant in Slovakia will also receive upgrades, including maintenance of production lines and the completion of a new employee bus station.</t>
    <phoneticPr fontId="1"/>
  </si>
  <si>
    <t>Jaguar</t>
    <phoneticPr fontId="1"/>
  </si>
  <si>
    <t>https://www.marklines.com/en/global/2337</t>
    <phoneticPr fontId="1"/>
  </si>
  <si>
    <t>Land Rover</t>
    <phoneticPr fontId="1"/>
  </si>
  <si>
    <t>https://www.marklines.com/en/global/2335</t>
    <phoneticPr fontId="1"/>
  </si>
  <si>
    <t>https://www.marklines.com/en/global/9378</t>
    <phoneticPr fontId="1"/>
  </si>
  <si>
    <t>Slovakia</t>
    <phoneticPr fontId="1"/>
  </si>
  <si>
    <t>On August 6, Mercedes Benz presented new articulated chassis at LatBus 2024, in Sao Paulo, Brazil. One of the models presented was the eO500UA, a low-floor articulated electric bus for an 18-meter body with a central electric motor and NMC3 batteries that allow it to offer a range of up to 250 km and transport up to 120 passengers. Its tests will be carried out at the Mercedes-Benz proving ground in Iracemápolis, Sao Paulo. The vehicle is expected to be in service in Brazil from 2026, and to be exported to other countries in the region. The chassis is being developed and will be produced in Brazil, at the São Bernardo do Campo plant, in ABC Paulista, as commented by Achim Puchert, president of Mercedes-Benz do Brasil and CEO Latin America.</t>
    <phoneticPr fontId="1"/>
  </si>
  <si>
    <t>On August 6, Rivian released its financial results for Q2 2024. Rivian produced 9,612 vehicles in Q2 at its plant in Normal, Illinois, and delivered 13,790 vehicles, 9.1% more than the 12,640 in 2023. With plant downtime for a retooling upgrade, deliveries exceeded production as Rivian reduced inventory of its first-generation R1 trucks and SUVs. Rivian is reaffirming its 2024 annual guidance of 57,000 total units of production. Cycle time improvements were made through the entire plant to support an increase in the R1 vehicle production line rate of 30%.</t>
    <phoneticPr fontId="1"/>
  </si>
  <si>
    <t>On August 5, Indus Motor Company, assembler, and manufacturer of Toyota vehicles in Pakistan announced that it has decided to temporarily close its production plant from August 6 to August 8, 2024 (both days inclusive) due to the current low level of inventory of raw materials and components and is facing continuous supply chain challenges, resulting in shortages of parts and components for manufacturing of vehicles.</t>
    <phoneticPr fontId="1"/>
  </si>
  <si>
    <t>On August 5, Lucid Group, Inc. announced financial results for its second quarter in 2024, selling more vehicles with reduced prices. Lucid produced 2,110 vehicles in Q2, and is on track for annual production of approximately 9,000 units in Casa Grande, Arizona. The company delivered 2,394 vehicles in Q2, up 70.5% compared to Q2 2023.</t>
    <phoneticPr fontId="1"/>
  </si>
  <si>
    <t>Tesla plans to increase sales before proceeding with its expansion plans for Gigafactory Berlin. In July, the Brandenburg State Office for the Environment partially approved Tesla’s expansion plans for Gigafactory Berlin. The plant’s expansion permit has been divided into several parts. Tesla received approval to start construction within Gigafactory Berlin’s existing facility, but not permission to cut down more trees in the forest near the plant. While Tesla has acknowledged the plateauing EV market in 2024, it believes its sales will pick up again, especially in Great Britain and Ireland as Gigafactory Berlin has been building right-hand drive vehicles.</t>
    <phoneticPr fontId="1"/>
  </si>
  <si>
    <t>https://www.marklines.com/en/global/9039</t>
    <phoneticPr fontId="1"/>
  </si>
  <si>
    <t>On August 2, Wuling Motors started accepting pre-orders for the Xingguang S, its first large dual-power family SUV based on the D platform under the Tianyu architecture. ​​Equipped with a 150kW/310Nm Lingxi power system and a Shenlian battery, the Xingguang S plug-in hybrid variants, an NEDC fuel consumption as low as 3.9L/100km at the lowest charge, an electric-mode range of 60km or 130km, and a combined range of over 1,100km when fully fueled and charged. The battery electric variants offer a power consumption of 14kWh/100km, a combined range of 510km, a top speed of 175km/h.</t>
    <phoneticPr fontId="1"/>
  </si>
  <si>
    <t>https://www.marklines.com/en/global/2191</t>
    <phoneticPr fontId="1"/>
  </si>
  <si>
    <t>On August 6, Porsche launched a new battery storage system at its Leipzig plant, utilizing used Taycan batteries from pre-series and test vehicles. The project was developed in collaboration with the University of Applied Sciences Zwickau which aims to improve energy efficiency and support a flexible power grid. The system features a total capacity of 5 megawatts and an energy content of 10 megawatt-hours, with 4,400 battery modules arranged in four containers. It operates with up to 20% overload for short periods. These modules are installed without modifications, are connected to inverters and transformers, and are designed to last over ten years, with replaceable individual modules. The system partly utilizes electricity from the plant’s solar panels, helping to manage peak loads and reduce grid charges.</t>
    <phoneticPr fontId="1"/>
  </si>
  <si>
    <t>https://www.marklines.com/en/global/10762</t>
    <phoneticPr fontId="1"/>
  </si>
  <si>
    <t>Saudi Arabia</t>
    <phoneticPr fontId="1"/>
  </si>
  <si>
    <t>On August 5, Lucid Group, Inc. announced that the Public Investment Fund (PIF) committed USD 1.5 billion to the group. Ayar Third Investment Company, an affiliate of PIF, will purchase USD 750 million of convertible preferred stock via private placement, and provide for a USD 750 million unsecured delayed draw term loan facility, subject to certain terms and conditions. Lucid intends to use the net proceeds from the private placement and any proceeds from the term loan for general corporate purposes, which may include, among other things, capital expenditures and working capital.</t>
    <phoneticPr fontId="1"/>
  </si>
  <si>
    <t>https://www.marklines.com/en/global/3187</t>
    <phoneticPr fontId="1"/>
  </si>
  <si>
    <t>On August 5, Nissan presented the refreshed 2025 Frontier mid-size pickup, which will reach U.S. dealerships later this summer from the plant in Canton, Mississippi, where it is built. The 2025 Frontier's new look includes a revised front fascia, grille and bumper design; a new tailgate finisher for PRO-X/PRO-4X; and redesigned dashboard trim. Frontier continues with its direct-injected 3.8-liter V6 engine and 9-speed automatic transmission, rated for 310 hp and 281 lb-ft of torque.</t>
    <phoneticPr fontId="1"/>
  </si>
  <si>
    <t>https://www.marklines.com/en/global/10665</t>
    <phoneticPr fontId="1"/>
  </si>
  <si>
    <t>New York</t>
  </si>
  <si>
    <t>Tesla has restated its plans to build a USD 500 million Dojo supercomputer hub in Buffalo, New York, and has signed a new agreement with the city that extends the company’s commitment to operate Gigafactory New York for five more years until 2034, with the possibility of another ten-year extension. The agreement requires Tesla to pay USD 2 million per year starting in 2024 until 2029 for Gigafactory New York, after which the rent will increase to USD 5 million annually until 2034.  Gigafactory New York currently produces the Solar Roof, solar panels, and electrical components of Superchargers, and also houses an Autopilot team mostly comprised of data annotation specialists.</t>
    <phoneticPr fontId="1"/>
  </si>
  <si>
    <t>On August 2, Ford announced that shipments of the 2025 Ford Explorer and 2025 Lincoln Aviator have already begun from its Chicago Assembly Plant. The 2025 Ford Explorer has bolder exterior styling, a redesigned interior and advanced tech, including BlueCruise hands-free driving. The new 2025 Lincoln Aviator shows the brand’s design language and tech including the new Lincoln Digital Experience and BlueCruise hands-free highway driving. Chicago Assembly employs cutting-edge tools like Ford’s Mobile AI Vision System (MAIVS) and other vision systems to assist in vehicle checks.</t>
    <phoneticPr fontId="1"/>
  </si>
  <si>
    <t>Lincoln</t>
    <phoneticPr fontId="1"/>
  </si>
  <si>
    <t>Ram</t>
    <phoneticPr fontId="1"/>
  </si>
  <si>
    <t>As Stellantis discontinues its previous-generation Ram 1500 Classic, Bridgewater Interiors announced in a WARN notice filed August 5 in Michigan that it is planning to lay off 63 employees at its Detroit plant by the end of September. Chris Feuell, CEO of the Ram brand, confirmed that the automaker would be ending production of the half-ton pickup truck at its Warren Truck Assembly plant. “With the introduction of the Tradesman trim on the new Ram 1500 for 2024 model year, we bid farewell to the previous generation and remind customers that the HEMI-powered Ram 1500 Classic will sell into 2025,” said Stellantis spokeswoman Jodi Tinson.</t>
    <phoneticPr fontId="1"/>
  </si>
  <si>
    <t>On August 1, Hyper, a GAC Aion sub-brand, announced that the non-Chinese edition of the Hyper SSR, China’s first production supercar, rolled off the production line. This marks the first time that a Chinese supercar has achieved volume export. This October, the model will be on display at the Paris Motor Show 2024.</t>
    <phoneticPr fontId="1"/>
  </si>
  <si>
    <t>https://www.marklines.com/en/global/10683</t>
    <phoneticPr fontId="1"/>
  </si>
  <si>
    <t>On February 3, Kim Long Motors, Vietnam held the “Kim Long Brand Bus Launch - Contract Signing and Vehicle Handover Ceremony” at the Kim Long Motors Manufacturing and Assembly Complex in Thua Thien Hue province. The all-new Kim Long – Kim Long Mobiline brand bus was officially launched on the market. This sleeper bus was researched, developed, and manufactured locally at its plant. Inspired by the "Sacred Dragon" design, this sleeper bus comes in 3 versions: Standard, Deluxe, and Luxury from 22 to 36 beds, priced from around VND 3.838 billion. Also at the event, Kim Long Motors signed cooperation agreements with partners to supply 300 vehicles by Q1/2024. The handover ceremony of 19 Mobiline sleeper buses took place right after the product launch. </t>
    <phoneticPr fontId="1"/>
  </si>
  <si>
    <t>KG Mobility (KGM)</t>
    <phoneticPr fontId="1"/>
  </si>
  <si>
    <t>https://www.marklines.com/en/global/10726</t>
    <phoneticPr fontId="1"/>
  </si>
  <si>
    <t>On August 5, Volvo Cars completed initial phase of the construction of its climate-neutral car factory in Košice, Slovakia. The company has completed the press shop, body shop, paint shop, foundry, and other essential buildings. Volvo reported that 60% of the main construction has been finalised, till date. The next phase includes construction of the final assembly hall and the facility for producing electric motors and battery assembly. The production at the plant is scheduled to begin by the end of 2026.</t>
    <phoneticPr fontId="1"/>
  </si>
  <si>
    <t>In its Q2 2024 results, Magna International reported that its vehicle assembly operations in Graz, Austria, are facing uncertainties, due to the planned end of production for several vehicles, including the Fisker Ocean, Jaguar E-Pace, Jaguar I-Pace, BMW Z4, Toyota Supra, and INEOS's decision to cancel the Fusilier program. The company believes that European Union tariffs on imported Chinese-made EVs could present opportunities for contract assembly. It is also undertaking restructuring efforts to mitigate the impact of the loss of production. Additionally, the company also announced that not securing new complete vehicle assembly programs with sufficient volumes to replace discontinued programs could have a significant impact on its sales and profitability.</t>
    <phoneticPr fontId="1"/>
  </si>
  <si>
    <t>Scout Motors</t>
    <phoneticPr fontId="1"/>
  </si>
  <si>
    <t>Magna Steyr</t>
    <phoneticPr fontId="1"/>
  </si>
  <si>
    <t>Fisker</t>
    <phoneticPr fontId="1"/>
  </si>
  <si>
    <t>GAZ</t>
    <phoneticPr fontId="1"/>
  </si>
  <si>
    <t>https://www.marklines.com/en/global/699</t>
    <phoneticPr fontId="1"/>
  </si>
  <si>
    <t>On August 2, multiple sources reported that Gorky Automobile Plant would stop production from August 5 to 18, 2024 due to a scheduled corporate vacation. However, equipment modernization, maintenance, repair, and commissioning work will be carried out at production facilities, which cannot be organized without stopping production.</t>
    <phoneticPr fontId="1"/>
  </si>
  <si>
    <t>On August 2, Ebro, through its parent company EV Motors, closed a financing round of EUR 40 million, with Andbank España as the coordinating bank and sole issuer of the capital increase. The company intends to use the funds to consolidate the industrial project and relaunch the brand. The funding will allow the company to begin the process of listing on the BME Growth market, develop business plan, and monitor public aid linked to the PERTE for manufacturing at the Zona Franca plant and the development of electric and connected vehicles (VEC).</t>
    <phoneticPr fontId="1"/>
  </si>
  <si>
    <t>Beiben</t>
    <phoneticPr fontId="1"/>
  </si>
  <si>
    <t>https://www.marklines.com/en/global/3593</t>
    <phoneticPr fontId="1"/>
  </si>
  <si>
    <t>Inner Mongolia</t>
  </si>
  <si>
    <t>On July 31, Beiben Trucks announced the recent signing of a strategic cooperation agreement on hydrogen energy heavy-duty trucks (HDTs) with Rockcheck FuturEnergy and Technology Group (Rockcheck). In the future, the two parties will focus on the joint R&amp;D and manufacturing of hydrogen energy HDTs, cooperation on hydrogen energy zero-carbon transportation scenarios and ecosystems, and the joint R&amp;D and promotion of technologies such as V2X (Vehicle to Everything) and intelligent driving for commercial vehicles.</t>
    <phoneticPr fontId="1"/>
  </si>
  <si>
    <t>https://www.marklines.com/en/global/3969</t>
    <phoneticPr fontId="1"/>
  </si>
  <si>
    <t>On July 27, Jetour presented a compact crossover Jetour X50 at the Chinese Motor Show 2024. It has a length of 4,397 mm and a width of 1,841 mm. In Russia, it is offered with front-wheel drive, multi-link suspension, and two powertrain options. The basic version is equipped with a 1.5-liter naturally aspirated gasoline engine with a capacity of 113 hp and a 5-speed manual gearbox. The second version has a 1.5-liter turbocharged engine (147 hp, 210 Nm), which is combined with a 6-speed automated preselective transmission with two clutches.</t>
    <phoneticPr fontId="1"/>
  </si>
  <si>
    <t>Jetour</t>
    <phoneticPr fontId="1"/>
  </si>
  <si>
    <t>Alpine</t>
    <phoneticPr fontId="1"/>
  </si>
  <si>
    <t>https://www.marklines.com/en/global/169</t>
    <phoneticPr fontId="1"/>
  </si>
  <si>
    <t>On July 30, Alpine announced the start of taking orders for the A290 range. The vehicle is a B segment 5-door front wheel drive hatchback, measuring 3,997 mm x 1,823 mm x 1,512 mm (LxWxH), wheelbase of 2,534 mm. The vehicle is available in four versions (GT, GT Premium, GT Performance, GTS), all featuring up to 26 driving aids to simplify driving and parking maneuvers and protect occupants. Additionally, Alpine is launching the A290 Première Édition, a limited series of 1,955 units.</t>
    <phoneticPr fontId="1"/>
  </si>
  <si>
    <t>https://www.marklines.com/en/global/1205</t>
    <phoneticPr fontId="1"/>
  </si>
  <si>
    <t>On August 15, Mahindra &amp; Mahindra introduced the 5-door Thar ROXX SUV, with prices ranging from INR 1.3 million to INR 2.05 million. The vehicle is based on Mahindra’s new M_GLYDE platform and is available in two engine options. The G20 TGDI mStallion gasoline engine offers 130 kW of power and 380 Nm of torque, while the 2.2L mHawk diesel engine provides 128.6 kW of power and 370 Nm of torque. Both engines are paired with a 6-speed manual or a 6-speed AISIN torque converter automatic transmission. The Thar ROXX was designed at Mahindra India Design Studio (MIDS) in Mumbai, engineered at Mahindra Research Valley (MRV) near Chennai, and developed and tested at the Mahindra SUV Proving Track (MSPT). Production takes place at Mahindra's Nashik facility.</t>
    <phoneticPr fontId="1"/>
  </si>
  <si>
    <t>https://www.marklines.com/en/global/10661</t>
    <phoneticPr fontId="1"/>
  </si>
  <si>
    <t>On August 15, Acura took a step forward in its electrification strategy with the world-debut of the Acura Performance EV Concept, which previews the brand's next generation all-electric model. Scheduled to go into production in late 2025, an all-new Acura model based on the Acura Performance EV Concept will be the first model engineered on the new Honda-developed EV platform and the first EV produced at the Honda EV Hub in Ohio. Honda is working toward the start of EV production at the Marysville Auto Plant in late 2025, with preparation for vehicle production and in-house assembly of the Intelligent Power Unit (IPU), which houses the EV battery as part of the vehicle platform. Honda has committed to investing USD 700 million to transform its Marysville Auto Plant, East Liberty Auto Plant and Anna Engine Plant to lead the start of EV production in North America. Construction also progresses at L-H Battery Company, Inc., the joint venture EV battery facility near Jeffersonville, Ohio.</t>
    <phoneticPr fontId="1"/>
  </si>
  <si>
    <t>https://www.marklines.com/en/global/3109</t>
    <phoneticPr fontId="1"/>
  </si>
  <si>
    <t>https://www.marklines.com/en/global/2645</t>
    <phoneticPr fontId="1"/>
  </si>
  <si>
    <t>Stellantis’s Trenton Engine Complex, which produces V6 Pentastar engines for Rams, Chryslers and Jeeps, will shut down the week of August 19 with workers temporarily laid off. The facility, with two shifts employing more than 600 hourly and salaried workers, "will be down next week to balance engine inventories”, said Jodi Tinson. The current bank of finished engines was 20,700 this week. Trenton builds engines that go into Jeep Wranglers and Gladiators, and recently discontinued Ram Classic.</t>
    <phoneticPr fontId="1"/>
  </si>
  <si>
    <t>MG</t>
    <phoneticPr fontId="1"/>
  </si>
  <si>
    <t>https://www.marklines.com/en/global/9045</t>
    <phoneticPr fontId="1"/>
  </si>
  <si>
    <t>On August 14, SAIC Motor-CP and MG Sales Thailand held line off ceremony for the all-new MG3 HYBRID+ at the plant in WHA ESIE 2, Chonburi province. This HEV’s local launch is scheduled for August 20.</t>
    <phoneticPr fontId="1"/>
  </si>
  <si>
    <t>On August 14, Infiniti announced its return to the annual Pebble Beach Automotive Week and Pebble Beach Concours d'Elegance, celebrating 35 years of design and presenting its all-new 2025 QX80 full-size SUV as it begins its U.S. launch. Built at the Kyushu plant in Japan, the 2025 QX80 SUV will begin to arrive at dealerships across the U.S. in August, with other regions to follow later in 2024.</t>
    <phoneticPr fontId="1"/>
  </si>
  <si>
    <t>https://www.marklines.com/en/global/2509</t>
    <phoneticPr fontId="1"/>
  </si>
  <si>
    <t>On August 14, GM announced that it is being recognized by the U.S. DOE for reducing natural gas consumption at the company’s Fort Wayne, Indiana, assembly plant by 30%, against a 2019 baseline. The project is part of GM’s effort to reduce greenhouse gas emissions from its operations by 72% by 2035 and achieve carbon neutrality by 2040. The Fort Wayne plant repurposes waste heat from gas-powered generators to heat the plant, which GM is working to deploy at St. Catharine’s Propulsion Plant in Ontario, which is expected to be operational in 2025.</t>
    <phoneticPr fontId="1"/>
  </si>
  <si>
    <t>https://www.marklines.com/en/global/2549</t>
    <phoneticPr fontId="1"/>
  </si>
  <si>
    <t>On August 13, XPeng announced on the Hong Kong Exchanges and Clearing Limited (HKEX) that as its MONA M03 model was put into production on July 30 for sales and delivery to customers, the SOP (start-of-production) milestone under the share purchase agreement has been achieved. Pursuant to the agreement, XPeng allotted and issued 4,636,447 Class-A ordinary shares to DiDi Global as SOP consideration shares, accounting for approximately 0.24% of XPeng’s issued and outstanding capital stock as enlarged by the allotment and issuance of the SOP consideration shares.</t>
    <phoneticPr fontId="1"/>
  </si>
  <si>
    <t>https://www.marklines.com/en/global/9486</t>
    <phoneticPr fontId="1"/>
  </si>
  <si>
    <t>On August 13, Neta Auto started accepting pre-orders for a shooting brake edition of the Neta S mid-to-large-size intelligent sedan. The Neta S shooting brake is powered by the Hozon Super Range Extender 2.0 system, a 200kW high-performance permanent magnet synchronous motor, and a 43.88kWh ternary lithium battery, delivering CLTC electric-mode and combined ranges of 300km and 1,200km, respectively. It comes with features such as the Neta AD or AD Max intelligent driver assistance system.</t>
    <phoneticPr fontId="1"/>
  </si>
  <si>
    <t>https://www.marklines.com/en/global/10404</t>
    <phoneticPr fontId="1"/>
  </si>
  <si>
    <t>Jiangxi</t>
  </si>
  <si>
    <t>Polestar</t>
    <phoneticPr fontId="1"/>
  </si>
  <si>
    <t>https://www.marklines.com/en/global/10796</t>
    <phoneticPr fontId="1"/>
  </si>
  <si>
    <t>On August 13, the Polestar Technology China Headquarters was officially commissioned in the Jiangning Economic and Technological Development Zone (JNDZ) in Nanjing. This indicates that Polestar will be deeply integrated into the intelligent connectivity technology industry ecosystem of the JNDZ. Located in the Purple Mountain Tech City in the JNDZ, the Polestar Technology China Headquarters covers a total floor area of 8,322.45 square meters. At the site, Polestar will focus on establishing an intelligent R&amp;D hub. By gathering R&amp;D, sales, and operation personnel, the company will create the Polestar OS intelligent in-vehicle operating system and supporting intelligent products, open up the boundary between automobiles and intelligent products, develop a high-end product matrix, and promote the manufacturing and sales of Polestar models in the Chinese market.</t>
    <phoneticPr fontId="1"/>
  </si>
  <si>
    <t>On August 13, Karry Auto announced the recent launch of the Karry Battery at Chery Commercial Vehicle (Anhui) Co., Ltd. The Karry Battery employs high-strength rolled steel, a 6-layer bottom protective structure, and an additional 4-layer side reinforcement. The Karry Battery maintains high performance after 6,000 cycles. Intelligence-wise, the battery management system classifies battery faults into 8 levels and handles such faults imperceptibly.</t>
    <phoneticPr fontId="1"/>
  </si>
  <si>
    <t>https://www.marklines.com/en/global/9605</t>
    <phoneticPr fontId="1"/>
  </si>
  <si>
    <t>On August 13, Dongfeng Motor Corporation (DFMC) announced that Voyah, a sub-brand, will unveil a global edition of the new Zhiyin battery electric SUV outside of China in mid-September.</t>
    <phoneticPr fontId="1"/>
  </si>
  <si>
    <t>https://www.marklines.com/en/global/3933</t>
    <phoneticPr fontId="1"/>
  </si>
  <si>
    <t>Fujian</t>
  </si>
  <si>
    <t>On August 12, Mercedes-Benz started accepting pre-orders for the next-generation V-Class L MPV. The next-generation V-Class L is powered by a newly upgraded 170kW/370Nm M254 2.0T engine, a 48V motor, and a 9G-Tronic 9-speed automatic transmission, delivering a combined fuel consumption of 8.66L/100km, 8.82L/100km, or 8.88L/100km and a top speed of 185km/h.</t>
    <phoneticPr fontId="1"/>
  </si>
  <si>
    <t>https://www.marklines.com/en/global/3485</t>
    <phoneticPr fontId="1"/>
  </si>
  <si>
    <t>On August 12, BMW Group announced that it will exhibit a total of 13 new BMW and MINI models at the Chengdu Motor Show 2024 (CDMS 2024). To be debuted is the BMW M5, which employs the BMW M-series and a high-performance hybrid technology for the BMW M Hybrid V8 race car. The new BMW X3 long-wheelbase edition, a luxury midsize SAV (Sports Activity Vehicle) with high levels of driving fun, is about to make its global debut.</t>
    <phoneticPr fontId="1"/>
  </si>
  <si>
    <t>https://www.marklines.com/en/global/3375</t>
    <phoneticPr fontId="1"/>
  </si>
  <si>
    <t>https://www.marklines.com/en/global/893</t>
    <phoneticPr fontId="1"/>
  </si>
  <si>
    <t>On August 12, Nissan Mexicana announced the launch of the 2024 Nissan Kicks Play. The vehicle has a gasoline version and an electric version, both assembled at the Aguascalientes 1 plant, in Mexico. The ICE version has a 1.6-liter 4-cylinder engine with 118 hp and 110 lb.-ft. of torque. It has a manual and CVT transmission option, while the e-Power version has a 134 hp engine and 207 lb.-ft of torque. This vehicle maintains the design characteristics of the original Kicks model but integrating Amazon Music Unlimited.</t>
    <phoneticPr fontId="1"/>
  </si>
  <si>
    <t>Hanma</t>
    <phoneticPr fontId="1"/>
  </si>
  <si>
    <t>https://www.marklines.com/en/global/3895</t>
    <phoneticPr fontId="1"/>
  </si>
  <si>
    <t>On August 8, Hanma Technology announced on the Shanghai Stock Exchange (SSE) that Farizon, its controlling shareholder, accomplished a stake increase plan. Upon accomplishment of the plan, Farizon holds 189,908,052 shares in Hanma Technology, accounting for 29.0240% of the total capital stock.</t>
    <phoneticPr fontId="1"/>
  </si>
  <si>
    <t>According to multiple press releases dated August 7, Shell (Shenzhen) New Energy Technology was recently established. The new company has a registered capital of CNY 100 million. Its business scope includes investment with self-owned funds. The new company is wholly owned by Shenzhen Shell and BYD Electric Vehicle Investment Co., Ltd., an 80:20 joint venture (JV) between Shell Petroleum China Co., Ltd. and BYD Automobile Industry Co., Ltd..</t>
    <phoneticPr fontId="1"/>
  </si>
  <si>
    <t>https://www.marklines.com/en/global/4303</t>
    <phoneticPr fontId="1"/>
  </si>
  <si>
    <t>On August 14, Polestar announced that production of its Polestar 3 luxury SUV has started at its plant in Ridgeville, South Carolina, which produces cars for customers in the U.S. and Europe, complementing existing production in Chengdu, China. The company is taking additional steps to widen its manufacturing footprint, with production of Polestar 4 set to start in South Korea from the middle of 2025.</t>
    <phoneticPr fontId="1"/>
  </si>
  <si>
    <t>On August 14, Bentley announced that its new, fourth-generation Continental GT Speed will make its U.S. debut this week at The Quail gathering as part of Monterey Car Week, ahead of a U.S. dealer tour. The convertible Continental GTC is being launched concurrently with the coupe, with both models hand-built at Bentley’s Dream Factory in Crewe, England. Production will begin in late Q3 with deliveries starting in Q4.</t>
    <phoneticPr fontId="1"/>
  </si>
  <si>
    <t>On August 13, it was announced that the Independent Union of Volkswagen Automotive Industry Workers of Mexico (Sitiavw) published a schedule of shifts that must be held starting August 18 in case another strike begins at the VW plant in Puebla, Mexico. The threat of a strike at the plant is because Sitiavw is seeking a global salary increase of 24% for the 2024 contract, which would benefit more than 6,000 workers at the plant. Sitiavw is currently in negotiation with the company's directors and, if an agreement is not reached, the strike will begin on Sunday, August 18 at 11:00 a.m.</t>
    <phoneticPr fontId="1"/>
  </si>
  <si>
    <t>https://www.marklines.com/en/global/10904</t>
    <phoneticPr fontId="1"/>
  </si>
  <si>
    <t>On July 22, the Minister of Industry and Technology, Turkey announced that BYD will build its plant and R&amp;D center in Manisa Turkey. It will provide employment directly to 5 thousand people and 25 thousand. Manisa Province is located in western Turkey. BYD will invest USD one billion and establish a factory with an initial annual production capacity of 150 thousand electric vehicles and an R&amp;D center for green technologies.</t>
    <phoneticPr fontId="1"/>
  </si>
  <si>
    <t>On August 14, Audi Hungaria announced that it began series production of its Premium Platform Electric (PPE) drives last November, covering stator and transmission component manufacturing, as well as drive assembly. Along with this fleet of 30 robots was introduced to handle the delivery of components across three production lines. These self-driving robots underwent extensive testing, including functionality, software, and connectivity checks, followed by pilot testing to simulate production line requirements. Currently, these robots cover 131 km daily on the PPE production line. The software is developed with input from Audi employees to monitor and analyze robot fleet performance, including utilization, availability, and battery charge levels, and facilitates production evaluation.</t>
    <phoneticPr fontId="1"/>
  </si>
  <si>
    <t>Jeep</t>
    <phoneticPr fontId="1"/>
  </si>
  <si>
    <t>On August 13, KUKA Systems announced that its KUKA Toledo Production Operations (KTPO) has revolutionized high-volume, multi-variant production on a single line for the Jeep Wrangler's body-in-white plant. By integrating 259 industrial robots and 60,000 devices with advanced monitoring systems, KTPO ensures top-quality output. Jeep Wrangler stands out due to its rising production and demand, with KTPO's intelligent control system maintaining consistent quality. The production line is recognized as one of the most efficient in the American automotive industry and a leader in Industry 4.0.</t>
    <phoneticPr fontId="1"/>
  </si>
  <si>
    <t>https://www.marklines.com/en/global/10768</t>
    <phoneticPr fontId="1"/>
  </si>
  <si>
    <t>Reported on August 13, NexV Manufacturing revealed progress on its upcoming NEV assembly plant in the Chembong Industrial Area in Rembau, Negeri Sembilan. After the construction started in January, work had reached 30% by April, with piling, reinforcement bar installation, and foam works for ground beams and stumps for the facility completed. To date, the structure, assembly floor, and electrical substation have been installed. NexV is confident that the first phase of the project will be completed by the start of 2025.</t>
    <phoneticPr fontId="1"/>
  </si>
  <si>
    <t>On August 13, Nissan announced that its all-new second-generation 2025 Kicks is on sale now in the U.S. starting at USD 21,830. The 2025 Kicks is built at the Aguascalientes 1 plant in Mexico, where the company had invested USD 700 million for facilities improvement and retooling.</t>
    <phoneticPr fontId="1"/>
  </si>
  <si>
    <t>https://www.marklines.com/en/global/9270</t>
    <phoneticPr fontId="1"/>
  </si>
  <si>
    <t>On August 13, Kia announced pricing for the all-new 2025 K4, Kia’s fourth-generation compact sedan which is expected to arrive at Kia’s U.S. dealers beginning in September 2024. The K4 GT-Line will follow in November 2024, with the K4 GT-Line Turbo expected in showrooms in early 2025. Built at Kia’s Pesqueria plant in Mexico, the K4 features a 147-hp, 2.0-liter engine as standard, with a turbocharged 190-hp, 1.6-liter four-cylinder engine being optional.</t>
    <phoneticPr fontId="1"/>
  </si>
  <si>
    <t>Shaanxi Automobile</t>
    <phoneticPr fontId="1"/>
  </si>
  <si>
    <t>https://www.marklines.com/en/global/4271</t>
    <phoneticPr fontId="1"/>
  </si>
  <si>
    <t>Shaanxi</t>
  </si>
  <si>
    <t>On August 11, DECH Future announced that its subsidiary, Zhizi Automobile Technology Co., Ltd., recently signed a strategic cooperation agreement with Malaysia-based AWC Berhad and Beijing Energy Envision Linking Smart (Beijing) Technology Co., Ltd.. The three companies plan to cooperate on a project in a Malaysian industrial park which will be established as a distribution hub and development center for New Energy trucks in Southeast Asia. At the same time, the three companies will jointly promote the adoption of New Energy heavy-duty trucks in overseas markets with priority given to the industrial chain layout in Malaysia and Southeast Asia.</t>
    <phoneticPr fontId="1"/>
  </si>
  <si>
    <t>On August 9, Neta Auto inaugurated its Hong Kong R&amp;D center and hosted a salon for intelligent vehicle technology innovation and development. The Neta Auto Hong Kong R&amp;D Center will focus on core New Energy Vehicle (NEV) technologies, including but not limited to intelligent in-vehicle technologies for the global market, such as intelligent driving, fully natural language-based multilingual voice interaction, intelligent imaging, online software OTA update, AI large models, and in-vehicle supercomputing platforms, plus intelligent connected ecological applications and services. The Neta Auto Hong Kong R&amp;D Center will actively be integrated into Hong Kong’s technology innovation ecosystem and cooperate in depth with local companies, universities, and research institutions.</t>
    <phoneticPr fontId="1"/>
  </si>
  <si>
    <t>On August 9, the first Geely Interstellar Bus in-house developed U11M methanol-hydrogen electric highway passenger vehicle rolled off the production line in Nanchong, Sichuan and was unveiled in Haikou, Hainan. Powered by a Geely in-house developed 6L methanol engine, the U11M delivers a range of over 600km.</t>
    <phoneticPr fontId="1"/>
  </si>
  <si>
    <t>Hiphi</t>
    <phoneticPr fontId="1"/>
  </si>
  <si>
    <t>https://www.marklines.com/en/global/3767</t>
    <phoneticPr fontId="1"/>
  </si>
  <si>
    <t>According to multiple press releases dated August 9, the People’s Court of the Yancheng Economic-Technological Development Zone decided on August 8 to accept the pre-restructuring petition of Human Horizons, HiPhi’s parent company. The pre-restructuring period is six months from the date of the court decision and can be extended for three months upon application by the pre-restructuring administrator in the presence of legitimate reasons. The court decision shows that as of April 30, 2024, Human Horizons’ known due and unpaid debts have exceeded its total assets. This indicates the company’s insolvency, constituting grounds for bankruptcy.</t>
    <phoneticPr fontId="1"/>
  </si>
  <si>
    <t>On August 8, XPeng announced that it started accepting pre-orders for the new MONA M03 intelligent battery electric hatchback sedan. The lithium iron phosphate Blade Batteries on the vehicle are available in two capacities: 51.8kWh and 62.2kWh, with CLTC ranges of 515km and 620km, respectively. The MONA M03 enjoys hardware such as a Qualcomm Snapdragon 8155 chip. It also comes standard with more than 20 intelligent assisted driving hardware functions.</t>
    <phoneticPr fontId="1"/>
  </si>
  <si>
    <t>https://www.marklines.com/en/global/10441</t>
    <phoneticPr fontId="1"/>
  </si>
  <si>
    <t>On August 8, BYD launched the 2025 Seal midsize battery electric coupe and the Seal 07 DM-i mid-to-large-size plug-in hybrid sedan. The Seal 07 DM-i is available with CLTC electric-mode ranges of 70km and 125km. The 70km-range variant and three of the 125km-range variants are equipped with a 74kW/126Nm 1.5L dedicated hybrid engine (DHE), a front 160kW/260Nm motor, and the EHS (Electric Hybrid System). 10.08kWh and 17.6kWh blade batteries complete the respective powertrains, and respective NEDC fuel consumption of 3.4L/100km and 3.5L/100km at the lowest charge.</t>
    <phoneticPr fontId="1"/>
  </si>
  <si>
    <t>https://www.marklines.com/en/global/4269</t>
    <phoneticPr fontId="1"/>
  </si>
  <si>
    <t>https://www.marklines.com/en/global/10678</t>
    <phoneticPr fontId="1"/>
  </si>
  <si>
    <t>https://www.marklines.com/en/global/10574</t>
    <phoneticPr fontId="1"/>
  </si>
  <si>
    <t>https://www.marklines.com/en/global/10481</t>
    <phoneticPr fontId="1"/>
  </si>
  <si>
    <t>On August 8, Chery globally launched the Tiggo 8L, an upgraded model of the Tiggo 8, in Chengdu. Positioned as a fully in-house developed flagship SUV. The Tiggo 8L is equipped with a 187kW/390Nm Chery Power 2.0TGDI turbocharged engine and a Chery Power 8-speed automatic transmission as standard. Some variants adopt a front-engine FWD layout and deliver a WLTC fuel consumption of 7.8L/100km. The Tiggo 8L comes standard with configurations such as a Qualcomm Snapdragon 8155 intelligent chip, an AI large model-powered interaction system.</t>
    <phoneticPr fontId="1"/>
  </si>
  <si>
    <t>Citroen</t>
    <phoneticPr fontId="1"/>
  </si>
  <si>
    <t>https://www.marklines.com/en/global/10873</t>
    <phoneticPr fontId="1"/>
  </si>
  <si>
    <t>Reported on August 7, CEO of Citroen Indonesia said as market competition is getting tighter, this is the right time for Citroen to show its best performance and remain optimistic in facing all challenges and opportunities. At the GIIAS 2024, Citroen Indonesia announced that it will inaugurate the local production of the Citroen Ë-C3 All Electric model in August 2024, under the cooperation between Stellantis, PT Indomobil National Distributor (Citroen's Authorized Agent (APM) in Indonesia), and PT Nasional Assemblers, an assembly company under Indomobil Group located in Purwakarta, West Java. With a total investment of IDR 381 billion, Citroen hopes to absorb more workers to support the local production process. It also aims to achieve the TKDN (Domestic Component Level) requirement of at least 40%.</t>
    <phoneticPr fontId="1"/>
  </si>
  <si>
    <t>Indomobil</t>
    <phoneticPr fontId="1"/>
  </si>
  <si>
    <t>National Assemblers</t>
    <phoneticPr fontId="1"/>
  </si>
  <si>
    <t>On August 13, Scania France announced that employees are returning to work this week at the Scania Production Angers plant after their vacations. As the largest factory in Angers, it plays a pivotal role in Scania's operations, and assembling an impressive 120 trucks daily.</t>
    <phoneticPr fontId="1"/>
  </si>
  <si>
    <t>https://www.marklines.com/en/global/729</t>
    <phoneticPr fontId="1"/>
  </si>
  <si>
    <t>On August 13, Avtovaz announced that it is investing RUB 600 million in production development and improvement of working conditions. It is preparing for the launch of LADA Aura in Tolyatti and the Russian electric car e-Largus in Izhevsk in the third quarter of this year, as well as modernizing the Granta line for the start of Iskra production in early 2025. Avtovaz has corporate holidays from July 29 to August 18, 2024. During this period, the enterprise and its subsidiaries traditionally carry out work on modernization, repair, and maintenance of equipment, as well as improving working conditions.</t>
    <phoneticPr fontId="1"/>
  </si>
  <si>
    <t>https://www.marklines.com/en/global/675</t>
    <phoneticPr fontId="1"/>
  </si>
  <si>
    <t>https://www.marklines.com/en/global/9893</t>
    <phoneticPr fontId="1"/>
  </si>
  <si>
    <t>Algeria</t>
    <phoneticPr fontId="1"/>
  </si>
  <si>
    <t>On August 11, Groupe IMETAL, a leading metallurgical and steel industries group, announced the successful transfer of ownership of the KIA Motors Algeria plant to its subsidiary, EPE FONDAL. The signing ceremony was held at the Directorate of State Domains in Batna, Algeria. FONDAL plans to begin rehabilitation operation at the KIA Motors Algeria plant, which has been idle since 2019. The company will also assess the condition of the plant for resuming production. It plans to recall 1,600 workers to quickly restart production operations at the plant.</t>
    <phoneticPr fontId="1"/>
  </si>
  <si>
    <t>https://www.marklines.com/en/global/1017</t>
    <phoneticPr fontId="1"/>
  </si>
  <si>
    <t>Reported on August 12, Volvo Car Malaysia (VCM) has made available a Registration of Interest (ROI) for the EX30 fully electric SUV. In July 2024, several units of the EX30 were seen on a trailer heading to Port Klang, which suggests local assembly (CKD) of the model has already begun at the Shah Alam plant.</t>
    <phoneticPr fontId="1"/>
  </si>
  <si>
    <t>https://www.marklines.com/en/global/873</t>
    <phoneticPr fontId="1"/>
  </si>
  <si>
    <t>On August 12, GMC debuted its next-generation two-row 2025 Terrain SUV with an all-new design. Launching first in the Elevation trim, the 2025 Terrain delivers even more standard technology and equipment for the compact SUV. GMC will launch the 2026 model year AT4 and Denali trims in 2025. All Terrains come standard with a 1.5-liter turbocharged engine, and are built at the San Luis Potosi plant in Mexico.</t>
    <phoneticPr fontId="1"/>
  </si>
  <si>
    <t>Units of the 2024 GMC Sierra EV Denali Edition 1 units are now arriving on U.S. dealership lots. The Denali Edition 1 model will be the only Sierra EV variant in the inaugural 2024 model year, with expanded model production of the succeeding 2025 model year getting underway in September for Elevation, AT4, and the “non-Edition 1” Denali trim levels, along with two battery capacities. The GMC Sierra EV rides on the narrow-body version of the GM BT1 platform, as does the Chevrolet Silverado EV which it is built alongside of at the GM Factory Zero plant, as are the GMC Hummer EV Pickup and GMC Hummer EV SUV on the wide-body variant of the same platform. </t>
    <phoneticPr fontId="1"/>
  </si>
  <si>
    <t>https://www.marklines.com/en/global/393</t>
    <phoneticPr fontId="1"/>
  </si>
  <si>
    <t>According to an announcement by the Japanese Ministry of Land, Infrastructure, Transport and Tourism (MLIT) on July 31, an on-site inspection of Toyota Motor Corporation (Toyota) conducted by MLIT since June 4 revealed that seven models have been newly found to have had improper procedures in their model certification applications. Together with the seven models that Toyota reported to MLIT at the end of May, the total number of models subject to improper procedures has increased to 14. The seven newly identified models include the four models RAV4, Noah/Voxy (including the Suzuki Landy supplied on an OEM basis), Harrier, and Lexus LM, as well as three models no longer in production: the Prius α (including the Daihatsu Mebius supplied on an OEM basis), the former Lexus RX, and the former Camry (including the Daihatsu Altis supplied on an OEM basis). Production Line #2 at Toyota Auto Body Co., Ltd.'s Fujimatsu Plant, which produces the Noah/Voxy, was shut down from the first shift on July 29 after the improprieties were discovered. The Line #2 will resume operations from the first shift on August 2, since MLIT confirmed that the Noah/Voxy complies with the standards. Production of Alphard and Vellfire were also affected by the shutdown of the Line #2. The six models other than the Noah/Voxy had obtained type designations in Japan by utilizing approvals from overseas authorities. MLIT reportedly notified the overseas authorities of the improper certification and requested that they confirm compliance with the standards. MLIT also confirmed that all of the seven vehicle models that had been previously found to be in violation of certification procedures were in compliance with the standards. Based on this, Toyota will resume production of the three current models (Corolla Axio/Corolla Fielder/Yaris Cross) for the Japanese domestic market in early September. On July 31, MLIT issued a corrective order to Toyota, urging the company to drastically reform its certification operations to ensure that they are appropriate. </t>
    <phoneticPr fontId="1"/>
  </si>
  <si>
    <t>https://www.marklines.com/en/global/433</t>
    <phoneticPr fontId="1"/>
  </si>
  <si>
    <t>https://www.marklines.com/en/global/375</t>
    <phoneticPr fontId="1"/>
  </si>
  <si>
    <t>https://www.marklines.com/en/global/379</t>
    <phoneticPr fontId="1"/>
  </si>
  <si>
    <t>On August 12, Automobile plant URAL presented an experimental model of the Ural-N2, a prototype of a truck powered by hydrogen fuel cells. The company plans to start serial production of vehicles running on hydrogen fuel by the end of 2025.  It was presented at the testing ground in Yuzhno-Sakhalinsk. The testing ground will become a place for testing and implementing hydrogen technologies in energy and transport. During the study, the operational characteristics of the hydrogen sample will be tested in real conditions, as well as its energy efficiency and cost of ownership. </t>
    <phoneticPr fontId="1"/>
  </si>
  <si>
    <t>On August 9, the Moscow Automobile Plant Moskvich started cooperation with JSC Bor Glass Plant. JSC Bor will supply a full range of glass for the Moskvich 3 city crossover and the Moskvich 3e electric vehicle. Currently, Moskvich cars have localized emergency call devices connected to the ERA-GLONASS system and process fluids, in addition, the processes of welding, anti-corrosion treatment, painting, and assembly are localized. Together with the Government of Moscow, it will localize the traction battery for electric vehicles. This year, it plans to localize a 12V battery, tires, wheel disks, and glass. Next year, it will localize telematics, soft seat elements, and other components.</t>
    <phoneticPr fontId="1"/>
  </si>
  <si>
    <t>On August 12, multiple sources reported that the Governor of the Kaluga Region stated that AGR Automotive Group LLC (former Volkswagen automobile plant in Kaluga) had restarted production. It plans to assemble 27 thousand cars by the end of 2024. It will employ more than 500 workers in three shifts. He did not specify the brands of vehicles that will be assembled at the plant.</t>
    <phoneticPr fontId="1"/>
  </si>
  <si>
    <t>On August 12, Audi announced that its new A5 models based on the Premium Platform Combustion (PPC) with partially electrified systems are now in production at Neckarsulm factory. Audi has optimized processes and introduced eco-friendly methods for the A5 launch. The models feature a new wet-on-wet painting process, replacing the traditional filler, and use sustainable water-based paints. Advanced corrosion prevention methods and an energy-efficient transverse drying process have also been implemented, better suited for future electric and hybrid vehicles. A new paint separation process captures paint mist with filters, saving around 50 kWh per vehicle and reducing fresh air and water usage.</t>
    <phoneticPr fontId="1"/>
  </si>
  <si>
    <t>https://www.marklines.com/en/global/1061</t>
    <phoneticPr fontId="1"/>
  </si>
  <si>
    <t>On August 9, multiple sources reported that Pak Suzuki Motor Company Limited (PSMCL) has been forced to stop production at its factory in Karachi because of an extended delay in the clearance of completely knocked down (CKD) kits which have been stranded at the port for the past 45 days.</t>
    <phoneticPr fontId="1"/>
  </si>
  <si>
    <t>https://www.marklines.com/en/global/10895</t>
    <phoneticPr fontId="1"/>
  </si>
  <si>
    <t>According to a Beijing municipal government press release dated August 6, Beijing Electric Vehicle Co., Ltd. (BAIC BJEV) started production at its Stelato Gigafactory in Beijing where all the new Stelato S9 electric sedans will be manufactured. In the development of the Stelato S9, BAIC Group developed the Polaris platform, the most advanced fully digital high-end EV platform. Moreover, the new factory boasts Driving System (ADS). Situated in Miyun District, Beijing, the Stelato Gigafactory is planned to annually produce 120,000 vehicles in the first phase. Annual production capacity can be expanded to 300,000 vehicles in the future, which means that one vehicle rolls off the production line every minute.</t>
    <phoneticPr fontId="1"/>
  </si>
  <si>
    <t>On August 6, the Stelato S9, a cooperative model between BAIC Group and Huawei’s HIMA (Harmony Intelligent Mobility Alliance), was launched. The Stelato S9 is based on the Tuling platform dedicated for D-class sedans. Equipped with a 100kWh ternary lithium battery and the Giant Whale 800V battery platform as standard. The Max variant is powered by a single-motor RWD system with a rear 230kW/396Nm permanent magnet synchronous motor, and a CLTC combined range of 816km. The Ultra variant is powered by a dual-motor 4WD system with front 160kW/277Nm AC asynchronous and rear 230kW/396Nm permanent magnet synchronous motors, and a CLTC combined range of 721km.</t>
    <phoneticPr fontId="1"/>
  </si>
  <si>
    <t>On August 5, the FAW Hongqi R&amp;D Center announced that the first validation sample vehicle of the E007, a blockbuster model of the FAW Hongqi 3-series, was successfully trial manufactured and rolled off the production line.</t>
    <phoneticPr fontId="1"/>
  </si>
  <si>
    <t>On August 9, Stellantis announced that production of the Ram 1500 Classic at the Warren Truck Assembly Plant will come to an end later this year. As a result, the plant will move from a two-shift to a one-shift operating pattern in general assembly. Other operations within the plant, however, will remain on two shifts to support Jeep Wagoneer production. The layoffs could begin as early as October 8.The loss of the shift could potentially affect 2,450 workers of the 3,900 there (3,700 hourly). The Tradesman model of the Ram Classic 1500 line is being replaced by the new 2025 Ram 1500 Tradesman model built at the Sterling Heights Assembly Plant, with upgraded electrical architecture and available Hurricane Straight-Six Turbo engine.</t>
    <phoneticPr fontId="1"/>
  </si>
  <si>
    <t>https://www.marklines.com/en/global/2641</t>
    <phoneticPr fontId="1"/>
  </si>
  <si>
    <t>https://www.marklines.com/en/global/2465</t>
    <phoneticPr fontId="1"/>
  </si>
  <si>
    <t>GM is set to end production of the Duramax 3.0L I6 LM2 turbodiesel engine at the Flint Engine Operations Plant in September. Its replacement, the Duramax 3.0L I6 LZ0 engine, which produces 305 hp and 495 lb-ft of torque, will have late availability for the refreshed 2025 Chevrolet Tahoe and Suburban, and will not be available at the start of regular production. In addition to the new diesel power plant, the refreshed Chevrolet Tahoe and Suburban will continue to offer the gasoline-powered 5.3L V8 L84 and 6.2L V8 L87 engines. All of GM’s full-size SUVs are built on the GM T1 platform at the Arlington plant in Texas.</t>
    <phoneticPr fontId="1"/>
  </si>
  <si>
    <t>On August 9, Nikola Corp. reported revenue of USD 31.32 million in Q2 2024, up 318% from Q1 and an increase of 103.9% from the USD 15.36 million in the same period in 2023, resulting in a net loss of USD (133.67) million and adjusted EBITDA of USD (109,369). In Q2, Nikola delivered 72 hydrogen fuel cell electric vehicles (FCEVs) to its dealer network, resulting in a total 147 wholesaled FCEVs in the first three quarters of serial production. Nikola produced a total of 77 trucks in Q2 at its plant in Coolidge, Arizona, delivering 73 of those.</t>
    <phoneticPr fontId="1"/>
  </si>
  <si>
    <t>https://www.marklines.com/en/global/1935</t>
    <phoneticPr fontId="1"/>
  </si>
  <si>
    <t>On August 22, the Ministry of Industry and Tourism, Spain resolved the objections made by three companies that had submitted applications for projects on line B of PERTE VEC II linked to the industrial value chain of the electric vehicle. Stellantis received aid for projects at its Madrid plant, worth EUR 4.1 million (EUR 3.2 million in grants and EUR 875,200 in loans). This represents EUR 2.29 million more in grants than what was granted in the provisional resolution and EUR 625,409 more in loans.</t>
    <phoneticPr fontId="1"/>
  </si>
  <si>
    <t>On August 22, multiple sources reported that the Minister for Enterprise and Made in Italy criticized Stellantis over its actions on Automotive Cells Company gigafactory in Termoli. Despite government support, Stellantis delay the development of this project. He further stated that the Ministry will allocate the funds of the PNRR (National Recovery and Resilience Plan) intended for the ACC project if Stellantis does not respond positively to the gigafactory project in Termoli.</t>
    <phoneticPr fontId="1"/>
  </si>
  <si>
    <t>KGM Commercial</t>
    <phoneticPr fontId="1"/>
  </si>
  <si>
    <t>https://www.marklines.com/en/global/10442</t>
    <phoneticPr fontId="1"/>
  </si>
  <si>
    <t>On August 22, Korean media reported that KGM Commercial (KGMC) has successfully completed its first-ever export of electric buses. Paraguay is the first international market for KGMC’s electric buses. In collaboration with the Korea Automotive Technology Institute (KATECH), KGMC exported five units of its eco-friendly electric bus, the SMART 110E. This export is part of a broader project under the 2024 Official Development Assistance (ODA) program, led by KATECH. The initiative includes not only the export of buses but also the establishment of an automotive parts center in Paraguay. This center will support the pilot deployment and operation of electric buses, contributing to the spread and support of green automotive technology, thereby fostering cooperation that benefits national interests. Additionally, KGMC plans to host a launch event for its first electric bus in Paraguay this November.</t>
    <phoneticPr fontId="1"/>
  </si>
  <si>
    <t>https://www.marklines.com/en/global/1133</t>
    <phoneticPr fontId="1"/>
  </si>
  <si>
    <t>On August 22, Daimler India Commercial Vehicles (DICV), a wholly-owned subsidiary of Daimler Truck AG (“Daimler Truck”) announced the launch of the all-new range of heavy-duty rigid trucks from BharatBenz. The new range is powered by the new BharatBenz BSVI-Stage2 6.7-litre diesel engine which is offered in two configurations i.e.  250 hp and 950 nm and 306 hp and 1,200 nm.</t>
    <phoneticPr fontId="1"/>
  </si>
  <si>
    <t>On August 22, the U.S. National Transportation Safety Board opened an investigation into the recent crash and fire of a Tesla Semi truck in what is believed to be the first probe involving the company’s electric Class 8 vehicle. The Tesla Semi ran off the road on Interstate 80 near Emigrant Gap, California, on August 19 around 3 a.m. Tesla builds the Semi at its Gigafactory Nevada in Sparks and uses the vehicle to transport parts to its Fremont plant.</t>
    <phoneticPr fontId="1"/>
  </si>
  <si>
    <t>On August 21, GMC announced that customers can now purchase and drive away the new all-electric 2024 GMC Sierra EV Denali Edition 1 from its dealers across U.S. “Alongside the HUMMER EV Pickup and SUV, GMC is now the only brand with three electric trucks,” said Duncan Aldred, global vice president, Buick and GMC. All three EV trucks are built at GM’s Factory Zero in Detroit.</t>
    <phoneticPr fontId="1"/>
  </si>
  <si>
    <t>On August 21, Ford announced it will be cancelling its three-row electric SUVs, Ford said it will develop a new family of electrified three-row SUVs which will include hybrid technologies that can offer performance and range benefits. Ford plans to introduce an all-new digitally advanced commercial van that will begin production in 2026 at Ford’s Ohio Assembly Plant starting in 2026. Ford is retiming the production launch of its groundbreaking electric truck code-named “Project T3” at BlueOval City’s Tennessee Electric Vehicle Center to the second half of 2027. The BlueOval SK joint venture’s Kentucky 1 plant will manufacture cells for the current E-Transit with enhanced range and F-150 Lightning beginning mid-2025,  BlueOval SK at BlueOval City in Tennessee will produce cells starting in late 2025 for Ford’s new electric commercial van to be built at the Ohio Assembly Plant, as well as the next-gen electric truck assembled at BlueOval City. Lithium iron phosphate (LFP) battery production is on track to begin in 2026 at BlueOval Battery Park Michigan.</t>
    <phoneticPr fontId="1"/>
  </si>
  <si>
    <t>https://www.marklines.com/en/global/2589</t>
    <phoneticPr fontId="1"/>
  </si>
  <si>
    <t>https://www.marklines.com/en/global/10432</t>
    <phoneticPr fontId="1"/>
  </si>
  <si>
    <t>https://www.marklines.com/en/global/3141</t>
    <phoneticPr fontId="1"/>
  </si>
  <si>
    <t>On August 21, Hyundai revealed pricing and details for its comprehensively enhanced 2025 Santa Cruz Sport Adventure Vehicle. The 2025 Santa Cruz offers a bolder redesigned exterior and a thoroughly updated interior featuring new infotainment technology and additional advanced driver assistance systems. The 2025 Santa Cruz is built at Hyundai Motor Manufacturing Alabama (HMMA) in Alabama, and arrives at Hyundai dealerships this summer.</t>
    <phoneticPr fontId="1"/>
  </si>
  <si>
    <t>https://www.marklines.com/en/global/3339</t>
    <phoneticPr fontId="1"/>
  </si>
  <si>
    <t>On August 20, FAW announced that it will introduce the new BESTUNE T90 crossover in Russia. The new BESTUNE T90 is built on an advanced modular FMA-A2 platform. It features a progressive design, practicality, and a high level of equipment. It has an increased wheelbase.</t>
    <phoneticPr fontId="1"/>
  </si>
  <si>
    <t>On August 19, the Normal Town Council voted in favor of Rivian’s plant expansion to include a new “R2” building, a 1.14-million square-foot structure on the east side of the main plant. The project also includes expanding the current 3.8-million-square-foot plant by about 208,000 square feet, and a conveyor system connecting Rivian’s current building to the new R2 facility, which is already under development. Planned upgrades will enable up to 215,000 EVs to be built in Normal, up from around 150,000. At 155,000 units annually, R2 output is expected to nearly double that of Rivian’s R1T and R1S. Production is slated for early 2026.</t>
    <phoneticPr fontId="1"/>
  </si>
  <si>
    <t>https://www.marklines.com/en/global/753</t>
    <phoneticPr fontId="1"/>
  </si>
  <si>
    <t>On August 21, multiple sources reported that the Automotive Technologies plant in Kaluga is planning to start production of a new model by the end of 2024. It will help in the full utilization of the welding shop and paint complex. The plant continues to work on modernizing the plant. The model details have not been disclosed yet. </t>
    <phoneticPr fontId="1"/>
  </si>
  <si>
    <t>https://www.marklines.com/en/global/843</t>
    <phoneticPr fontId="1"/>
  </si>
  <si>
    <t>On August 21, Stellantis announced the start of EV production at the Toluca plant in the State of Mexico, in Mexico thanks to an investment of USD 1.6 billion. The production of this plant, which has been adapted for the new STLA Large platform, is expected to boost electromobility in Mexico, in addition to consolidating the state as an international automotive hub. With this project, the creation of thousands of new jobs is planned so that production helps supply the North American market and the entire world.</t>
    <phoneticPr fontId="1"/>
  </si>
  <si>
    <t>On August 20, Changan Auto announced on the Shenzhen Stock Exchange (SZSE) that Avatr, an affiliated company, plans to acquire 10% of the equity in Shenzhen Yinwang Intelligent Technology Co., Ltd. (Yinwang) held by Huawei for CNY 11.5 billion and sign a shareholder agreement with the two companies. Upon completion of the transaction, Avatr and Huawei will hold 10% and 90% of Yinwang, respectively. This transaction will help Avatr obtain more technology empowerment from Huawei and accelerate the implementation of Changan Auto’s upward brand strategy. Changan Auto and Huawei are slated to sign an agreement in Chongqing on the same day to comprehensively escalate their strategic partnership in areas such as brand ecosystems, cloud and AI technologies, green energy, and the industry chain to boost the former’s transformation into an intelligent low-carbon mobility technology company.</t>
    <phoneticPr fontId="1"/>
  </si>
  <si>
    <t>Avatr</t>
    <phoneticPr fontId="1"/>
  </si>
  <si>
    <t>https://www.marklines.com/en/global/10637</t>
    <phoneticPr fontId="1"/>
  </si>
  <si>
    <t>According to multiple press releases dated August 20, Anhui Kaiyang Technology Co., Ltd. was recently established in Wuhu, Anhui. The new company has a registered capital of CNY 100 million and is wholly owned by Chery Auto. Its business scope includes development of network and information security software; R&amp;D of intelligent robots; development of AI basic software; development of AI application software.</t>
    <phoneticPr fontId="1"/>
  </si>
  <si>
    <t>On August 15, it was announced that the Taos segment of the VW plant in Mexico will have a production stoppage during the week of August 19 to 23. According to the Workers' Union, SITIAVW, the strike is due to a lack of components for assembling the van, so the workers of the first and second shift of segment 3, in addition to the auxiliary areas of the segment, will not work during the week.</t>
    <phoneticPr fontId="1"/>
  </si>
  <si>
    <t>On August 20, multiple sources reported that Audi's Brussels factory may resume operations next week. Initially, operations were scheduled to resume this week, but unions expect it to remain closed for at least another week. The final decision will be discussed with social partners on August 22, 2024. The plant faces closure due to overcapacity and high production costs, partly blamed on Belgium’s labor costs and the plant’s challenging location. While Audi is exploring alternatives, including producing a new model, spare parts, or outside investment, closure remains a possibility. If the plant shuts down, 1,500 jobs could be lost by October 2024, with 1,000 more at risk next year, and final redundancies by the end of 2025.</t>
    <phoneticPr fontId="1"/>
  </si>
  <si>
    <t>https://www.marklines.com/en/global/8889</t>
    <phoneticPr fontId="1"/>
  </si>
  <si>
    <t>Egypt</t>
    <phoneticPr fontId="1"/>
  </si>
  <si>
    <t>On August 20, the officials of the Government of Egypt met with the representatives of General Motors Egypt. The meeting took up the company's current projects in the Egyptian market and the future projects that the company is considering establishing in Egypt, including the car models that the company intends to manufacture in Egypt. General Motors’ most important proposals included accelerating the implementation of the National Automotive Industry Development Program (AIDP). The "Chevrolet Optra" car will be the first new model to be registered in the program and designed with the highest localization.</t>
    <phoneticPr fontId="1"/>
  </si>
  <si>
    <t>https://www.marklines.com/en/global/2429</t>
    <phoneticPr fontId="1"/>
  </si>
  <si>
    <t>On August 20, KGM (formerly Ssangyong Motor) launched the new Actyon SUV in South Korea. The Actyon continues the legacy of the first-generation Actyon, the world’s first coupe-type SUV introduced in 2005. The new Actyon is available in two variants, with prices starting at KRW 33.95 million.The vehicle measures 4,740 mm in length, 1,910 mm in width, and 1,680 mm in height, with a wheelbase of 2,680 mm. It is powered by a direct-injection 1.5-liter turbo gasoline engine paired with a 6-speed automatic transmission, delivering 170 hp and 280Nm of torque. KGM commenced serial production of the Actyon at its Pyeongtaek facility on August 13, with the first deliveries expected on August 20 in South Korea.</t>
    <phoneticPr fontId="1"/>
  </si>
  <si>
    <t>https://www.marklines.com/en/global/1947</t>
    <phoneticPr fontId="1"/>
  </si>
  <si>
    <t>On August 20, Renault unveiled details of its full hybrid Renault Symbioz SUV-C. The vehicle features a 145 bhp E-Tech hybrid powertrain, achieving a fuel consumption of 4.7 liters per 100 km in hybrid mode, with a range of up to 1,000 km. In terms of safety, it offers 29 driving aids, including rear automatic emergency braking, Active Driver Assist for Level 2 autonomous driving, and Predictive Hybrid Driving. Manufactured at the Valladolid plant, the Renault Symbioz is available in three trim levels. First deliveries are expected for early September 2024.</t>
    <phoneticPr fontId="1"/>
  </si>
  <si>
    <t>https://www.marklines.com/en/global/2663</t>
    <phoneticPr fontId="1"/>
  </si>
  <si>
    <t>On August 20, Stellantis confirmed that it has notified the UAW that plans for Belvidere will be delayed, but firmly stands by its commitment. Stellantis strongly objects to the recent UAW accusations and says it has not violated the commitments made in the Investment Letter included in the 2023 UAW Collective Bargaining Agreement. Stellantis says that the UAW had, in fact, agreed to language that expressly allows the company to modify product investments and employment levels, and therefore, cannot legally strike over a violation of this letter at this time. On August 19, the UAW said that Stellantis informed them that "it will not launch the Belvidere Consolidated Mopar Mega Hub in 2024, it will not begin stamping operations for the Belvidere Mega Hub in 2025 and it will not begin production of a midsize truck in Belvidere in 2027".</t>
    <phoneticPr fontId="1"/>
  </si>
  <si>
    <t>On August 19, Atom announced that its upcoming Atom electric car will have a 350V NMC (lithium-nickel-manganese-cobalt-oxide) battery, providing a range of up to 500 km. It was developed jointly with RENERA and will be manufactured at the gigafactory in Kaliningrad. Rosatom State Corporation is creating the production of an integrated traction electric drive for the Atom. It will be a synchronous motor with permanent magnets. The engine power is 150 kW (204 hp). One of the important features is that the Atom will use a 3-in-1 Drive Unit: the electric motor, gearbox, and inverter are in a single housing with a single cooling system.</t>
    <phoneticPr fontId="1"/>
  </si>
  <si>
    <t>Production of the upcoming 2025 Lyriq is currently scheduled to begin on September 9 at the GM Spring Hill plant in Tennessee, consisting of the Luxury 1, Sport 1, Luxury 2, Sport 2, Luxury 3 and Sport 3 models. Removal of the base Tech trim, which was introduced for the 2024 model year, will help reduce the lineup’s overall part count, and prepare the U.S. market for the new, smaller Optiq, which is set to go on sale soon. The Cadillac Optiq is being built at the Ramos Arizpe plant in Mexico.</t>
    <phoneticPr fontId="1"/>
  </si>
  <si>
    <t>https://www.marklines.com/en/global/8492</t>
    <phoneticPr fontId="1"/>
  </si>
  <si>
    <t>On August 19, Yaroslavl Motor Plant "Avtodiesel" announced that it would present the new YaMZ-537 CNG engine at the international exhibition MIMS Automobility Moscow 2024. The power range of YaMZ-537 CNG gas engines is from 210 to 300 hp, the maximum torque is from 830 to 1,250 Nm. It is a new 6-cylinder in-line gas engine of the fifth environmental class with a cylinder size of 110x135 mm. Compressed natural gas (methane) is used as fuel for YaMZ gas engines, which ensures environmental friendliness and economy of transport. </t>
    <phoneticPr fontId="1"/>
  </si>
  <si>
    <t>https://www.marklines.com/en/global/3951</t>
    <phoneticPr fontId="1"/>
  </si>
  <si>
    <t>On August 18, Zhengzhou Nissan started accepting pre-orders for the new Rich 6 Pro wide-bodied pickup truck. The Rich 6 Pro is based on the Zone Body structure. Powered by a Nissan-Renault Alliance M9T diesel engine (peak torque 380Nm) and a 6-speed manual or ZF 8-speed automatic transmission, the model delivers a 12.5% higher low speed torque and a fuel consumption of over 7L/100km. </t>
    <phoneticPr fontId="1"/>
  </si>
  <si>
    <t>https://www.marklines.com/en/global/2427</t>
    <phoneticPr fontId="1"/>
  </si>
  <si>
    <t>On August 16, Korean media reported that KGM, previously known as SsangYong Motor Company, is planning to transition its German network into a direct operation. On August 14, KGM hosted a dealer conference in Germany, marking a pivotal step in its European expansion strategy. The new European sales arm  in Frankfurt is KGM's second direct overseas branch, following its Australian operations, and is set to begin in September.  the European sales subsidiary is going to enhance  local marketing, sales, customer management, and service.</t>
    <phoneticPr fontId="1"/>
  </si>
  <si>
    <t>LYNK &amp; CO</t>
    <phoneticPr fontId="1"/>
  </si>
  <si>
    <t>https://www.marklines.com/en/global/10391</t>
    <phoneticPr fontId="1"/>
  </si>
  <si>
    <t>On August 15, Xingji Meizu announced that Lynk &amp; Co started accepting pre-orders for the Z10, its first battery electric sedan. The 602km- and 766km-range variants are equipped with a single-motor RWD system (maximum power 200kW and peak torque 343Nm), and respective 71kWh and 95kWh batteries. The 806km-range variant is equipped with a single-motor RWD system (maximum power 310kW and peak torque 440Nm), and a 95kWh battery. The Z10 comes standard with configurations and features such as the ECARX Makalu computing platform, the Lynk Flyme Auto in-vehicle system, a Level 2 intelligent driver assistance system.</t>
    <phoneticPr fontId="1"/>
  </si>
  <si>
    <t>On August 15, Neta Auto started accepting pre-orders for two battery electric shooting brake variants of the Neta S mid-to-large-size intelligent sedan. The 510km-range variant is powered by a CATL Shenxing long-service-life battery and a 200kW high-performance permanent magnet synchronous motor. It comes with features such as a Qualcomm Snapdragon 8155P chip. The 640km-range variant is powered by dual front and rear motors (370kW in total) and a 4WD system. It comes with the Neta AD Max intelligent driver assistance system, and more. To be launched soon is an 800V variant with a 200kW high-efficiency silicon carbide hairpin motor and a one-piece intelligent chassis.</t>
    <phoneticPr fontId="1"/>
  </si>
  <si>
    <t>https://www.marklines.com/en/global/3865</t>
    <phoneticPr fontId="1"/>
  </si>
  <si>
    <t>On August 15, the A5X, a 4X2 model forward developed by JAC Group and Anhui Mingtian Hydrogen Technology Co., Ltd. (MTH2), was delivered. This makes it Anhui Province’s first hydrogen energy heavy-duty truck to go into official operation. Based on a JAC Group mature product platform and equipped with an MTH2 proprietary 115kW high-performance fuel cell system and four ultra-large 320L hydrogen storage tanks, the A5X delivers a top speed of 89km/h and a combined range of over 500km.</t>
    <phoneticPr fontId="1"/>
  </si>
  <si>
    <t>NIO</t>
    <phoneticPr fontId="1"/>
  </si>
  <si>
    <t>ONVO</t>
    <phoneticPr fontId="1"/>
  </si>
  <si>
    <t>https://www.marklines.com/en/global/10444</t>
    <phoneticPr fontId="1"/>
  </si>
  <si>
    <t>On August 15, the first Onvo L60 midsize intelligent electric family SUV rolled off the production line at the Xinqiao NIO No. 2 Plant. The model will be officially launched in September. The Onvo L60 is the 12th model under NIO’s intelligent manufacturing system.</t>
    <phoneticPr fontId="1"/>
  </si>
  <si>
    <t>BAW</t>
    <phoneticPr fontId="1"/>
  </si>
  <si>
    <t>https://www.marklines.com/en/global/10447</t>
    <phoneticPr fontId="1"/>
  </si>
  <si>
    <t>On August 15, Polestones, a new Chinese automobile brand focusing on outdoor vehicle usage scenarios, signed a cooperation agreement with the South-South International Trade Promotion Center (SS-TPC). The two parties will co-develop markets such as Central Asia, the Middle East, Africa, and Southeast Asia.</t>
    <phoneticPr fontId="1"/>
  </si>
  <si>
    <t>https://www.marklines.com/en/global/3875</t>
    <phoneticPr fontId="1"/>
  </si>
  <si>
    <t>On August 14, the first Changan Auto 4th-generation CS75 Plus rolled off the production line. Powered by a new 500Bar ultra-high-pressure direct-injection Blue Core engine, the 4th-generation CS75 Plus.</t>
    <phoneticPr fontId="1"/>
  </si>
  <si>
    <t>https://www.marklines.com/en/global/3483</t>
    <phoneticPr fontId="1"/>
  </si>
  <si>
    <t>On August 13, Beijing Volcano Engine Technology Co., Ltd. (Volcano Engine) announced the recent signing of a memorandum of strategic cooperation with Mercedes-Benz China for cooperation in and exploration of technology areas such as large models, generative AI, and big data.</t>
    <phoneticPr fontId="1"/>
  </si>
  <si>
    <t>https://www.marklines.com/en/global/9429</t>
    <phoneticPr fontId="1"/>
  </si>
  <si>
    <t>On August 12, Changan Auto launched the ICE edition of the UNI-Z compact SUV. The ICE-powered UNI-Z is based on a chassis with the Ark architecture. Equipped with a new Blue Core NE1.5T high-pressure direct-injection engine and a new Blue Core 7-speed wet dual-clutch transmission, the model delivers a maximum rated engine power of 138kW, a peak torque of 300Nm. The ICE-powered UNI-Z comes with Level 2 driver assistance features such as IACC (Integrated Adaptive Cruise Control), FCW (Forward Collision Warning), and LKA (Lane Keeping Assist).</t>
    <phoneticPr fontId="1"/>
  </si>
  <si>
    <t>https://www.marklines.com/en/global/10902</t>
    <phoneticPr fontId="1"/>
  </si>
  <si>
    <t>On July 22, during the presentation of Foton's Tunland lineup, it was announced that the OEM is building a new assembly plant in the Mexican state of Jalisco with an investment of USD 100 million. The new plant will assemble the pickups it presented. It will have a production capacity of 12,000 units per year within its 50,000 square meters of area, generating around 115 jobs. Both the area and the employees will grow as the stages of the plant progress. The first vehicle prototypes produced at the new plant are expected to be presented in December 2024, although the start of series production is planned for 2025. The plant's production is mainly destined for the Mexican market, although it is also planned to export it to other countries in Latin America and North America.</t>
    <phoneticPr fontId="1"/>
  </si>
  <si>
    <t>https://www.marklines.com/en/global/1931</t>
    <phoneticPr fontId="1"/>
  </si>
  <si>
    <t>On August 19, multiple sources reported that the Stellantis Zaragoza plant in Spain resumed operations on August 19, 2024, after a summer break, with significant changes. It will now focus on producing the Opel Corsa, Lancia Ypsilon, and Peugeot 208. Daily production has dropped to 1,500 vehicles, down 25% from 2,000 vehicles before the holidays. Currently, the plant employs 4,800 workers, 600 fewer than before, due to reduced production. It is now shifting its focus toward EV production and aims to surpass last year's output of over 44,000 units.</t>
    <phoneticPr fontId="1"/>
  </si>
  <si>
    <t>On August 19, Volvo submitted the application for an environmental permit to the Land and Environment Court in Vänersborg, Sweden, for the operations battery factory in Mariestad, Sweden. The environmental permit is essential for moving forward with the company’s plans. The permit application addresses all aspects, including noise, emissions, and safety measures for when production begins.</t>
    <phoneticPr fontId="1"/>
  </si>
  <si>
    <t>On August 19 GMC revealed the 2025 Yukon, the brand’s flagship nameplate, with major technology upgrades, a bold exterior, the introduction of available Night Vision to the GMC portfolio, and the first-ever AT4 Ultimate trim to the Yukon line. The 2025 Yukon will be produced at Arlington Assembly in Texas and will be available by the end of 2024. A 5.3-liter V8 is standard in the 2025 Yukon, with an available 6.2-liter V8 engine, both paired with a 10-speed automatic transmission. Also available is a 3.0-liter Duramax Turbo-Diesel engine that produces 305 hp and 495 lb-ft of torque.</t>
    <phoneticPr fontId="1"/>
  </si>
  <si>
    <t>The UAW says union locals are prepared to file grievances, stating that Stellantis has informed the union "it will not launch the Belvidere Consolidated Mopar Mega Hub in 2024, it will not begin stamping operations for the Belvidere Mega Hub in 2025 and it will not begin production of a midsize truck in Belvidere in 2027," all which it had agreed to in 2023. Under the UAW Stellantis contract, once an issue has been taken through the grievance procedure, the union may authorize a strike over the grievance.</t>
    <phoneticPr fontId="1"/>
  </si>
  <si>
    <t>On August 17, it was announced that VW and the Workers' Union, SITIAVW, reached a preliminary wage agreement regarding the revision of the 2024 workers' contract. The agreement consists of a global increase of 10.59% in salary and benefits, with 7% as a direct increase in salary and 3.59% in benefits. These conditions will be put to a vote, with a maximum of 10 days to know if they are endorsed by the more than 7,000 unionized workers at the plant in Puebla.</t>
    <phoneticPr fontId="1"/>
  </si>
  <si>
    <t>https://www.marklines.com/en/global/9285</t>
    <phoneticPr fontId="1"/>
  </si>
  <si>
    <t>On August 19, Avtovaz started working at full capacity after a single corporate vacation, which lasted from July 29 to August 18, 2024. During the scheduled vacation, Avtovaz and its subsidiaries carried out work related to the repair and maintenance of equipment, preparation to produce new models, and improvement of working conditions. In total, about 10 thousand works were performed for a total of about RUB 600 million.</t>
    <phoneticPr fontId="1"/>
  </si>
  <si>
    <t>On August 19, Daimler India Commercial Vehicles (DICV), a wholly-owned subsidiary of Daimler Truck AG, inaugurated a Mechatronics Lab at its Oragadam facility. This lab represents an advancement in software architecture verification and validation, achieving cost efficiencies in the range of 70-80% compared to traditional methods. The Mechatronics Lab is designed to enhance the efficiency of software testing for trucks and buses, ensuring that DICV’s vehicles meet both current and future global safety standards. It features a closed-loop feedback system that enables the rapid identification and resolution of software bugs, significantly improving testing and verification processes. The lab can verify and validate around 300 features, processing over a thousand signals within just 10 days. It can also verify 600 fault codes in a developing product within a few weeks, allowing for the simulation and confirmation of rare fault cases. The lab's infrastructure includes a flashing station for pre-production verification of all ECUs and an ADAS setup for on-road data, further enabling the safe verification of Driver State Monitoring (DSM).</t>
    <phoneticPr fontId="1"/>
  </si>
  <si>
    <t>https://www.marklines.com/en/global/8883</t>
    <phoneticPr fontId="1"/>
  </si>
  <si>
    <t>On August 18, the Egyptian government met with Nissan Egypt representatives and other key officials to discuss expanding local manufacturing. The government pledged support for the company’s future plans, especially with the new automotive council and approved incentives. Nissan Egypt announced its plans to invest about USD 55.9 million by 2026 to strengthen its market leadership. It will also establish a USD 2 million free zone at Alexandria Port to streamline car and parts exports, with construction starting in November 2024. Additionally, the company aims to produce a new model, targeting 10,000 units for the local market and 7,000 for export. It also plans for annual production increases and potential expansion with new models based on market demand. Nissan is a leading company in Egypt, holding a 13.5% market share and representing the largest Japanese investment in the Egyptian private sector, totalling to around USD 235 million.  The company’s plant has a production capacity of 50,000 cars per year and employs about 950 people.</t>
    <phoneticPr fontId="1"/>
  </si>
  <si>
    <t>On August 16, BYD Spain, in a social media post, announced that its EXPLORER NO.1 vessel arrived in Spain with 1,000 units of the BYD SEAL U DM-i. Multiple sources reported that the ship arrived at the port of Santander, in northern Spain.</t>
    <phoneticPr fontId="1"/>
  </si>
  <si>
    <t>Lamborghini</t>
    <phoneticPr fontId="1"/>
  </si>
  <si>
    <t>https://www.marklines.com/en/global/1357</t>
    <phoneticPr fontId="1"/>
  </si>
  <si>
    <t>On August 16, Automobili Lamborghini unveiled the all-new super sports car Temerario, which is the second model in Lamborghini's High Performance Electrified Vehicle (HPEV) range, following the Revuelto. Temerario completes the hybridization of the Sant'Agata Bolognese lineup after the Urus SE's debut. The Temerario replaces the Huracán and sets a new benchmark featuring a twin-turbo V8 hybrid powertrain which generates an output of 920 CV. </t>
    <phoneticPr fontId="1"/>
  </si>
  <si>
    <t>On August 16, BMW announced that the Technology Exterior Components (TEK) unit of the Leipzig plant, won the 18th Lean Production Award in the category for Lean Digital Transformation. Being a part of the Purchasing and Supplier Network division with 450 employees produces over a million plastic exterior parts annually using injection molding, including bumpers, sills, and spoilers. These parts are supplied to BMW Group plants in Leipzig, Dingolfing, and Regensburg. The TEK's "TEK 2028" mission which is transforming it from a car set manufacturer to a just in sequence (JIS) large-scale producer and emphasizes lean methodologies, and innovative digital technologies. They use a wide range of digital applications, including data analytics, workstation optimization, quality assurance, predictive maintenance, and virtual factory planning.</t>
    <phoneticPr fontId="1"/>
  </si>
  <si>
    <t>On August 15, Sollers Group announced that SOLLERS Transmission Production LLC has localized the production of aluminum gearbox housings at the Zavolzhsky Motor Plant (ZMZ) in the Nizhny Novgorod Region, including technological operations for the casting and mechanical processing of components. The total production volume will amount to 8 thousand units in 2024 with subsequent annual growth in production volumes. The housings will be gearboxes used in Sollers Argo light commercial vehicles, and in the future, gearboxes are expected to appear on other Sollers and UAZ models.  The project is being implemented with the participation of the Industrial Development Fund (IDF). The total budget of the project exceeds RUB  710 million, of which RUB 564 million were provided by the IDF. </t>
    <phoneticPr fontId="1"/>
  </si>
  <si>
    <t>On August 15, BMW unveiled the M5 Touring which is the third M series car to feature an M HYBRID drive system combining a high-revving V8 engine with an electric motor which generates a total output of 727 hp and 1,000 Nm of torque. It will be produced at BMW Dingolfing plant. The vehicle features a V8 engine which produces output of 585 hp and 750 Nm of torque, while the electric motor which generates output of 197 hp and 450 Nm of torque.</t>
    <phoneticPr fontId="1"/>
  </si>
  <si>
    <t>ZEEKR</t>
    <phoneticPr fontId="1"/>
  </si>
  <si>
    <t>https://www.marklines.com/en/global/10387</t>
    <phoneticPr fontId="1"/>
  </si>
  <si>
    <t>According to multiple press releases dated August 13, Zeekr, a Geely sub-brand for battery electric vehicles, announced that it will enter the Japanese market in 2025. To launch new models in Japan, Zeekr is going to handle local safety standards certification procedures. Recently launched on the Hong Kong, Thai, and Singaporean markets were the right-hand drive Zeekr X compact SUV and the right-hand drive Zeekr 009, which are expected to be first introduced into the Japanese market. Zeekr also plans to penetrate the Korean market.</t>
    <phoneticPr fontId="1"/>
  </si>
  <si>
    <t>On August 1, multiple sources reported that Mercedes Benz is reducing production at its Sindelfingen plant due to decreased demand for S-Class luxury sedans. In Q4 2024, Factory 56 will operate in one shift instead of two. This follows the cancellation of the night shift last year, as sales of luxury sedans continued to decline in early 2024. Other parts of the Sindelfingen plant, including production of the E-Class and GLC models, are unaffected.</t>
    <phoneticPr fontId="1"/>
  </si>
  <si>
    <t>Rivian Automotive has paused production of the electric commercial van (ECV) it builds for Amazon at its plant in Normal, Illinois due to a parts shortage. The temporary stoppage began earlier in August, Rivian said, though did not specify which components were in short supply, but did say that it expects to recover all missed production. Production of the R1 pickup and SUV models is unaffected. Rivian has amassed a surplus of the delivery vans at the plant that are awaiting delivery to Amazon.</t>
    <phoneticPr fontId="1"/>
  </si>
  <si>
    <t>https://www.marklines.com/en/global/2673</t>
    <phoneticPr fontId="1"/>
  </si>
  <si>
    <t>On August 15, Stellantis cited safety achievements at its Etobicoke Casting Plant (ECP) in Ontario, Canada, and Kokomo Casting Plant (KCP) in Kokomo, Indiana. Ebicoke Casting will receive CAD 34.0 million for its transition to electrification starting with production of battery tray cast beams, among other parts production changes. In February 2023, Stellantis announced that it will invest a total of USD 155 million USD in three Kokomo, Indiana, plants to produce new electric drive modules (EDM), with Kokomo Casting producing the EDM gearbox cover starting in the third quarter of 2024. In August 2022, Stellantis announced a USD 99 USD million investment in three plants for production of a new 1.6-liter, I-4 turbocharged engine that has both direct fuel injection and flexibility for hybrid-electric vehicle (HEV) applications. Etobicoke will receive USD 2 million to support production of the oil pan for the engine. Kokomo Casting will receive USD 14 million to convert existing die-cast machines and cells for production of engine blocks.</t>
    <phoneticPr fontId="1"/>
  </si>
  <si>
    <t>https://www.marklines.com/en/global/2659</t>
    <phoneticPr fontId="1"/>
  </si>
  <si>
    <t>On August 13, the CEO of VW Argentina, Marcellus Puig, commented that the country's plants are going through a very difficult time. During a press conference, the OEM manager also mentioned that future investments in the Córdoba and Pacheco plants depend on improvements in the country's economic situation. "Today I cannot say whether the next (investment) program will exceed USD 300 million or not, because we are still deciding what to do. However, I can say that the head office has not forgotten us." During the same event, it was also announced that the launch of the restyled Taos model, initially planned for the second half of 2024, has been suspended. A shorter future was also predicted for the Amarok, "Amarok has momentum for the next two or three years," Puig said, drastically reducing the 10-year lifespan predicted by Pablo Di Si, ex CEO of VW Latin America. The manager also mentioned other factors affecting the OEM in the country, such as Argentina's PAIS tax, and current state of Argentine market.</t>
    <phoneticPr fontId="1"/>
  </si>
  <si>
    <t>https://www.marklines.com/en/global/3031</t>
    <phoneticPr fontId="1"/>
  </si>
  <si>
    <t>On August 29, multiple sources reported that Renault is hiring 500 new employees for a night shift at its Valladolid assembly plant in Spain, starting in late October 2024. These hires follow the 500 employees added in June 2024, bringing the plant to 2.5 shifts. The total increase of around 1,000 workers aims to meet increased production demands, with full activity expected by mid-October 2024, targeting a daily output of 1,115 vehicles.</t>
    <phoneticPr fontId="1"/>
  </si>
  <si>
    <t>On August 29, multiple sources reported that the Mercedes Benz plant in Vitoria-Gasteiz, Spain will halt production on October 11 and 18, 2024, adding to the previously announced stoppages on September 6 and 20, 2024, due to market-driven production adjustments. These stoppages follow a flexibility agreement from May 2024, allowing up to 20 days of halted work this year. Previous stoppages included four Fridays in June 2024 and three days in July 2024 due to declining vehicle sales. Four days and two shifts remain for potential cancellations after October 2024.</t>
    <phoneticPr fontId="1"/>
  </si>
  <si>
    <t>On August 29, multiple sources reported that the management of Stellantis Atessa announced another week of redundancy fund from September 23-29, 2024. The decision was disclosed in a meeting with union representatives, including FIM, UILM, FISMIC, UGLM, and AQCF. It is described as a "precautionary and preventive" measure due to ongoing market stagnation. The layoffs could affect all employees at the Atessa plant, highlighting the continued challenges in the automotive sector.</t>
    <phoneticPr fontId="1"/>
  </si>
  <si>
    <t>On August 29, multiple sources reported that the majority union at Ford's Almussafes plant has urged the Ford management to outline the schedule and investments needed for the 2027 launch of the new multi-energy vehicle. The union plans to finalize and negotiate details of the Temporary Employment Regulation File (ERTE), effective January 1, 2025, and to assess the future of the engine plant to determine workforce needs and address a potential surplus. The union also plans to push for improvements to the plant's air conditioning. The union intends to demand time frames for implementing improvements and hopes that the management understands their demands.</t>
    <phoneticPr fontId="1"/>
  </si>
  <si>
    <t>Avtotor</t>
    <phoneticPr fontId="1"/>
  </si>
  <si>
    <t>https://www.marklines.com/en/global/671</t>
    <phoneticPr fontId="1"/>
  </si>
  <si>
    <t>On August 28, multiple sources reported that Avtotor is planning 12 plants for localized production of electric vehicles and auto component manufacturing in Kaliningrad by 2029. It will see a total investment of EUB 70 billion. The recently inaugurated electric motor manufacturing plant is the first plant in this progression. The next plant will be opened in the first quarter of 2025. These plants will help to achieve a full cycle of electric vehicle production.</t>
    <phoneticPr fontId="1"/>
  </si>
  <si>
    <t>https://www.marklines.com/en/global/10851</t>
    <phoneticPr fontId="1"/>
  </si>
  <si>
    <t>Hokkaido</t>
  </si>
  <si>
    <t>On August 28, Subaru Corporation (Subaru) announced that it installed a local sub-6 5G standalone (SA) network covering the entire circuit at Bifuka Proving Ground in the Subaru R&amp;E Center (Hokkaido, Japan) and has begun demonstration tests of cooperative driving automation. A total of seven sub-6 wireless base stations have been installed on the circuit course to enable remote control of cooperative automated driving throughout the course. This is the first case of local 5G installation on a test course by a Japanese automobile manufacturer.</t>
    <phoneticPr fontId="1"/>
  </si>
  <si>
    <t>Toyota Motor Corporation (Toyota) has decided to resume production of three models, the Yaris Cross, Corolla Fielder, and Corolla Axio, for the domestic market on September 2. Production of the three models has been suspended since June 6 after discovering that fraudulent practices were committed in the type designation application. The Ministry of Land, Infrastructure, Transport, and Tourism lifted the shipment suspension order on July 31, and production will resume for the first time in three months.</t>
    <phoneticPr fontId="1"/>
  </si>
  <si>
    <t>On August 28, FAW-VW announced the recent signing of a memorandum of cooperation (MoC) on low-carbon “green steel” with Baosteel in Shanghai. Under the MoC, it is expected that by 2030, Baosteel self-produced steel sheets will 100% contain “green steel”, and FAW-VW will achieve a total product lifecycle carbon emission reduction amount of over 800,000t.</t>
    <phoneticPr fontId="1"/>
  </si>
  <si>
    <t>On August 27, the People’s Government of Pudong New Area announced the August 26 settlement of the XPeng Shanghai R&amp;D Center in the Zhangjiang Hi-Tech Park. Established in 2018, the XPeng Shanghai R&amp;D Center was, on this occasion, relocated to the Model Power Community, a key large model industry ecosystem cluster district in Pudong, to focus on exploring core R&amp;D areas such as intelligent cockpits, intelligent driving, vehicle technology, drive motors, power batteries, and chips.</t>
    <phoneticPr fontId="1"/>
  </si>
  <si>
    <t>MINI</t>
    <phoneticPr fontId="1"/>
  </si>
  <si>
    <t>https://www.marklines.com/en/global/9604</t>
    <phoneticPr fontId="1"/>
  </si>
  <si>
    <t>On August 27, MINI, a BMW sub-brand, launched the new Aceman 5-door 5-seater subcompact electric crossover SUV in China. The Aceman E and SE variants are equipped with respective 135kW and 160kW motors and an FWD system, delivering respective top speeds of 160km/h and 170km/h, respective CLTC ranges of 450km and 445km, and a power consumption of 12.7kWh/100km.</t>
    <phoneticPr fontId="1"/>
  </si>
  <si>
    <t>On August 27, XPeng launched the new MONA M03 intelligent battery electric hatchback sedan. The 515km-range variant is powered by a front 140kW/225Nm permanent magnet synchronous motor (PMSM) and a 51.8kWh lithium-iron phosphate (LFP) battery. The 580km- and 620km-range variants are powered by a front 160kW/250Nm PMSM and a 62.2kWh LFP battery. A power consumption of around 11.5kWh/100km. The MONA M03 comes standard with a Qualcomm Snapdragon SA8155P automotive-grade chip. It is available with driver assistance features, such as ACC (Adaptive Cruise Control), and APA (Automated Park Assist), and 12 active safety features, such as LDW (Lane Departure Warning) and LKA (Lane Keeping Assist).</t>
    <phoneticPr fontId="1"/>
  </si>
  <si>
    <t>On August 26, the Harmony Intelligent Mobility Alliance (HIMA) unveiled the Luxeed R7, the first cooperative coupe SUV between Huawei and Chery, and launched the new AITO M7 Pro, a cooperative SUV between Huawei and Seres Group. Based on the fully functional Tuling platform, the Luxeed R7 is equipped with the Huawei Giant Whale 800V battery platform that unlocks a maximum range of 800km, and the Huawei ADS (Advanced Driving System) 3.0 end-to-end humanoid intelligent driver assistance system.</t>
    <phoneticPr fontId="1"/>
  </si>
  <si>
    <t>Luxeed</t>
    <phoneticPr fontId="1"/>
  </si>
  <si>
    <t>https://www.marklines.com/en/global/10563</t>
    <phoneticPr fontId="1"/>
  </si>
  <si>
    <t>Mini announced that the fully electric Mini Countryman SE ALL4 compact SUV will be available in the U.S. starting in September. U.S. versions of the Mini Countryman SE ALL4 feature two electric motors generating a total of 308 hp and 364 lb-ft of torque. A 64.6 kWh lithium-ion battery provides the Mini Countryman SE ALL4 with a range of up to 212 miles. Other features on the Mini Countryman SE ALL4 include an intelligent all-wheel drive system and partially automated SAE Level 2 driving functionalities. The MINI Countryman SE ALL4 is manufactured at BMW Group Plant Leipzig in Germany.</t>
    <phoneticPr fontId="1"/>
  </si>
  <si>
    <t>https://www.marklines.com/en/global/2861</t>
    <phoneticPr fontId="1"/>
  </si>
  <si>
    <t>On August 23, it was announced that Caoa Chery will consolidate BRL 1.5 billion of its BRL 3 billion investment plan between 2024 and 2028 by February 2025. This investment aims to expand Caoa’s plant in Anápolis by doubling production capacity to 160,000 units annually. To increase automation, 209 robots were purchased from Ford’s former plant in Camaçari using half of the budget. Additionally, the number of employees is expected to grow to 6,000 over the coming months. Caoa Vice President Annuar Ali stated that the plant will have an expansion of 36,100 square meters, bringing the total area to 208,400 square meters. "This year alone, we estimate a production of 76,000 units, very close to our installed capacity of 80,000 units annually." Caoa plans to introduce new products in Anápolis in 2025, including hybrid and plug-in hybrid versions of the Tiggo, as well as the Tiggo 9.</t>
    <phoneticPr fontId="1"/>
  </si>
  <si>
    <t>Honda Motor Co., Ltd. (Honda) announced on August 22 that it will launch a new grade of its N-BOX minicar, the N-BOX JOY, in Japan in the fall of 2024. It will be equipped with an exclusive front grille and other features and will be available as an addition to the N-BOX model lineup. The interior features checkered seats with a stain-resistant design. When the rear seats are folded down, the floor is flat from the rear edge, creating a space where drivers can stretch their legs and relax.</t>
    <phoneticPr fontId="1"/>
  </si>
  <si>
    <t>Mazda Motor Corporation (Mazda) unveiled the Japanese version of its new crossover SUV, the CX-80, on August 22, with sales scheduled to begin in the fall of 2024. The Japanese version will be available in three versions: a plug-in hybrid (PHV), a mild hybrid (MHV), and a 3.3L inline 6-cylinder diesel engine model. The vehicle measures 4,990 mm (length) x 1,890 mm (width) x 1,705 mm (height) (without roof rails) and has a wheelbase of 3,120 mm.</t>
    <phoneticPr fontId="1"/>
  </si>
  <si>
    <t>Fuso</t>
    <phoneticPr fontId="1"/>
  </si>
  <si>
    <t>https://www.marklines.com/en/global/581</t>
    <phoneticPr fontId="1"/>
  </si>
  <si>
    <t>Mitsubishi Fuso Truck and Bus Corporation (MFTBC) announced on August 21 that it has launched a project to accelerate the efficiency of inbound parts logistics management through digital transformation (DX). The project is called “Supply Chain Control Tower." The project will work to optimize the ordering of vehicle manufacturing parts through partial automation and to understand the arrival schedule of imported parts in Japan. Mitsubishi Fuso's domestic plants receive parts daily from several hundred suppliers in Japan and overseas, and DX will automate much of the work that was previously done by hand, significantly improving efficiency in terms of both time and cost.</t>
    <phoneticPr fontId="1"/>
  </si>
  <si>
    <t>Skoda</t>
    <phoneticPr fontId="1"/>
  </si>
  <si>
    <t>https://www.marklines.com/en/global/1741</t>
    <phoneticPr fontId="1"/>
  </si>
  <si>
    <t>Czech Republic</t>
    <phoneticPr fontId="1"/>
  </si>
  <si>
    <t>On August 29, Škoda announced that its first updated Škoda Octavia has started production from the Kvasiny plant, facilitated by the new-generation Superb now made at Volkswagen's Bratislava plant. The updated fourth-generation Octavia is produced on the same line as the Karoq and Kodiaq at the Kvasiny plant. To support production, Škoda opened a training center in Kvasiny featuring advanced technology and robotic workstations. The fourth-generation Octavia uses the updated MQB platform, with some gasoline engines offering mild-hybrid technology or all-wheel drive. Production continues at Škoda’s main facility in Mladá Boleslav, where approximately 7.5 million units have been built since the Octavia's debut in 1996.</t>
    <phoneticPr fontId="1"/>
  </si>
  <si>
    <t>https://www.marklines.com/en/global/1739</t>
    <phoneticPr fontId="1"/>
  </si>
  <si>
    <t>https://www.marklines.com/en/global/1771</t>
    <phoneticPr fontId="1"/>
  </si>
  <si>
    <t>On August 28, Avtotor started operations of an electric motor plant in the Kaliningrad region. It can produce 60,000 electric motors per year. The product line includes electric motors with a capacity of 23 kW to 140 kW for various types of light electric transport. The plant has started producing a test batch of electric motors. The production line includes sections for the manufacture of stators and their impregnation, rotor assembly, and electric motor assembly. It will create 390 new jobs.  It is planned to install equipment for assembling a 3-in-1 electric power plant (electric motor, gearbox, inverter).</t>
    <phoneticPr fontId="1"/>
  </si>
  <si>
    <t>On August 28, multiple sources reported that the reopening of the Stellantis Melfi plant has been delayed to September 3, 2024, from the previously planned September 2 and August 26, 2024. After summer break, production will focus solely on the Jeep Renegade and Compass, with the Fiat 500X temporarily discontinued. Production will run in two shifts, requiring extensive use of the solidarity contract to ensure workers’ wages. FIM-CISL union has called for concrete actions from the region and government to support ongoing investments by Stellantis, aimed at launching new production in early 2025 and 2026. The plan includes introducing a fully electric medium platform, four new electric models, a hybrid Jeep, and battery assembly.</t>
    <phoneticPr fontId="1"/>
  </si>
  <si>
    <t>https://www.marklines.com/en/global/2403</t>
    <phoneticPr fontId="1"/>
  </si>
  <si>
    <t>On August 28, multiple Korean media reported that GM Korea's labor union has extended its partial strike to six hours daily. Workers in two groups will strike for six hours each day from August 28 to 30 this week. If management fails to present a wage-bargaining plan by August 30, the union plans to initiate a long-term strike. GM Korea's labor union began refusing to work overtime on weekdays and weekends starting July 1 and initiated a wave strike on July 8. The union had been staging guerrilla strikes, with each process stopping for four hours. When operating normally, GM Korea's Changwon and Bupyeong plants produce 60 units per hour each, leading to production disruptions of nearly 1,000 units a day during the strikes. Currently, the union has switched to a partial strike, involving an entire factory shutdown at specific times. The ongoing strike has significantly affected GM Korea's production, which fell to 19,885 units last month—a sharp decrease of 52.6% compared to the same period last year.</t>
    <phoneticPr fontId="1"/>
  </si>
  <si>
    <t>https://www.marklines.com/en/global/2407</t>
    <phoneticPr fontId="1"/>
  </si>
  <si>
    <t>https://www.marklines.com/en/global/10756</t>
    <phoneticPr fontId="1"/>
  </si>
  <si>
    <t>General Motors Co. and Samsung SDI finalized an agreement previously announced in 2023 to establish a joint venture to produce electric vehicle batteries in the U.S. Under the finalized agreement, the joint venture battery cell plant will be located in New Carlisle, Indiana, on a site spanning 680 acres. GM and Samsung SDI will invest approximately USD 3.5 billion for the construction and development of the plant, which is expected to employ 1,600 workers and have an initial annual production capacity of 27 GWh. Following additional expansions, the plant’s annual capacity is expected to increase to 36 GWh. Mass production is expected to begin in 2027, one year after the planned production date from the original agreement. The new joint venture plant will produce lithium nickel cobalt aluminum oxide (NCA) high-performance nickel-rich prismatic batteries. The batteries will be deployed in future GM electric vehicle models.</t>
    <phoneticPr fontId="1"/>
  </si>
  <si>
    <t>https://www.marklines.com/en/global/9500</t>
    <phoneticPr fontId="1"/>
  </si>
  <si>
    <t>On August 27, BYD announced the recent signing of an agreement with Huawei for the in-depth joint R&amp;D of intelligent driving for Fang Cheng Bao, a sub-brand, in Shenzhen, Guangdong. This intelligent driving partnership focuses on the Bao 8 mid-to-large-size plug-in hybrid hardcore off-road SUV, the second Fang Cheng Bao model, which will become the first BYD product to feature the Huawei Qiankun intelligent driving solution and the world’s first hardcore model to feature a Huawei intelligent driving solution. Having been put into real testing, the model is expected to be launched after Q3 2024. The Bao 8 is based on the 2.0T DMO (Dual Mode Off-road) super hybrid platform and the fully functional DiSus-P intelligent hydraulic body control system. It employs the latest Huawei Qiankun ADS (Advanced Driving System) 3.0 solution.</t>
    <phoneticPr fontId="1"/>
  </si>
  <si>
    <t>Fangchengbao</t>
    <phoneticPr fontId="1"/>
  </si>
  <si>
    <t>On August 26, Jetour launched the new Shanhai L6 compact plug-in hybrid SUV. Powered by a 115kW/220Nm 5th-generation ACTECO 1.5TGDI high-efficiency dedicated hybrid engine, a 1-speed dedicated hybrid transmission, and a single 150kW/310Nm permanent magnet synchronous motor, the Shanhai L6 delivers a WLTC fuel consumption of 5.2L/100km at low battery state-of-charge. A 19.43kWh ternary lithium battery completes the powertrain, with respective CLTC electric-mode and combined ranges of 125km and 1,400km.</t>
    <phoneticPr fontId="1"/>
  </si>
  <si>
    <t>On August 26, Dongfeng Motor Corporation (DFMC) announced that two editions (including one global edition for delivery to Europe) of the Voyah Zhiyin, the first Voyah global model, rolled off the production line at the DFMC Yunfeng Plant and will be available for pre-order at the Chengdu Motor Show 2024 on August 30. The Voyah Zhiyin, the fourth Voyah strategic model and the first model based on a next-generation in-house developed electric platform, is positioned as a premium battery electric SUV. The intelligent cockpit contains a Qualcomm Snapdragon 8295 chip.</t>
    <phoneticPr fontId="1"/>
  </si>
  <si>
    <t>https://www.marklines.com/en/global/9836</t>
    <phoneticPr fontId="1"/>
  </si>
  <si>
    <t>On August 25, Great Wall Motor (GWM) started accepting pre-orders for the 2nd-generation Haval H9 large off-road SUV. Based on the Tank platform, the 2nd-generation Haval H9 employs a full-stack in-house developed all-terrain system and an intelligent 4WD system with TOD (Torque On Demand) and Mlock technologies for intelligent and seamless distribution of front and rear axle torque from 0 to 100%. It is powered by a 160kW/380Nm 2.0T engine and an 8-speed automatic transmission.</t>
    <phoneticPr fontId="1"/>
  </si>
  <si>
    <t>On August 25, Seres Group announced the recent signing of an agreement on deepening strategic cooperation with Huawei and on investment in Shenzhen Yinwang Intelligent Technology Co., Ltd. (Yinwang) in Shenzhen, Guangdong. Seres Group will acquire 10% of the equity in Yinwang held by Huawei for CNY 11.5 billion in cash to support Yinwang’s future development with Huawei and other strategic partners. This transaction, based on equity ties, will escalate the strategic cooperation between Seres Group and Huawei to “cooperation for operations and equity” to further solidify the sustainability of their partnership.</t>
    <phoneticPr fontId="1"/>
  </si>
  <si>
    <t>On August 23, Kim Long Motor officially launched the all-new KIMLONG 99 sleeper bus brand equipped with the new generation YUCHAI K11 engine. This sleeper bus is locally developed at the Kim Long Motor Hue Automobile Manufacturing and Assembly Industrial Park. Priced from VND 3.598 billion, this sleeper bus is available in 3 versions: Deluxe, Luxury, and Premium (24 and 34 beds). On the same day, the first batch of 60 KIMLONG 99 buses was handed over to 3 major customers: FUTA Bus Lines, Ha Son Company, and Tan Phat Dat Company.</t>
    <phoneticPr fontId="1"/>
  </si>
  <si>
    <t>On August 23, Kim Long Motor Hue JSC and China-based Yuchai Corp. signed an agreement on production and manufacturing of engines in Vietnam and celebrated the commencement of construction of Kim Long Hue Engine Manufacturing Plant. This USD 260 million automotive engine manufacturing plant at the Chan May – Lang Co Economic Zone in Thua Thien Hue province is part of the Kim Long Motor Hue Automobile Manufacturing and Assembly Industrial Park. The engine plant’s project is divided into 2 phases. Phase 1 focuses on producing automotive engines, with operations scheduled to start in early Q1/2025. Initially, the plant will focus on the production of internal combustion engines (Diesel), CNG engines, and electric engines, with an annual capacity of over 12,000 units. Capacity is set to increase in the following years. The subsequent phase will involve manufacturing axles, gearboxes, and automotive drive trains. The engines made at this plant will serve Kim Long Motor's domestic market needs and will be exported to ASEAN countries, the Republic of Korea, and other markets.</t>
    <phoneticPr fontId="1"/>
  </si>
  <si>
    <t>On August 27, multiple sources reported that the Ulyanovsk Region Governor stated that Sollers will start production of Sollers ST6 cars at the Ulyanovsk Automobile Plant in November 2024. The plant will produce 8-10 thousand ST6 and ST8 vehicles annually. He further stated that RUB 1.5 billion has been allocated for the modernization of the plant in Ulyanovsk. The plant will also produce safety system components such as electronic control units, steering wheels, belts, and airbags starting in 2025. </t>
    <phoneticPr fontId="1"/>
  </si>
  <si>
    <t>On August 27, multiple sources reported that Stellantis announced five days of layoffs for workers at its Pomigliano d'Arco plant in September 2024, reflecting ongoing challenges for its Italian employees. Despite the layoffs, production of the Fiat Panda will increase from 305 to 395 units per day, while production of the Alfa Romeo Tonale will decrease from 200 to 150 units daily. A similar approach is being implemented at the Atessa plant, where the redundancy fund has been extended into September 2024 due to a decline in orders for cabin vehicles. From September 16 to 22, the redundancy fund may apply to all employees. Additionally, the drop in production has resulted in the suspension of the night shift until further notice.</t>
    <phoneticPr fontId="1"/>
  </si>
  <si>
    <t>https://www.marklines.com/en/global/2075</t>
    <phoneticPr fontId="1"/>
  </si>
  <si>
    <t>Reported on August 27, Mercedes-Benz Thailand has recently launched the locally-made EQS 450 4MATIC SUV AMG Dynamic, priced from THB 5.999 million. This full-size 7-seater luxury SUV’s predecessor, the EQS 500 4MATIC AMG Premium, was Mercedes-Benz Thailand’s first locally assembled EV built on the EVA2 platform. Deliveries are planned to start by November 2024.</t>
    <phoneticPr fontId="1"/>
  </si>
  <si>
    <t>Reported on August 27, Mercedes-Benz said Thailand is still considered a potential EV market in the region thanks to the government's support of the EV industry and supply chains. The company plans to both import new car models and launch local versions of EVs from a plant run by Thonburi Automotive Assembly Plant Co., Ltd. The factory currently makes over 13 models of cars across the A-Class, C-Class, E-Class, and S-Class categories. </t>
    <phoneticPr fontId="1"/>
  </si>
  <si>
    <t>On August 27, Acura announce that the refreshed 2025 RDX has begun arriving at Acura dealers in the U.S. with more sophisticated styling, an updated cabin and enhanced technology. All trims feature the SH-AWD powertrain and are built in East Liberty, Ohio.</t>
    <phoneticPr fontId="1"/>
  </si>
  <si>
    <t>Mullen Automotive</t>
    <phoneticPr fontId="1"/>
  </si>
  <si>
    <t>https://www.marklines.com/en/global/10703</t>
    <phoneticPr fontId="1"/>
  </si>
  <si>
    <t>On August 26, Mullen Automotive Inc., an electric vehicle (EV) manufacturer, signed a purchase agreement with Volt Mobility (Volt), UAE-based commercial EV leasing company, to deliver 3,000 Class 1 and Class 3 EV cargo vans and trucks for approximately USD 210 million over the next 16 months. Volt’s order will be assembled at Mullen’s Tunica facility, which can produce 20,000 Class 1 and 6,000 Class 3 vehicles annually with two production shifts. Volt plans to lease these vehicles to its corporate customers based in the Middle East and Gulf States.</t>
    <phoneticPr fontId="1"/>
  </si>
  <si>
    <t>On August 26, the Metalworkers’ Union of São José dos Campos announced that GM will resume the second shift at its São José dos Campos plant to increase production of the S10 model. To support this, GM plans to hire up to 200 employees to meet the increased production demand for the S10 model by restarting the second shift, which was halted in October 2023. GM announced that the hirings are for a fixed period since it is only to meet local demand for the vehicle. The hiring of the new employees will take place in October and will last for one year, extendable for an additional year, offering the same benefits as permanent employees.</t>
    <phoneticPr fontId="1"/>
  </si>
  <si>
    <t>On August 26, Ford announced changes for the 2025 Bronco Sport that bring it closer to its larger Bronco sibling in style and capability with new modular, accessory-ready steel front and rear bumpers, extra steel underbody protection, available interior grab handle and auxiliary switches, revised wheel designs and a traditional rectangular Bronco grille. The 2025 Bronco Sport Big Bend, Outer Banks, and Badlands will arrive in dealers in November from the Hermosillo plant in Mexico. Bronco Sport Sasquatch will be available during Q1 2025.</t>
    <phoneticPr fontId="1"/>
  </si>
  <si>
    <t>https://www.marklines.com/en/global/10659</t>
    <phoneticPr fontId="1"/>
  </si>
  <si>
    <t>On August 24, GAC Aion announced that the Quark Electric Drive 2.0, a next-generation high-performance integrated electric drive, came off the production line. The electric drive is about to be featured in GAC Aion models. The Quark Electric Drive 2.0, an amorphous carbon fiber motor employing aircraft carrier-grade technologies and materials, delivers a maximum motor efficiency of 98.5%, a motor iron loss reduction of 50%, higher power than a V8 engine, a motor speed of 30,000rpm, and a motor power density of 13kW/kg. </t>
    <phoneticPr fontId="1"/>
  </si>
  <si>
    <t>On August 23, Geely Auto Group announced that it will accelerate innovations in New Energy Vehicle (NEV) intelligentization and release six intelligent NEVs in the second half of 2024. Geely Auto Group will integrate the in-house development of intelligent cockpits and intelligent driving to strengthen resource synergy for the R&amp;D system. To be released in the second half of 2024 are six intelligent NEVs. Geely: One boutique small battery electric SUV and one compact plug-in hybrid SUV. Lynk &amp; Co: Two new battery electric models, namely, the Z10 to be launched in September, its first battery electric sedan, and one new compact battery electric SUV. Zeekr: Two new battery electric models. For market expansion, Geely Auto Group raised the export target for 2024 from 330,000 units to 380,000 units. The group will thoroughly develop the East European, Middle East, and Southeast Asian markets and accelerate the exploitation of new markets such as Mexico, Australia, and New Zealand. In the second half of the year, three to four KD plants will be built in countries such as Egypt and Nigeria.</t>
    <phoneticPr fontId="1"/>
  </si>
  <si>
    <t>https://www.marklines.com/en/global/10587</t>
    <phoneticPr fontId="1"/>
  </si>
  <si>
    <t>On August 23, the U.S. Army Corps of Engineers said in a letter that it plans to reassess its environmental permit for Hyundai's USD 7.6 billion EV plant in Georgia after a conservation group complained that regulators failed to properly examine the sprawling factory's potential impacts on the area's water supply. The letter said that state and local economic development agencies that applied for the project's 2022 permit never mentioned Hyundai wanted to withdraw up to 6.6 million gallons (25 million liters) per day from the underground aquifer that's a major regional source of drinking water. Trip Tollison, president and CEO of the Savannah Area Economic Development Authority said he expected the updated information requested by the Army Corps to be submitted within 10 days, and the review should be completed in a month.</t>
    <phoneticPr fontId="1"/>
  </si>
  <si>
    <t>On August 22, Zeekr announced the release of two new models in the second half of 2024. The 7X will make its global debut at the Chengdu Motor Show 2024 at the end of August and is expected to be launched in September, while the Mix will be launched in Q4. Both models will feature the SEA (Sustainable Experience Architecture) Intelligent Driving 2.0 system. Expected to be released in Q4 2025 is the first Zeekr large flagship SUV to employ an Nvidia Thor chip. The model will be available with two powertrains, one battery electric and the other super hybrid. The Zeekr super hybrid system, a new powertrain combining the advantages of battery electric, plug-in hybrid, and range-extending technologies, guarantees the balance between energy consumption and vehicle range in all battery electric driving modes. In addition to the SUV, Zeekr will launch a new shooting brake based on the 007 architecture in the year.</t>
    <phoneticPr fontId="1"/>
  </si>
  <si>
    <t>On August 22, Baojun saw the Yunhai, its first compact crossover SUV, roll off the production line and started accepting pre-orders for the model, with official launch in September. The Yunhai is based on the D platform under the Tianyu architecture. All variants are equipped with a front-engine FWD layout and a 150kW/310Nm permanent magnet synchronous motor, offering a top speed of 170km/h. Additionally powered by a 78kW/130Nm 1.5L engine, an electromagnetic dedicated hybrid transmission, and respective 9.5kWh and 20.5kWh lithium-iron phosphate (LFP) batteries, the two plug-in hybrid variants deliver respective electric-mode ranges of 60km and 140km, a combined range of 1,100km, and respective WLTC fuel consumption of 4.86L/100km and 4.96L/100km at the lowest charge. For the two battery electric variants, 56.7kWh and 69.2kWh LFP batteries complete the respective powertrains, delivering respective ranges of 500km and 600km.</t>
    <phoneticPr fontId="1"/>
  </si>
  <si>
    <t>https://www.marklines.com/en/global/609</t>
    <phoneticPr fontId="1"/>
  </si>
  <si>
    <t>On August 12, 2024, Daimler Truck South Africa (DTSA) announced that it has rolled off its 800,000th Completely Knocked Down (CKD) unit at the East London plant. The milestone vehicle is Mercedes-Benz Actros 2645LS/33 which was delivered to Sesfigile Logistics and Safety One Logistics in South Africa. In 2019, the plant assembled its 750,000th CKD unit which is Mercedes-Benz Actros 2652 LS 6×4. The DTSA assembly plant in East London employs around 300 people.</t>
    <phoneticPr fontId="1"/>
  </si>
  <si>
    <t>On August 27, BMW announced that its Debrecen plant in Hungary is progressing, with its advanced paint shop being the first technology commissioned. The facility will be BMW's first entirely fossil fuel-free paint shop, using innovative systems like power-to-heat, Heat Grid, and eRTO. The plant will begin pre-series production of the Neue Klasse by year-end, serving as a model for future BMW plants under the iFACTORY principles. The Debrecen paint shop, covering 33,000 square meters, is designed to paint 30 vehicle bodies per hour, with potential for future capacity increases. The fully automated process will initially use BMW iX1 bodies.</t>
    <phoneticPr fontId="1"/>
  </si>
  <si>
    <t>On August 26, CEO Elon Musk shared a video of the Cortex computer complex, built on the south side of the company's headquarters in Austin, Texas. Cortex is a "supercomputer cluster"  that will run on more than 100,000 Nvidia H100 and H200 graphics processing units (GPUs) for video training of the Optimus humanoid robots and the Full-Self Driving (FSD) system. Tesla is also building its "Dojo" supercomputer at its New York Gigafactory, also for video training of the AI-based FSD systems in its future EVs. Another one in Memphis is already operational, and is being expanded at the moment, and when complete would be "the most powerful AI-training cluster in the world," according to Musk.</t>
    <phoneticPr fontId="1"/>
  </si>
  <si>
    <t>https://www.marklines.com/en/global/2267</t>
    <phoneticPr fontId="1"/>
  </si>
  <si>
    <t>On August 26, multiple sources reported that Volkswagen plans to increase production of its new electric car, the ID.7, at the Emden plant to around 190,000 units next year, up from the originally planned 140,000 units. The adjustment reflects higher-than-expected demand for the ID.7, especially the Tourer variant, which has seen strong market interest shortly after its launch. The production boost is also driven by the growing demand for EVs in Europe, with stricter carbon dioxide limits coming into effect next year. With the increased production, the Emden plant will operate at full capacity in two shifts, potentially building up to 250,000 cars annually with additional night shifts.</t>
    <phoneticPr fontId="1"/>
  </si>
  <si>
    <t>https://www.marklines.com/en/global/9390</t>
    <phoneticPr fontId="1"/>
  </si>
  <si>
    <t>On August 26, multiple sources reported that GB Auto Group, the local agent for Chery, has officially unveiled the EQ7 electric car in Egypt. The car is 4,675 mm long, 1,910 mm wide, and 1,660 mm high. It has a wheelbase of 2,830 mm. It has a 65.525 kWh battery with a range of up to 512 km. It has a permanent magnet synchronous electric motor that delivers 211 hp power and 285 Nm torque. </t>
    <phoneticPr fontId="1"/>
  </si>
  <si>
    <t>Reported on August 24, SAIC Motor-CP, a manufacturer of EVs in Thailand under the MG brand, pointed out that with a high tariff wall for imports from China, set by European countries as trade protection measures, Thailand can use this opportunity to become a manufacturing base for Chinese EVs to export to Europe. The company is also aiming to export EVs to European markets. In terms of EV parts, SAIC Motor-CP is now capable of making ESS battery, HV/ LV harness, e-compressor, onboard charger, and dc/dc converter at its plants. Meanwhile, the manufacturing of BMS, tractor motor, drive control unit, reduction gear and PCU inverter is still being developed together with partners and suppliers. </t>
    <phoneticPr fontId="1"/>
  </si>
  <si>
    <t>On August 24, a fire broke out at a parking lot at Rivian Automotive’s plant in Normal, Illinois, damaging many of its electric vehicles. The fire was at a parking lot on the north side of the 4-million-square-foot factory, and the assembly plant was unaffected, the Normal Fire Department reported, though the cause of the fire is still being investigated. Rivian is currently expanding the Normal plant to produce its smaller, less expensive R2 SUVs that are expected to roll out in 2026.</t>
    <phoneticPr fontId="1"/>
  </si>
  <si>
    <t>On August 23, multiple sources reported that Audi's Brussels plant will remain closed next week, with production resuming on September 2, 2024. At a staff meeting, management informed about 1,300 employees that while production won't restart next week, they will continue to be paid. Parts deliveries will begin on August 29, allowing production to resume the following September 2, 2024. Another works council meeting is scheduled for September 5, 2024. However, unions report that workers are reluctant to return without clear future prospects, expressing their dissatisfaction during the meeting.</t>
    <phoneticPr fontId="1"/>
  </si>
  <si>
    <t>On August 23, Audi Hungaria announced that it is reducing its environmental impact through the Mission: Zero program. As part of this, Audi's combined rail transport solution was launched in the spring 2024, which connects Germany and Hungary, including three major Audi plants i.e., Ingolstadt, Neckarsulm, and Győr. The train service runs between Regensburg and Hungary and could cut up to 11,500 tons of carbon dioxide emissions annually, with Audi Hungaria responsible for around 5,000 tons. Innovative loading technology eliminates the need for special terminals which makes transport faster. The train, carrying 72 truckloads, covers over 1,000 km in 24 hours, saving 185,000 km of road transport weekly. The service connects more than 50 suppliers in Germany, Slovakia, and Hungary. Audi Hungaria has shifted nearly 22 daily truckloads of goods from road to rail.</t>
    <phoneticPr fontId="1"/>
  </si>
  <si>
    <t>https://www.marklines.com/en/global/10420</t>
    <phoneticPr fontId="1"/>
  </si>
  <si>
    <t>On August 23, Great Wall Motor Company (GWM) announces the launch of a new five-seater SUV HAVAL H5 on the Russian market. The model will be presented in two trim levels - Elite and Premium. The length is 5190 mm, the wheelbase 3140 mm, and the ground clearance 200 mm. The HAVAL H5 platform is maximally unified with the GWM POER KINGKONG pickup truck. The HAVAL H5 will be equipped with two types of engines: a 2-liter turbocharged gasoline engine and a 2-liter turbocharged diesel engine. The start of sales is scheduled for autumn 2024.</t>
    <phoneticPr fontId="1"/>
  </si>
  <si>
    <t>https://www.marklines.com/en/global/10609</t>
    <phoneticPr fontId="1"/>
  </si>
  <si>
    <t>On August 23, VW Brazil announced an investment of BRL 13 billion in its three plants located in São Paulo, as part of a BRL 16 billion investment cycle until 2028. With this investment, the Anchieta plant will receive two new vehicles. The Taubaté plant will start producing a car entirely developed in Brazil, and the São Carlos plant will receive a new engine for HEVs. The Design and Engineering Center at the Anchieta plant will also receive part of the investments. The remaining BRL 3 billion is allocated to the São José dos Pinhais plant, that will begin production of the Novo Virtus sedan, starting in 2025, which continues to be produced at the Anchieta facility, and an unprecedented pickup truck. VW also announced that its Anchieta and Taubaté plants will be the first in the automotive sector to incorporate biomethane into their energy matrix, as part of its global decarbonization strategy, Way to Zero. Starting in 2024, the plants will receive 1.35 million cubic meters of biomethane per year, reaching 8.1 million cubic meters by 2027, that will be used primarily in the painting process, reducing CO2 emissions by up to 99% compared to fossil alternatives.</t>
    <phoneticPr fontId="1"/>
  </si>
  <si>
    <t>https://www.marklines.com/en/global/2933</t>
    <phoneticPr fontId="1"/>
  </si>
  <si>
    <t>https://www.marklines.com/en/global/2935</t>
    <phoneticPr fontId="1"/>
  </si>
  <si>
    <t>https://www.marklines.com/en/global/2931</t>
    <phoneticPr fontId="1"/>
  </si>
  <si>
    <t>https://www.marklines.com/en/global/2937</t>
    <phoneticPr fontId="1"/>
  </si>
  <si>
    <t>On August 23, Tesla said that it has ramped up NACS adapter production to 8,000 units per week at Gigafactory New York as the opening of the Supercharger network to other OEMs has greatly slowed down. Tesla said that it would gradually onboard OEMs one by one on the Supercharger network, which started in March with Rivian and Ford. However, nothing has happened in the last 6 months since. But now Tesla has managed to ramp up production of its NACS adapter to 8,000 units per week.</t>
    <phoneticPr fontId="1"/>
  </si>
  <si>
    <t>On August 22, 212, a Beijing Automobile Works (BAW) sub-brand for off-road vehicles, launched the new T01 model. The T01 is based on a non-load bearing body. Equipped with a mature power solution consisting of a 2.0T GDI direct-injection turbocharged engine, an 8-speed automatic transmission, and an electronically controlled mechanical part-time 4WD system, the model delivers a maximum engine power of 185kW and a peak engine torque of 410Nm.</t>
    <phoneticPr fontId="1"/>
  </si>
  <si>
    <t>Voyah</t>
    <phoneticPr fontId="1"/>
  </si>
  <si>
    <t>https://www.marklines.com/en/global/10795</t>
    <phoneticPr fontId="1"/>
  </si>
  <si>
    <t>On August 22, Voyah signed a strategic cooperation agreement with Shanghai InGeek Cyber Security Co., Ltd. (InGeek). For intelligent access systems, the two parties will co-develop a next-generation revolutionary product with Device HUB at the core. To establish a global ecosystem, InGeek will leverage its experience in areas such as cloud computing, mobile applications, and vehicle certification and utilize digital key technology to unlock high business availability and security to offer Voyah solid technical support and solutions.</t>
    <phoneticPr fontId="1"/>
  </si>
  <si>
    <t>On August 21, Avatr launched the Kunlun intelligent range-extending technology, which will be featured in the new Avatr 07 midsize SUV first. To address the issue of insufficient vehicle power at low battery state-of-charge (SoC), Avatr developed the 39kWh Shenxing super range-extending hybrid battery. To settle the problems of low charging efficiency and short electric-mode ranges, the 39kWh Shenxing battery comes with a peak charging rate of 3C, a CLTC electric-mode range of 245km, and a CLTC combined range of 1,152km. Globally debuted was the 52.4kWh Shenxing 4C super range-extending hybrid battery, a CLTC electric-mode range of 325km, and a CLTC combined range of 1,220km.</t>
    <phoneticPr fontId="1"/>
  </si>
  <si>
    <t>Fujian Motor</t>
    <phoneticPr fontId="1"/>
  </si>
  <si>
    <t>https://www.marklines.com/en/global/3929</t>
    <phoneticPr fontId="1"/>
  </si>
  <si>
    <t>On August 20, FJMG announced the recent signing of a strategic cooperation agreement with China Automotive Technology and Research Center Co., Ltd. (CATARC) in Tianjin. The two parties will cooperate in areas such as think tank support for the automotive industry, engineering technology and services, digital operations, information services, and public services to achieve IUR (Industry-University-Research) complementation and high-quality development.</t>
    <phoneticPr fontId="1"/>
  </si>
  <si>
    <t>https://www.marklines.com/en/global/10483</t>
    <phoneticPr fontId="1"/>
  </si>
  <si>
    <t>On August 21, Toyota China announced the August 20 commissioning of a new joint plant between Toyota SinoHytec Fuel Cell Co., Ltd. and United Fuel Cell System R&amp;D (Beijing) Co., Ltd. in Beijing. This marks that the fuel cell project promoted by Toyota with its Chinese partners has entered a new phase. With a total area of 113,000 square meters (44,000 for the first phase), the new plant contains 7 building units, namely, a manufacturing shop, a test shop, an R&amp;D building, a laboratory building, a hydrogen station, a comprehensive station, and a waste warehouse. Based on Toyota’s technology, FCRD and FCTS will be responsible for advancing the R&amp;D of fuel cell systems and the manufacturing and sales of fuel cell systems and fuel cell stacks, respectively. For the first phase, the maximum annual production capacity is 10,000 units. The second phase, expected to break ground in 2026, will further enhance Toyota China’s production capacity and market competitiveness.</t>
    <phoneticPr fontId="1"/>
  </si>
  <si>
    <t>https://www.marklines.com/en/global/10585</t>
    <phoneticPr fontId="1"/>
  </si>
  <si>
    <t>https://www.marklines.com/en/global/8808</t>
    <phoneticPr fontId="1"/>
  </si>
  <si>
    <t>On August 21, the GAC Aion Changsha Intelligent Ecological Plant (the Plant) was officially completed and commissioned. Rolling off the production line first was a 2nd-generation Aion V hardcore intelligent SUV. As Hunan Province’s first dark plant, the Plant is powered by technologies such as AI, simulation modeling, and intelligent logistics to shorten both debugging and delivery cycles by 25%. It is also an NEV plant with the world’s fastest single-line production pace, where one rolls off the production line every 53 seconds. In the first month of operation, the Plant is slated for 9,000 NEVs. Currently, it mainly produces the Aion S model. The output value is expected to exceed CNY 20 billion after full production capacity is reached in 2025.</t>
    <phoneticPr fontId="1"/>
  </si>
  <si>
    <t>Denza</t>
    <phoneticPr fontId="1"/>
  </si>
  <si>
    <t>On August 20, Denza started accepting pre-orders for the Z9 GT luxury flagship shooting brake coupe and the Z9 luxury flagship coupe. The Z9 GT makes the debut of the e3 platform, the world’s first in-vehicle intelligent control technology platform, which employs a pioneering tri-motor individual drive system and rear wheel dual-motor individual steering fusion and control technology to integrate plug-in hybrid and battery electric properties into one. The plug-in hybrid variants are powered by a 2.0T high-efficiency dedicated hybrid engine, a front 200kW motor, and dual rear 220kW motors, delivering a CLTC electric-mode range of 201km and a CLTC combined range of 1,100km. The battery electric variants are powered by a front 230kW motor, dual rear 240kW motors, and a 100kWh battery, delivering a CLTC range of 630km.</t>
    <phoneticPr fontId="1"/>
  </si>
  <si>
    <t>https://www.marklines.com/en/global/10494</t>
    <phoneticPr fontId="1"/>
  </si>
  <si>
    <t>According to multiple press releases dated August 20, SAIC Motor is planning to merge IM Motors and Rising Auto’s R&amp;D divisions, which concern technology projects for power batteries, intelligent driving, chassis, and more, into the SAIC Motor R&amp;D Innovation Headquarters (the Headquarters) to enhance R&amp;D efficiency and reduce costs. Prioritized by the Headquarters are IM Motors’ solid-state battery technology, Rising Auto’s battery swapping technology, and a range-extended vehicle development project. Unlike Roewe and MG, which are completely dominated by the Headquarters, IM Motors and Rising Auto retain some autonomy in development.</t>
    <phoneticPr fontId="1"/>
  </si>
  <si>
    <t>https://www.marklines.com/en/global/10383</t>
    <phoneticPr fontId="1"/>
  </si>
  <si>
    <t>https://www.marklines.com/en/global/9129</t>
    <phoneticPr fontId="1"/>
  </si>
  <si>
    <t>On August 20, BAIC Motor launched the new BJ60 Thunder range-extended SUV. The BJ60 Thunder, a range-extended edition of the BJ60 mid-to-large-size mild hybrid off-road SUV, employs the Magic Core super electric drive solution. Equipped with a 1.5T Magic Core intelligent range extender and a dual-motor intelligent electric 4WD system, the model delivers a combined power of 403kW, a combined torque of 655Nm. A 40.3kWh ternary lithium battery completes the powertrain, with a CLTC electric-mode range of 152km, a CLTC combined range of 1,200km, and a WLTC combined fuel consumption of 1.3L/100km.</t>
    <phoneticPr fontId="1"/>
  </si>
  <si>
    <t>The Infiniti Q50 is being discontinued after the 2024 model year, leaving Infiniti with only the QX50, QX55, QX60, and QX80 in its U.S. lineup. Infiniti plans to have a new electric sedan that will replace the Q50. Dealers have been shown images of a fastback sedan that features a new headlight and taillight design, with a single light strip spanning the vehicle's width, with the rear described as sporty and Porsche-like. Nissan previously announced the Canton plant as a manufacturing site for EVs in the U.S., though it has pushed back plans for electric crossovers and sedans to 2026 or later.</t>
    <phoneticPr fontId="1"/>
  </si>
  <si>
    <t>On August 22, it was announced that VW Argentina has laid off over 300 workers from its plants in Pacheco and Córdoba, a move that has been denounced by the workers themselves. According to a statement from the workers, the Pacheco plant produces 400 units per day, and the layoffs include employees undergoing treatment for cancer or those who have fallen ill due to their work, accusing the company of taking these measures solely to increase profits. VW, on the other hand, states that the layoffs are due to the difficult economic situation in the country, requiring the company to adjust its structure to adapt to the local and export markets in order to ensure the sustainability of the company. This marks a new critical point for the company amidst a crisis that worsened after several OEMs in Argentina, including VW, took on dollar-denominated debt, leaving VW among the most affected.</t>
    <phoneticPr fontId="1"/>
  </si>
  <si>
    <t>On August 16, Acura sent a software fix for 5,031 units of its new 2024 ZDX electric crossover to correct a braking issue. The issue affects only the Type S and A-Spec AWD variants of the EV. Acura’s over-the-air software update will relieve a software problem that will fix the electronic brake control module. On August 8, General Motors recalled its Cadillac Lyriq over the same issue. Since the ZDX is built in the same Springhill, Tennessee plant on the same platform and shares many components and systems with that EV, GM informed Acura about the problem late in July.</t>
    <phoneticPr fontId="1"/>
  </si>
  <si>
    <t>On September 5, Stellantis announced an investment of USD 385 million in the Córdoba Automotive Hub. The amount will be used for the development of new vehicles, components, and a new engine, as well as for hiring employees. All the new products will be manufactured using renewable energy throughout the entire process at the plant. Additionally, all the new products were designed to be easily exported in large batches to other countries in the region. The investment includes the installation of Suramericana, a key supplier within the automotive sector, allowing the vehicles produced by the company to have the highest level of local content among different automakers.</t>
    <phoneticPr fontId="1"/>
  </si>
  <si>
    <t>Shyft Group</t>
    <phoneticPr fontId="1"/>
  </si>
  <si>
    <t>On September 5, the Shyft Group announced that its Blue Arc Class 4 EV truck has received both Zero-Emission Powertrain Certification (ZEPCert) and a Heavy-Duty Greenhouse Gas (GHG) Enhanced Electric Executive Order from the California Air Resources Board (CARB), which allow Shyft's Blue Arc trucks to be sold across all 50 states, featuring one of the industry’s first truly commercial-grade, purpose-built EV chassis. The Blue Arc EV truck is in pre-production at the company’s Charlotte Plant in Michigan.</t>
    <phoneticPr fontId="1"/>
  </si>
  <si>
    <t>On September 4, Pablo García Leyenda, commercial director of Stellantis in Argentina, announced that the Peugeot Partner Patagonica will cease production at El Palomar plant.  “The model is already in the process of being runout.” The cessation of production of the model does not apply to the cargo version, known as the Partner Furgón, but only to the passenger version that was subjected to a crash test by GlobalNCAP in Germany in October 2023, showing a risk of death for all passengers. Due to the results, NCAP requested Stellantis to cease production of the model. Although there are no details from Stellantis, it is expected that the Citroen Berlingo Multispace, the Partner Patagonica's twin, will also cease production at some point. Currently the vehicle is no longer offered on the official Peugeot Argentina website, its last announced price being ARS 22,712,700 at the end of August.</t>
    <phoneticPr fontId="1"/>
  </si>
  <si>
    <t>https://www.marklines.com/en/global/10451</t>
    <phoneticPr fontId="1"/>
  </si>
  <si>
    <t>On September 4, GM announced an investment of BRL 5.5 billion in the state of São Paulo, Brazil, for the development of flexible hybrid engines, portfolio updates, and the modernization of the state's plants. This investment is part of a BRL 7 billion investment package to be applied between 2024 and 2028. "Brazil will be the first market to offer GM's flexible hybrid technology globally […]" said Rory Harvey, Executive Vice President, and President of GM Global Markets. Santiago Chamorro, President of GM South America, stated that two mild-hybrid models will initially be produced, and the EV lineup will be expanded starting in 2025. GM aims to ensure that its production processes are sustainable, and therefore, several measures will be implemented at its plants in São Paulo, such as a new dry filtration system, the use of artificial intelligence, and the installation of more than 150 robots in the state's production lines.</t>
    <phoneticPr fontId="1"/>
  </si>
  <si>
    <t>https://www.marklines.com/en/global/2851</t>
    <phoneticPr fontId="1"/>
  </si>
  <si>
    <t>https://www.marklines.com/en/global/2845</t>
    <phoneticPr fontId="1"/>
  </si>
  <si>
    <t>On September 4, Nissan announced that the 2025 Frontier mid-size pickup, enhanced with a refreshed design, higher towing capacities and updated technology, is now available at its U.S. dealers  All 2025 Frontier grades feature a new front fascia, grille and bumper design. The long-wheelbase, 6-foot-bed configuration is now offered on more truck configurations. The 2025 Frontier is built at the company’s plant in Canton, Mississippi.</t>
    <phoneticPr fontId="1"/>
  </si>
  <si>
    <t>https://www.marklines.com/en/global/9976</t>
    <phoneticPr fontId="1"/>
  </si>
  <si>
    <t>On September 4, the United Auto Workers (UAW) announced that management at the Ultium Cells LLC facility in Spring Hill, has agreed to recognize the union to represent its workers. The UAW said a majority of the 1,000 workers at the facility signed cards to join the UAW after workers at an Ohio Ultium plant overwhelmingly voted to join the union in 2022. The Ultium Cells plant in Spring Hill started battery production in March 2024, and supplies battery cells for the Cadillac Lyriq built at GM Spring Hill Assembly plant.</t>
    <phoneticPr fontId="1"/>
  </si>
  <si>
    <t>https://www.marklines.com/en/global/10475</t>
    <phoneticPr fontId="1"/>
  </si>
  <si>
    <t>On August 30, at the Chengdu Motor Show 2024 (CDMS 2024), Chery started accepting pre-orders for the next-generation Tiggo 8 Plus midsize 7-seater SUV. Debuted was the new Fulwin E05 compact coupe. Powered by a 145kW/290Nm 1.6TGDI turbocharged engine, a 7-speed dual-clutch transmission, and a front-engine FWD system, the next-generation Tiggo 8 Plus delivers a combined fuel consumption of 7.1L/100km. It comes with a Level 2.5 intelligent driver assistance system. The Fulwin E05 is available in range-extended and battery electric variants and with a quasi-Level 3 intelligent driving solution.</t>
    <phoneticPr fontId="1"/>
  </si>
  <si>
    <t>https://www.marklines.com/en/global/3437</t>
    <phoneticPr fontId="1"/>
  </si>
  <si>
    <t>On August 30, at the Chengdu Motor Show 2024 (CDMS 2024), Beijing Hyundai launched the 5th-generation Sante Fe mid-to-large-size light-duty outdoor off-road SUV. The 5th-generation Sante Fe is based on Hyundai’s i-GMP platform. Powered by a 182kW/353Nm 3rd-generation 2.0T turbocharged engine, an 8-speed automatic transmission, and an FWD or 4WD system, the model delivers a top speed of 210km/h and a WLTC combined fuel consumption of 8.05-9.38L/100km.</t>
    <phoneticPr fontId="1"/>
  </si>
  <si>
    <t>On September 4, Mullen Automotive, Inc. announced the shipment of initial vehicles under a significant USD 210 million purchase contract with Volt Mobility based in the United Arab Emirates. The initial shipment of vehicles represents the first phase of the multi-vehicle agreement between Mullen and Volt Mobility with the planned shipment of 300 vehicles in CY 2024. Volt’s vehicle order is being assembled at Mullen’s Tunica, Mississippi-based Commercial Vehicle Facility.</t>
    <phoneticPr fontId="1"/>
  </si>
  <si>
    <t>On September 4, Audi Hungaria announced that the CUPRA Terramar is the first non-Audi model produced at the Audi Győr plant in Hungary, involving 3,500 employees. The sporty SUV will offer both internal combustion and plug-in hybrid (eHybrid) powertrains. The vehicle is designed in Barcelona. Since September 2022, employees have been trained through workshops and pilot car assembly, with over 200 receiving additional training on new product features and robotics, such as a new robotic cell for sealing steel bonnets in the paint shop.</t>
    <phoneticPr fontId="1"/>
  </si>
  <si>
    <t>Cupra</t>
    <phoneticPr fontId="1"/>
  </si>
  <si>
    <t>https://www.marklines.com/en/global/1655</t>
    <phoneticPr fontId="1"/>
  </si>
  <si>
    <t>On September 4, Jeep announced a major milestone with the 100,000th Jeep Avenger produced at the Tychy plant in Poland. It is the e-Hybrid B-SUV model. The Avenger offers various engines, transmissions, and soon, an all-wheel-drive option with the upcoming 4xe model. The new Avenger e-Hybrid features a 48-Volt hybrid system with a 100 hp combustion engine and a 21-kW electric motor integrated into a six-speed dual-clutch transmission.</t>
    <phoneticPr fontId="1"/>
  </si>
  <si>
    <t>https://www.marklines.com/en/global/2599</t>
    <phoneticPr fontId="1"/>
  </si>
  <si>
    <t>On September 4, 2024, Ford Motor Company announced that it had begun shipments of the 2024 E-Transit with Enhanced Range electric van across North America. The updated E-Transit features an enhanced-range battery with an 89 kWh capacity which is capable of providing a range of 159 miles on a single charge.</t>
    <phoneticPr fontId="1"/>
  </si>
  <si>
    <t>Saxony (Sachsen)</t>
  </si>
  <si>
    <t>On September 3, IG Metall union announced that Volkswagen's board is considering closing a major vehicle manufacturing or component plant in Germany, affecting both Volkswagen AG and its subsidiaries across all German locations. Product and investment commitments are at risk, including the compact electric SUV model planned for the Wolfsburg plant by 2026. Additionally, the future VW model, Trinity, slated for production in the Zwickau plant, may be delayed. The board also plans to renegotiate collective agreements in the coming days, with employment security potentially ending, allowing for possible layoffs.</t>
    <phoneticPr fontId="1"/>
  </si>
  <si>
    <t>https://www.marklines.com/en/global/2261</t>
    <phoneticPr fontId="1"/>
  </si>
  <si>
    <t>Lower Saxony (Niedersachsen)</t>
  </si>
  <si>
    <t>On September 3, Cupra’s Terramar SUV made its world premiere at the 37th America’s Cup event in Barcelona, Spain. The vehicle is 4,519 mm long, 1,863 mm wide, 1,584 mm tall, and has a wheelbase of 2,681 mm. It will be available in five different powertrains across three different technologies, including TSI (petrol), eTSI (mild hybrid), and the new generation of plug-in hybrid (e-HYBRID) with system output ranging from 150 PS to 272 PS. Deliveries will begin in the last quarter of this year. </t>
    <phoneticPr fontId="1"/>
  </si>
  <si>
    <t>Deepal</t>
    <phoneticPr fontId="1"/>
  </si>
  <si>
    <t>On September 2, at the Chengdu Motor Show 2024 (CDMS 2024), Deepal made the global debut of the new L07 midsize intelligent sedan. Available in battery electric and range-extended variants, the model is expected to be launched in the month. The L07 is equipped with the Huawei Qiankun intelligent system, the Force Super-Integrated Electric Drive 2.0 system, a Golden Shield 2.0 battery, the EPA1 electric digital platform, and an RWD layout. The range-extended variants are powered by Deepal’s latest super range-extending system, with an electric-mode range of 300km, a combined range of 1,400km, and a fuel consumption of 3.94L/100km at low battery state-of-charge (SoC).</t>
    <phoneticPr fontId="1"/>
  </si>
  <si>
    <t>https://www.marklines.com/en/global/3451</t>
    <phoneticPr fontId="1"/>
  </si>
  <si>
    <t>https://www.marklines.com/en/global/3741</t>
    <phoneticPr fontId="1"/>
  </si>
  <si>
    <t>On August 31, at the Chengdu Motor Show 2024 (CDMS 2024), BMW China made the global debut of the new BMW X3 Long-wheelbase luxury midsize SAV (Sports Activity Vehicle). For powertrain, the model is equipped with the BMW 9th-generation horizontal kinetics management system and the xDrive intelligent all-wheel-drive system.</t>
    <phoneticPr fontId="1"/>
  </si>
  <si>
    <t>On August 30, at the Chengdu Motor Show 2024 (CDMS 2024), Voyah, started accepting pre-orders for the new Courage (Zhiyin in Chinese) premium battery electric SUV, its 4th model. A global edition will be unveiled at a motor show in Turin, Italy in mid-September. Powered by an all-domain 800V silicon carbide platform, 5C super-fast charging technology, and a 109kWh Amber 2.0 battery, the Courage delivers an ultra-long range of 901km.</t>
    <phoneticPr fontId="1"/>
  </si>
  <si>
    <t>https://www.marklines.com/en/global/10392</t>
    <phoneticPr fontId="1"/>
  </si>
  <si>
    <t>On August 30, at the Chengdu Motor Show 2024 (CDMS 2024), smart made the Chinese debut of the new smart #5 midsize battery electric sedan. Equipped with an 800V electric platform, 4C super-fast charging technology, and a 100kWh ternary lithium battery, and a maximum CLTC range of 740km. The smart #5 comes with an AMD V2000 high-computing-power chip, and the smart Pilot Assist 3.0 system.</t>
    <phoneticPr fontId="1"/>
  </si>
  <si>
    <t>https://www.marklines.com/en/global/2285</t>
    <phoneticPr fontId="1"/>
  </si>
  <si>
    <t>On September 4, BMW announced that it has installed the first “motionless” wind energy system at the MINI plant in Oxford, using Aeromine Technologies’ (US) innovative design. The system generates clean energy without visible moving parts, and the Oxford plant will serve as a test site to evaluate its potential for enhancing energy efficiency across BMW Group facilities and commercial buildings in the UK. The project is part of the BMW Startup Garage. Aeromine's wind unit is mounted on building edges which uses vertical airfoils to create a vacuum effect that drives an internal propeller to generate clean electricity. Unlike traditional turbines, the bladeless design minimizes noise, vibrations, and environmental impact. The new system is particularly effective during winter and evening hours, when solar panels are less efficient, ensuring continuous renewable energy generation.</t>
    <phoneticPr fontId="1"/>
  </si>
  <si>
    <t>MAN (TRATON)</t>
    <phoneticPr fontId="1"/>
  </si>
  <si>
    <t>https://www.marklines.com/en/global/2175</t>
    <phoneticPr fontId="1"/>
  </si>
  <si>
    <t>Bavaria (Bayern)</t>
  </si>
  <si>
    <t>On September 4, MAN Truck &amp; Bus announced that it will unveil the new MAN eTGL at IAA Transportation 2024, completing its electric truck lineup for light distribution. The eTGL is based on MAN’s 12-tonne diesel model, sharing components with the eTGS and eTGX. It features two battery packs, each with a usable capacity of 160 kWh, mounted on either side of the frame, and charges via a CCS connection with up to 250 kW in around 30 minutes (10% - 80% SoC). The battery packs will be manufactured at the Nuremberg plant. The drive unit comes with an electric motor and two-speed gearbox which generates output of 285 hp to the rear axle via a cardan shaft. The eTGL offers a range of up to 235 km.</t>
    <phoneticPr fontId="1"/>
  </si>
  <si>
    <t>https://www.marklines.com/en/global/8751</t>
    <phoneticPr fontId="1"/>
  </si>
  <si>
    <t>On September 4, Sollers Group started production of a new generation of buses under the Sollers brand at the plant in Vladivostok. It has started production of tourist bus Sollers SA9 and the intercity bus Sollers SA6. The plant will produce up to 1,500 buses per year. The start of sales is scheduled for December 2024. At present, assembly and test lines have been organized at the production site. The Sollers SA9 is a 12-metre tourist bus. The model range of Sollers SA6 family of intercity buses includes large (12 m, 330 hp) and medium (9 m, 245 hp) class buses.</t>
    <phoneticPr fontId="1"/>
  </si>
  <si>
    <t>https://www.marklines.com/en/global/8880</t>
    <phoneticPr fontId="1"/>
  </si>
  <si>
    <t>On September 3, Stellantis MEA marked a milestone in its "Third Engine" strategy with the launch and local assembly of the Jeep Grand Cherokee L in Egypt at the Arab American Vehicles (AAV) plant. The Jeep Grand Cherokee L comes with a 3.6-liter V6 engine which generates output of 290 hp, paired with an 8-speed automatic transmission. It has a new architecture, design and has three-row SUV, seating up to seven passengers.</t>
    <phoneticPr fontId="1"/>
  </si>
  <si>
    <t>On September 3, multiple sources revealed that Audi management announced that no new models will be built at the Brussels plant, and existing production capacities will not be transferred there from any other plants in the coming years. However, production at the plant will gradually resume starting September 4, 2024, operating in two shifts. Unions are now seeking detailed information on alternative options being considered by the Volkswagen Group. Audi Brussels employees are also planning a demonstration in the capital on September 16, 2024, to address concerns about the factory's future and the broader automotive industry in Belgium.</t>
    <phoneticPr fontId="1"/>
  </si>
  <si>
    <t>https://www.marklines.com/en/global/10760</t>
    <phoneticPr fontId="1"/>
  </si>
  <si>
    <t>Baden-Württemberg</t>
  </si>
  <si>
    <t>On September 3, cellcentric announced that it will present a virtual 3D model of its future NextGen fuel cell system at IAA Transportation 2024. The study provides an outlook on the dimensions and design of the pioneering new generation of fuel cell systems. Following the development phase and prototype production of fuel cell systems, cellcentric is now in the preliminary stage of industrial production, preparing for large-scale production in the recently inaugurated factory in Esslingen. The pilot production in Esslingen also marks the next step towards the largest fuel cell production in Europe at the new cellcentric site ‘KLIMA|WERK’ in Weilheim, which is planned for the end of the decade.</t>
    <phoneticPr fontId="1"/>
  </si>
  <si>
    <t>On September 3, Hyundai announced the release of the refreshed 2025 IONIQ 5, including a rugged new IONIQ 5 XRT off-road variant. The expanded lineup, with restyled front and rear bumpers, offers more driving range and innovative features. The IONIQ 5 will be the first model range manufactured at the brand-new Hyundai Motor Group Metaplant America (HMGMA) facility in Georgia, and will arrive at U.S. dealerships in fall 2024. IONIQ 5 will be the first Hyundai model to come equipped with the Tesla North American Charging Standard (NACS) port, enabling them to use the 17,000+ chargers on Tesla’s Supercharger network without using an adapter.</t>
    <phoneticPr fontId="1"/>
  </si>
  <si>
    <t>https://www.marklines.com/en/global/10676</t>
    <phoneticPr fontId="1"/>
  </si>
  <si>
    <t>On September 3, Scout Motors posted on social media that it will reveal its first vehicles on October 24 in Nashville, Tennessee. Production at the new Scout Motors plant in Blythewood, South Carolina is scheduled to begin in late 2026, with sales to begin soon after.</t>
    <phoneticPr fontId="1"/>
  </si>
  <si>
    <t>On September 3, Builtmore Contract Manufacturing, a market brand of The Shyft Group, Inc., commenced production of the Isuzu NRR-EV at its facility in Charlotte, Michigan, with ordering available now, and first deliveries expected in September 2024. The vehicle features multiple battery configurations and regenerative braking for optimal performance, along with state-of-the-art driver assistance systems and fast-charging capabilities.</t>
    <phoneticPr fontId="1"/>
  </si>
  <si>
    <t>On September 2, multiple sources reported that Ambertruck had started sales of the light-duty truck Ambertruck JL in Russia. It is powered by a 2.8-litre diesel engine producing 109 hp, which is paired with a 5-speed manual transmission. Its payload capacity is 1,560 kg. It is manufactured at the Avtotor plant in Kaliningrad. Its price starts from RUB 2.89 million.</t>
    <phoneticPr fontId="1"/>
  </si>
  <si>
    <t>Puebla</t>
  </si>
  <si>
    <t>On September 2, it was announced that workers at the VW Puebla, Mexico plant rejected the company's proposal for a 10.59% wage increase. The poll was held on August 30 and the results were released on Saturday, August 31, when it was announced that 55.7% of the votes were against the proposed increase, which consists of 7% direct pay and 3.59% in benefits. Due to this event, the strike at the plant has been postponed until September 14, with the hope of having a new agreement before then.</t>
    <phoneticPr fontId="1"/>
  </si>
  <si>
    <t>https://www.marklines.com/en/global/9891</t>
    <phoneticPr fontId="1"/>
  </si>
  <si>
    <t>On September 1, Algeria INVEST announced that the project to build a factory for the manufacturing and assembly of Iveco utility vehicles planned in Bouira in partnership with the Algerian group Ival-Industrie, was assigned to the public company Ferrovial. Launched in 2014, work on this project ended in 2019 with a completion rate of 65%. Once operational, this plant could generate up to 750 direct jobs and another 1,200 indirect jobs. It has a 100,000 square meters. It is expected to produce 4,000 vehicles including urban and suburban buses in the first stage.  It will have 8 production lines equipped with cutting-edge technology. The production can be extended to 12,000 units per year. </t>
    <phoneticPr fontId="1"/>
  </si>
  <si>
    <t>https://www.marklines.com/en/global/3735</t>
    <phoneticPr fontId="1"/>
  </si>
  <si>
    <t>On August 31, at the Chengdu Motor Show 2024 (CDMS 2024), SAIC MG unveiled the next-generation MG5 sporty coupe. The next-generation MG5 is equipped with a next-generation 181Ps/285Nm Mega Tech 1.5T high-power engine and a 97%-efficiency Mega Tech 7-speed wet dual-clutch transmission, while employing the XDS (Electronic Differential System) and EPS-Pro (Electronic Power Steering Professional) technologies.</t>
    <phoneticPr fontId="1"/>
  </si>
  <si>
    <t>On August 30, at the Chengdu Motor Show 2024 (CDMS 2024), Avatr started accepting pre-orders for the new Avatr 07 luxury midsize SUV, which is available in battery electric and range-extended editions. The range-extended edition is powered by the Kunlun intelligent range-extending system and an all-domain 800V silicon carbide platform, delivering an electric-mode range of 230km, a top speed of 190km/h at full or low battery state-of-charge (SoC), a WLTC fuel consumption of 6.08L/100km at low battery SoC.</t>
    <phoneticPr fontId="1"/>
  </si>
  <si>
    <t>https://www.marklines.com/en/global/10504</t>
    <phoneticPr fontId="1"/>
  </si>
  <si>
    <t>On August 30, at the Chengdu Motor Show 2024 (CDMS 2024), Dongfeng Aeolus made the global debut of and started accepting pre-orders for the battery electric edition of the Aeolus L7 compact SUV. It is the second Dongfeng Aeolus New Energy model released this year. The Aeolus L7 battery electric edition is powered by the Dongfeng Mach E iD3-160 electric drive system, which employs a super-integrated hairpin motor with a maximum power of 160kW, a peak torque of 310Nm, and a high energy efficiency proportion of 92.7%. With a 62.3kWh Mach battery, a CLTC range of 518km. Also exhibited at the event were four blockbuster New Energy models of other DFMC sub-brands, namely, the Voyah Zhiyin battery electric SUV, the M-Hero M800 luxury off-road vehicle, the 530 Air battery electric variant of the eπ007 sedan, and the Nammi 01 SUV.</t>
    <phoneticPr fontId="1"/>
  </si>
  <si>
    <t>https://www.marklines.com/en/global/10725</t>
    <phoneticPr fontId="1"/>
  </si>
  <si>
    <t>https://www.marklines.com/en/global/3977</t>
    <phoneticPr fontId="1"/>
  </si>
  <si>
    <t>On August 30, at the Chengdu Motor Show 2024 (CDMS 2024), BYD started accepting blind pre-orders for the new Seal 06 GT midsize battery electric sedan, which is positioned as “the first GT model for young people”. Based on the e-Platform 3.0 Evo, the Seal 06 GT has an RWD or 4WD layout. For the 4WD variant, the iTAC (Intelligent Torque Adaption Control) and FSD (Frequency Selective Damping) technologies. The model also employs an 800V silicon carbide platform. The Seal 06 GT contains the DiPilot Level 2 intelligent driver assistance system.</t>
    <phoneticPr fontId="1"/>
  </si>
  <si>
    <t>On August 30, at the Chengdu Motor Show 2024 (CDMS 2024), Zeekr made the global debut of and started accepting pre-orders for the new 7X large 5-seater luxury battery electric SUV. The 7X is powered by a 475kW high-performance silicon carbide drive motor. It is equipped with a full-stack 800V system, delivering a range of 600km with a 75kWh 5.5C 2nd-generation Gold Brick battery and a maximum CLTC combined range of 780km for those with a 100kWh Qilin battery. The 7X contains dual Orin-X intelligent driving chips with a total computing power of 508TOPS.</t>
    <phoneticPr fontId="1"/>
  </si>
  <si>
    <t>On August 30, at the Chengdu Motor Show 2024 (CDMS 2024), Jetour started accepting pre-orders for the new Shanhai L7 large 7-seater family plug-in hybrid SUV. Equipped with a 115kW/220Nm Chery Power 1.5TD engine, a 2-speed dedicated hybrid transmission, a 199kW/395Nm motor, and a front-engine FWD layout, respective CLTC electric-mode and combined ranges of 120km and 1,300km, a fuel consumption of only 5.18L/100km at low battery state-of-charge (SoC). Unveiled at the event was the new Shanhai T1 off-road SUV, which will be launched at the end of the year. The Shanhai T1 employs the Chery Power C-DM super hybrid technology and a 1.5TD dedicated hybrid engine, offering a 1,400km combined range. Other models, such as the Shanhai L6 and the Shanhai T2 4WD, were also unveiled.</t>
    <phoneticPr fontId="1"/>
  </si>
  <si>
    <t>https://www.marklines.com/en/global/10883</t>
    <phoneticPr fontId="1"/>
  </si>
  <si>
    <t>On September 3, HORSE announced that it is bringing production of its 1.3-litre Turbo Flex Fuel engine to Brazil after the successful launch of the 1.0-litre model earlier this year. Both engines are tailored for the South American market and will be produced at the Curitiba plant by 2024. These Turbo Flex engines run on gasoline and sustainable ethanol, meet Proconve L7 standards (equivalent to Euro6d), and are being certified for the upcoming L8 standards. The 1.0-litre HR10 engine generates output of 92kW and 220 Nm of torque, with 90% available at 1,750 rpm for quick throttle response. The 1.3-litre HR13 engine generates output of 125kW and 270 Nm of torque at 1,600rpm. HORSE has invested over 170,000 hours of development into the HR10 engine to meet South American demands. The Curitiba plant has invested BRL 100 million to produce 500,000 engines annually, starting HR13 production alongside HR10 in 2025.</t>
    <phoneticPr fontId="1"/>
  </si>
  <si>
    <t>FPT</t>
    <phoneticPr fontId="1"/>
  </si>
  <si>
    <t>https://www.marklines.com/en/global/95</t>
    <phoneticPr fontId="1"/>
  </si>
  <si>
    <t>On September 2, FPT Industrial announced that it has produced its 100,000th natural gas (NG) engine at its Bourbon-Lancy plant in France. The milestone engine is an XCURSOR 13 NG for the truck market which offers advanced power, torque, and braking, along with an 8% reduction in carbon emissions compared to its predecessor. In 2022, the Bourbon-Lancy facility is employing around 1,200 people, follows the DOT (Driving Operations Together) program to ensure high levels of safety, quality, and productivity, making it a model of operational excellence.</t>
    <phoneticPr fontId="1"/>
  </si>
  <si>
    <t>https://www.marklines.com/en/global/10767</t>
    <phoneticPr fontId="1"/>
  </si>
  <si>
    <t>Reported on September 2, Great Wall Motor Malaysia has officially opened the order books for the Haval H6 Hybrid SUV, with the estimated selling price of around MYR 145,000. Scheduled for Q3, the H6 HEV will be launched in a CKD form, the first locally assembled GWM models in Malaysia (by EPMB in Melaka).</t>
    <phoneticPr fontId="1"/>
  </si>
  <si>
    <t>https://www.marklines.com/en/global/2903</t>
    <phoneticPr fontId="1"/>
  </si>
  <si>
    <t>On September 2, Stellantis began supplying ethanol to vehicles with Flex-fuel engines produced in Goiana, Brazil. From this date onward, vehicles equipped with T270 Flex and Turbo 270 Flex engines will receive ethanol as fuel directly from the factory. The first models to benefit will be the Jeep Renegade Flex T270 and Flex T270 4x4, Compass Flex T270, and Commander Flex T270, as well as the Fiat Toro Turbo T270 Flex. It is expected that by 2025, this same strategy will be replicated at the plants in Minas Gerais and Rio de Janeiro to cover all models manufactured by Stellantis in the country. With this strategy, the Goiana plant will reduce emissions by approximately 87%, or more than 2,100 tons of CO2 emitted during the initial fuel fill.</t>
    <phoneticPr fontId="1"/>
  </si>
  <si>
    <t>https://www.marklines.com/en/global/2834</t>
    <phoneticPr fontId="1"/>
  </si>
  <si>
    <t>https://www.marklines.com/en/global/863</t>
    <phoneticPr fontId="1"/>
  </si>
  <si>
    <t>Guanajuato</t>
  </si>
  <si>
    <t>On August 30, it was announced that Ford invested USD 273 million in its Guanajuato plant to produce the primary power unit of the Mustang Mach-E over the course of one year. The investment was allocated to the modernization of the Irapuato Electric Powertrain Center (IEPC), which was previously dedicated to manufacturing transmissions for gasoline vehicles. The facility will now produce the Primary Power Units for the Mustang Mach-E, a model produced at the Cuautitlán Izcalli plant and the first 100% electric mass-production vehicle made in Mexico. "This new phase allows us to create synergy between plants and drive development in the country," said Ricardo Anaya, Director of Manufacturing at Ford Mexico and Latin America.</t>
    <phoneticPr fontId="1"/>
  </si>
  <si>
    <t>https://www.marklines.com/en/global/3425</t>
    <phoneticPr fontId="1"/>
  </si>
  <si>
    <t>On August 28, Foton Motor held an event to further specify the strategic goals and implementation paths for the next 3 years and debut the new Auman Galaxy 9 flagship heavy-duty truck. For internationalization, the automaker has set the strategic goal of achieving a sales volume of 300,000 vehicles in markets outside of China by 2030, in which New Energy Vehicles account for 30%. Based on the industry’s pioneering Galaxy intelligent architecture, the Auman Galaxy 9 comes in five series and differentiated product matrix, fully covering highway and engineering scenarios, markets across the globe, and all powertrain types. For ICE and gas vehicle platform, the Auman Galaxy 9 employs for the first time a VCU (Vehicle Control Unit) for centralized management of the engine and the transmission to deliver 5% lower fuel or gas consumption than existing platforms.</t>
    <phoneticPr fontId="1"/>
  </si>
  <si>
    <t>On September 2, Škoda Auto announced that it has integrated Industry 4.0 technologies at its Kvasiny and Vrchlabí plants. The Kvasiny facility produces the Karoq, Kodiaq, and Octavia models and has manufactured over 4 million vehicles since joining the Volkswagen Group in 1991. It sources up to 90% of its electricity from renewable sources and improved its painting process in 2023, saving 6,000 MWh of natural gas annually. The Vrchlabí plant operates seven days a week with a capacity of 690,000 transmissions per year. It has been carbon-neutral since late 2020 by using renewable energy and offsetting emissions through compensation measures and carbon dioxide certificates.</t>
    <phoneticPr fontId="1"/>
  </si>
  <si>
    <t>https://www.marklines.com/en/global/1743</t>
    <phoneticPr fontId="1"/>
  </si>
  <si>
    <t>https://www.marklines.com/en/global/8739</t>
    <phoneticPr fontId="1"/>
  </si>
  <si>
    <t>On September 2, Audi unveiled the third generation of the Q5 SUV, which is more modern and dynamic. It’s the first SUV based on the PPC platform and features gasoline and diesel engines enhanced by MHEV plus technology with a 48-volt electrical system. Q5 integrates Audi’s new E3 1.2 electronics architecture, offering advanced connectivity and digitalization. The entry-level 2.0 TFSI engine generates output of 150 kW and 340 Nm of torque, with front-wheel drive and optional quattro all-wheel drive. The 2.0 TDI engine generates output of 150 kW and 400 Nm of torque with standard quattro all-wheel drive. The top-tier Audi SQ5 features a 3.0 V6 TFSI engine which generates output of 270 kW and 550 Nm of torque. Audi continues to manufacture the Q5 in San José Chiapa, Mexico, focusing on the North American market.</t>
    <phoneticPr fontId="1"/>
  </si>
  <si>
    <t>On August 30, multiple sources reported that the Stellantis Termoli plant is facing a severe production crisis with two new shutdowns scheduled from September 2 to 8, 2024 and September 23 to 29, 2024. Following several interruptions last July 2024, the plant is struggling due to decreased orders for ICE engines. Production of GME engines, which power models like the Alfa Romeo Giulia and Stelvio, is declining as the industry shifts towards electric power. Stellantis has also favored the Puretech engine for new models, sidelining the GSE (Firefly) engine. The V6 engine remains limited to niche models, insufficient for the plant’s sustainability.</t>
    <phoneticPr fontId="1"/>
  </si>
  <si>
    <t>On August 30, multiple sources reported that the Stellantis Cassino plant has halted production, leading to significant disruptions in the supply chain and creating an emergency situation. The extension of "forced holidays" for workers at the factory has impacted the local economy. The factory will be closed for 47 days due to a lack of orders, affecting jobs. Production of the Maserati Grecale, Alfa Romeo Giulia, and Stelvio will be halted from September 9 to 13, 2024, with operations resuming on September 16, 2024.</t>
    <phoneticPr fontId="1"/>
  </si>
  <si>
    <t>On August 30, Indus Motor Company, the makers of Toyota vehicles in Pakistan announced its board of directors had approved a further investment of PKR 1.1 billion by the company for additional localization of parts and components of various existing vehicles. This will make the total investment in the project for additional localization PKR 4.1 billion. This is to increase overall localization and to reduce the outflow of foreign exchange. The further investment is planned to be completed by Q1 FY 2026. The investment shall be made towards expenditure in plant and machinery, molds, dies, equipment, and related expenses for localization of parts and components.</t>
    <phoneticPr fontId="1"/>
  </si>
  <si>
    <t>Daihatsu Motor Co., Ltd. has temporarily halted operations at its domestic vehicle plants due to the impact of Typhoon No. 10. As of August 30, the confirmed suspension periods are as follows: the Kyoto (Oyamazaki) Plant and Shiga (Ryuo) Plant will suspend operations from the second shift on August 28 to the first shift on September 2, and the Head (Ikeda) Plant, which operates on a single shift, will suspend operations from August 29 to September 2. Daihatsu Motor Kyushu Co., Ltd.'s Oita (Nakatsu) Plant was suspended from the first shift on August 29 to the first shift on August 30.</t>
    <phoneticPr fontId="1"/>
  </si>
  <si>
    <t>On August 30, Toyota Motor Kyushu, Inc. decided to suspend operations at all three plants (Miyata, Kanda, and Kokura Plants) for the first shift on September 2 (Monday), the day after the weekend vacation. The three plants have been shut down since the second shift on Wednesday, August 28.</t>
    <phoneticPr fontId="1"/>
  </si>
  <si>
    <t>https://www.marklines.com/en/global/395</t>
    <phoneticPr fontId="1"/>
  </si>
  <si>
    <t>https://www.marklines.com/en/global/397</t>
    <phoneticPr fontId="1"/>
  </si>
  <si>
    <t>On the 30th, Toyota Motor Corporation decided to suspend the first shift on Monday, September 2nd, after the weekend, at 14 domestic vehicle plants that are currently suspended due to the effects of Typhoon No. 10. However, the first shift will be operated at Hino Motors, Ltd.'s Hamura Plant No. 4 line, which produces high mobility vehicles. The 14 plants include Toyota Motor's four plants (Motomachi, Takaoka, Tsutsumi, and Tahara Plants), Toyota Motor Kyushu, Inc.'s Miyata Plant, Toyota Motor East Japan, Inc.'s two plants (Iwate and Miyagi Ohira Plants), Toyota Auto Body Co., Ltd.'s three plants (Fujimatsu, Inabe, and Yoshiwara Plants), Gifu Auto Body Co., Ltd.'s Honsha Plant, Toyota Industries Corporation's Nagakusa Plant, Hino Motors' Hamura Plant, and Daihatsu Motor Co., Ltd.'s Kyoto (Oyamazaki) Plant.</t>
    <phoneticPr fontId="1"/>
  </si>
  <si>
    <t>Hino</t>
    <phoneticPr fontId="1"/>
  </si>
  <si>
    <t>On August 30, multiple sources reported that Ford has informed the workers' union at the Almussafes (Valencia) plant that it will halt production on the engine assembly line on September 6, 2024, as a part of the Temporary Employment Regulation File (ERTE). The plant has a ERTE in force until December 31, 2024, which affects 996 workers daily and includes 25 days of total stoppage, both for vehicles and engines. After the ERTE, in 2025, a transitional mechanism is planned until the manufacture of a new vehicle arrives in Almussafes plant in 2027. Additionally, the majority union, UGT, has also demanded the management to outline the actions and investments needed for the plant to support the new vehicle launch in 2027.</t>
    <phoneticPr fontId="1"/>
  </si>
  <si>
    <t>On August 28, Toyota Motor Kyushu, Inc. suspended operations at all three plants (Miyata, Kanda, and Kokura Plants) from the second shift due to the approaching Typhoon No.10. The suspension period confirmed as of 13:00 on August 29 is from the second shift on August 28 to the second shift on August 30.</t>
    <phoneticPr fontId="1"/>
  </si>
  <si>
    <t>Due to the approaching Typhoon No. 10, Toyota Motor Corporation has decided to temporarily suspend 28 lines at 14 vehicle plants in Japan, with the suspension period confirmed as of August 29, from the second shift on August 28 to the second shift on August 30. However, only the fourth line at Hino Motors, Ltd.'s Hamura Plant, which produces high mobility vehicles, is in operation for the first shift on August 29. The 14 plants include Toyota Motor's four plants (Motomachi, Takaoka, Tsutsumi, and Tahara Plants), Toyota Motor Kyushu, Inc.'s Miyata Plant, Toyota Motor East Japan, Inc.'s two plants (Iwate and Miyagi Ohira Plants), Toyota Auto Body Co., Ltd.'s three plants (Fujimatsu, Inabe, and Yoshiwara Plants), Gifu Auto Body Co., Ltd.'s Honsha Plant, Toyota Industries Corporation's Nagakusa Plant, Hino Motors' Hamura Plant, and Daihatsu Motor Co., Ltd.'s Kyoto (Oyamazaki) Plant.</t>
    <phoneticPr fontId="1"/>
  </si>
  <si>
    <t>On August 29, several media outlets reported that Mitsubishi Motors Corporation decided to suspend operations for one day on August 30 at its Mizushima Plant due to approaching Typhoon No. 10.</t>
    <phoneticPr fontId="1"/>
  </si>
  <si>
    <t>Mazda Motor Corporation announced on August 28 that it would temporarily suspend operations at its Hiroshima Plant (Hiroshima Prefecture) and Hofu Plant (Yamaguchi Prefecture) due to the approaching Typhoon No. 10. Both plants will suspend operations for the night shift on August 29th and the day and night shifts on August 30th.</t>
    <phoneticPr fontId="1"/>
  </si>
  <si>
    <t>Due to the approaching Typhoon No. 10, Nissan Shatai Kyushu Co., Ltd. will suspend operations for the day and night shifts on August 29, and the day shift on August 30. According to multiple media reports dated August 28, Nissan Motor Kyushu Co., Ltd. will also suspend operations during the same period.</t>
    <phoneticPr fontId="1"/>
  </si>
  <si>
    <t>https://www.marklines.com/en/global/465</t>
    <phoneticPr fontId="1"/>
  </si>
  <si>
    <t>https://www.marklines.com/en/global/447</t>
    <phoneticPr fontId="1"/>
  </si>
  <si>
    <t>Kumamoto</t>
  </si>
  <si>
    <t>On August 28, Honda Motor Co., Ltd. decided to suspend operations at its Kumamoto Factory, which produces motorcycles, on August 29 and 30 due to the approaching Typhoon No. 10.</t>
    <phoneticPr fontId="1"/>
  </si>
  <si>
    <t>https://www.marklines.com/en/global/4145</t>
    <phoneticPr fontId="1"/>
  </si>
  <si>
    <t>On August 28, Dongfeng Forthing, a Dongfeng Motor Corporation (DFMC) sub-brand, started accepting global pre-orders for the new Xinghai S7 midsize battery electric coupe. The Xinghai S7 is based on the Quantum architecture. Equipped with a rear-motor RWD system, China’s first 8-layer hairpin motor (160kW/310Nm), and a 56.8kWh Armor 3.0 lithium-iron phosphate battery, the model delivers a CLTC electric-mode range of 555km, a power consumption of 11.9kWh/100km, and a drag coefficient as low as 0.191Cd. The Xinghai S7 is available with driver assistance features such as FCA (Forward Collision Assist), AEB (Autonomous Emergency Braking).</t>
    <phoneticPr fontId="1"/>
  </si>
  <si>
    <t>On August 28, Wuling Motors launched the Xingguang S large family SUV. The Xingguang S, the first dual-power SUV based on the D platform under the Tianyu architecture, has an FWD layout. The plug-in hybrid variants are powered by a 78kW/130Nm 1.5L Lingxi dedicated engine, a 150kW/310Nm high-efficiency electric drive system, an electronic continuously variable transmission, and a Shenlian battery, delivering a top speed of 170km/h and respective CLTC electric-mode ranges of 60km and 130km. 9.5kWh and 20.5kWh lithium-iron phosphate batteries complete the respective powertrains of the 60km- and 130km-range variants, with respective WLTC fuel consumption of 4.98L/100km and 5.09L/100km at the lowest state-of-charge and a combined range of 1,100km for the latter. The battery electric variants are equipped with a 150kW/310Nm drive motor, delivering a power consumption of 14kWh/100km and a top speed of 175km/h. A 60kWh Shenlian lithium-iron phosphate 2C battery completes the powertrain, with a CLTC range of 510km.</t>
    <phoneticPr fontId="1"/>
  </si>
  <si>
    <t>Mazda Motor Corporation (Mazda) plans to build ammonia-based thermal power generation facilities at its Hiroshima Plant in Hiroshima Prefecture as part of its efforts to go carbon neutral, and on August 1, public inspection of the “Environmental Impact Assessment Implementation Plan” submitted by Mazda to Hiroshima City began. Currently, most of the electricity used at the Hiroshima Plant comes from the coal-fired power generation facilities owned by MCM Energy Service Co., Ltd., a joint venture between Mazda and Mitsubishi Corporation, on the site. Since CO2 emissions from the operation of the facilities account for approximately 56% of the Hiroshima Plant's CO2 emissions, reducing these emissions to become carbon neutral has been a challenge. Ammonia has the property of “emitting no CO2 when burned”. Mazda is collaborating with Mitsubishi Corporation Clean Energy Ltd. to construct gas turbine thermal power generation facilities fueled by ammonia. The power generation output will be approximately 110,000kW and use blue ammonia and other materials. The project is planned to take four years from construction to completion.</t>
    <phoneticPr fontId="1"/>
  </si>
  <si>
    <t>https://www.marklines.com/en/global/9490</t>
    <phoneticPr fontId="1"/>
  </si>
  <si>
    <t>Announced on July 26, PT Sokonindo Automobile presented the SERES E1 electric car at the Gaikindo Indonesia International Auto Show (GIIAS) 2024. The model has been produced at Sokonindo's production facility in Cikande, Serang, Banten, since the end of 2023.</t>
    <phoneticPr fontId="1"/>
  </si>
  <si>
    <t>Tesla has reportedly approached the Canadian government to request for lower tariffs for its vehicles that are being imported from Gigafatory Shanghai to a rate similar to what it was able to secure from the European Union, which was lower than other Chinese companies based on the fact that Tesla received fewer subsidies from the Chinese government. Canada’s 100% tariffs are expected to be effective October 1, and are expected to apply to all EVs shipped from China, including Model 3s and Model Ys imported from Tesla’s plant in China.</t>
    <phoneticPr fontId="1"/>
  </si>
  <si>
    <t>Unionized workers at the GM CAMI Assembly plant in Canada have overwhelmingly approved a strike mandate as Unifor and General Motors prepare for contract negotiations beginning on September 9. The routine strike-authorization vote allows Unifor Local 88 to hold a strike once the current three-year contract expires on September 17, 2024. The CAMI facility, which builds the all-electric BrightDrop delivery vans, was originally a joint venture between GM and Suzuki, and has typically operated on a different cycle than other Unifor plants.</t>
    <phoneticPr fontId="1"/>
  </si>
  <si>
    <t>https://www.marklines.com/en/global/1156</t>
    <phoneticPr fontId="1"/>
  </si>
  <si>
    <t>On September 13, Ford India submitted a letter of intent (LOI) to the Government of Tamil Nadu, signaling its intention to repurpose its Chennai plant for export manufacturing. This follows a meeting between Ford's leadership and the Chief Minister of Tamil Nadu during his visit to the United States. Previously used for domestic production, the plant will now focus on manufacturing for global markets. Ford plans to leverage Tamil Nadu's manufacturing expertise to expand its reach into new global markets. Further details about the type of manufacturing and production plans will be announced later. Ford employs 12,000 individuals in global business operations in Tamil Nadu, with an expected increase of 2,500 to 3,000 jobs over the next three years. This initiative will complement Ford’s engine manufacturing operations in Sanand, India.</t>
    <phoneticPr fontId="1"/>
  </si>
  <si>
    <t>https://www.marklines.com/en/global/1155</t>
    <phoneticPr fontId="1"/>
  </si>
  <si>
    <t>On September 12, multiple sources reported that Stellantis has announced a four-week suspension of Fiat 500e production due to low demand. The decline in EV sales, influenced by varying green incentive policies, has prompted automakers to reassess their plans. Production at the Turin plant in Italy will pause starting from September 13, 2024, and will resume on October 11, 2024.</t>
    <phoneticPr fontId="1"/>
  </si>
  <si>
    <t>https://www.marklines.com/en/global/3473</t>
    <phoneticPr fontId="1"/>
  </si>
  <si>
    <t>On September 10, Dongfeng Honda announced that to ensure sustainable operations and speed up its transition to electric vehicles, the company has decided to implement further staff optimization in the production field. The staff optimization is part of the company’s strategic adjustment. Dongfeng Honda declined to disclose the size of the job cuts. According to multiple sources, Dongfeng Honda consulted workers who may be willing to apply for voluntary layoffs from late August to early September, targeting production employees at 3 plants producing gasoline-fueled vehicles. In addition, Dongfeng Honda announced it temporarily halted operations at all three of its plants in Wuhan, Hubei, China, until September 11. Explaining that inventory adjustment was necessary due to sluggish demand, the company plans to resume operations on September 12. The period of suspension was 17 days, from August 26 to September 11.</t>
    <phoneticPr fontId="1"/>
  </si>
  <si>
    <t>Jiyue</t>
    <phoneticPr fontId="1"/>
  </si>
  <si>
    <t>On September 10, Jiyue Auto, a Geely Holding Group sub-brand, launched the new Jiyue 07 midsize intelligent battery electric coupe. The 660km-range variant is equipped with a rear 200kW/343Nm permanent magnet synchronous motor (PMSM), a 71.4kWh lithium-iron phosphate battery, and an RWD system, delivering a CLTC power consumption of 12.5kWh/100km, a top speed of 200km/h. The 770km-range variant is equipped with a front 230kW/280Nm AC asynchronous motor, a rear 300kW/373Nm PMSM, a 93.4kWh ternary lithium battery, and a 4WD system, delivering a CLTC power consumption of 13.9kWh/100km, a top speed of 230km/h. The Jiyue 07 is powered by a Qualcomm Snapdragon 8295 chip and an Nvidia Orin X chip.</t>
    <phoneticPr fontId="1"/>
  </si>
  <si>
    <t>https://www.marklines.com/en/global/3973</t>
    <phoneticPr fontId="1"/>
  </si>
  <si>
    <t>On September 9, Dongfeng Motor announced that its subsidiary, Dongfeng Shares, signed a contract with Sudan’s G Group in Beijing to launch a new “Made in China and Sudan” automobile assembly model. Taking this signing as an opportunity, Dongfeng Motor will join hands with G Group to deepen cooperation in the Sudanese market. At present, the sales network in South Sudan has begun to take shape, and Dongfeng Motor’s products will be officially launched soon. In the future, the two parties also plan to expand cooperation to South Sudan, Mauritania and other regions. In addition, Dongfeng also plans to establish independent outlets in Zimbabwe, introduce new trucks. In North Africa, Dongfeng Motor is also continuing to promote market development and strategic presence. In the first half of this year, it conducted research in countries such as Egypt and Algeria, and had extensive discussion on plans for future cooperation and construction.</t>
    <phoneticPr fontId="1"/>
  </si>
  <si>
    <t>https://www.marklines.com/en/global/10203</t>
    <phoneticPr fontId="1"/>
  </si>
  <si>
    <t>On September 12, BMW Group’s Battery Cell Competence Center (BCCC) announced its partnership with the University of Zagreb’s Regional Center of Excellence for Robotic Technology (CRTA) in Croatia to improve battery cell production using artificial intelligence. Students at the University are analyzing production data to create AI models that optimize performance, quality, and costs. The Battery Cell Competence Center (BCCC) in Munich focuses on developing and producing next-generation high-voltage battery cells, supported by labs and research facilities. In Parsdorf, the Cell Manufacturing Competence Center (CMCC) scales the best BCCC-developed cells for mass production. The University of Zagreb brings expertise in engineering and computer science to the project, enhancing innovation for both partners.</t>
    <phoneticPr fontId="1"/>
  </si>
  <si>
    <t>https://www.marklines.com/en/global/2271</t>
    <phoneticPr fontId="1"/>
  </si>
  <si>
    <t>On September 11, multiple sources reported that Volkswagen would build only one of two planned battery production lines at its Salzgitter Gigafactory facility due to slowing electric vehicle demand. The works council confirmed a single line with a 20 GWh capacity. PowerCo completed the first production block in June 2024, with pre-series production of unified cells starting by year-end. Full production is set for 2025.</t>
    <phoneticPr fontId="1"/>
  </si>
  <si>
    <t>https://www.marklines.com/en/global/2637</t>
    <phoneticPr fontId="1"/>
  </si>
  <si>
    <t>On September 11, Stellantis announced it is investing more than USD 406 million in three Michigan facilities to support its multi-energy strategy. Stellantis announced it is investing USD 235.5 million in Sterling Heights Assembly Plant to produce the company’s first-ever battery electric 2025 Ram 1500 REV light-duty truck, which will launch in late 2024. The plant will also build the all-new range-extended 2025 Ram 1500 Ramcharger. SHAP will be able to produce ICE, BEV and range-extended models on the same assembly line. Warren Truck Assembly Plant (WTAP) is receiving USD 97.6 million production of a future electrified Jeep Wagoneer, one of four Jeep EVs that will be launched globally before the end of 2025. Electrified models will be built on the same line as ICE versions of the Jeep Wagoneer/ Wagoneer L/ Grand Wagoneer / Grand Wagoneer L. Dundee Engine Plant will receive USD 73 million to assemble, weld and test battery trays for the STLA Frame architecture and machine the front and rear beams for the STLA Large architecture, with production to begin in 2024 and 2026, respectively, alongside building the GME-T4 EVO, launching later in 2024, and new 1.6-liter, I-4 turbocharged engine with direct fuel injection and flexibility for hybrid-electric vehicle (HEV) applications that will launch in 2025.</t>
    <phoneticPr fontId="1"/>
  </si>
  <si>
    <t>https://www.marklines.com/en/global/1621</t>
    <phoneticPr fontId="1"/>
  </si>
  <si>
    <t>Announced on September 10, THACO AUTO has shipped a batch of painted bodies and components for the new Kia Carnival cars from Chu Lai port (Quang Nam), Vietnam to India, which is the first batch exported under a USD 50 million contract signed by the two parties. The samples were exported to India in June for testing. The company continued to expand to overseas market, exporting vehicles and spare parts to several countries such as the Philippines, Thailand, Myanmar, Kazakhstan, India. In its new development stage, THACO AUTO emphasizes R&amp;D activities, aiming to organize the production of trucks and buses under the THACO brand.</t>
    <phoneticPr fontId="1"/>
  </si>
  <si>
    <t>Truong Hai</t>
    <phoneticPr fontId="1"/>
  </si>
  <si>
    <t>Estado de México</t>
  </si>
  <si>
    <t>Though Jeep previously has said the all-electric Wagoneer S would debut in fall 2024, Jeep CEO Antonio Filosa recently said that the brand is more focused on ensuring quality rather than a specific launch date. Filosa said the Wagoneer is close to being ready and that he has information from the plant in Toluca, Mexico that is building it, that "quality is increasing." Jeep hopes to generate more volume in the near term with the Wagoneer S, the Wrangler-inspired Recon EV and a crossover coming in 2025 that could revive the Cherokee name.</t>
    <phoneticPr fontId="1"/>
  </si>
  <si>
    <t>On September 9, Rivian CFO Claire McDonough talked about the company’s upcoming developments at the recent Goldman Sachs' Communacopia + Technology conference. McDonough said the company is likely to launch its own "pay-to-play" Autonomy+ platform in 2025, with self-driving tech based on an AI-first approach, which will probably be made available to Gen 2 R1-series first because of its better hardware. Rivian plans to temporarily close its plant in Normal, Illinois again in the second half of 2025, as it works to integrate the new R2 on the production line and increase the plant's capacity to 215,000 units per year. Rivian plans to have only one shift for the EDV in 2025, though workers could be moved from one production line to another.</t>
    <phoneticPr fontId="1"/>
  </si>
  <si>
    <t>On September 9, General Motors and Canadian union Unifor kicked off negotiations for a new agreement for workers who produce Chevrolet BrightDrop electric vans at the CAMI Assembly facility in Ingersoll, Ontario, where 1,300 workers build electric delivery vans, as well as the battery modules for the BrightDrop vans and EVs built at other GM plants. After the plant shutting down for months for battery module supply issues, Unifor will also push for job-security assurances in the agreement which expires at 10:59 p.m. on September 17.</t>
    <phoneticPr fontId="1"/>
  </si>
  <si>
    <t>https://www.marklines.com/en/global/3687</t>
    <phoneticPr fontId="1"/>
  </si>
  <si>
    <t>On September 6, SAIC-GM-Wuling (SGMW) started accepting pre-orders for the battery electric version of the Wuling Hongguang MPV. The Wuling Hongguang battery electric version has been upgraded with an automatic transmission. The model is equipped with a 75kW electric drive system, which, mated to a rear-motor RWD system. A 32.6kWh Wuling Red 1 battery developed specifically for Chinese New Energy commercial vehicles completes the powertrain, offering a 300km range. The Wuling Hongguang battery electric version comes standard with active safety features such as ABS (Anti-lock Brake System), EBD (Electronic Brakeforce Distribution).</t>
    <phoneticPr fontId="1"/>
  </si>
  <si>
    <t>https://www.marklines.com/en/global/3909</t>
    <phoneticPr fontId="1"/>
  </si>
  <si>
    <t>On September 10, Comau announced that it has developed and implemented a flexible Body-In-White (BIW) manufacturing solution for JMC Ford at its Xiaolan plant in China’s Jiangxi province. The production line supports multiple vehicle models, including JMC Ford’s Da Dao (Avenue) and Ford’s Ranger, with a 100% automation rate and an annual capacity of 125,000 units.</t>
    <phoneticPr fontId="1"/>
  </si>
  <si>
    <t>On September 10, multiple sources reported that Ford Almussafes management has informed the workers' union that it will halt the engine assembly lines at the factory on September 13 and September 16, 2024, due to the Temporary Employment Regulation File (ERTE), which is in effect until December 31, 2024. The company will also create a surplus of 55 workers per shift by producing ATR engines for dealer service on September 17, 18, 23, and October 1, 2024.</t>
    <phoneticPr fontId="1"/>
  </si>
  <si>
    <t>On September 10, multiple sources reported that Ebro and Chery have decided to postpone the production of the Omoda 5 electric model at the Zona Franca plant in Barcelona, Spain, until 2025. The vehicle was originally scheduled to begin production by the end of 2024. According to the company the European tariffs on Chinese cars have delayed the production of the vehicle at the plant. Under the new plan, Ebro vehicles, S700 and S800, will be the first to occupy the production lines starting in November 2024, while Omoda vehicles will begin production, welding, and painting at the plant in 2025. The company will initially employ around 100 people with a single shift. This will expand to a second shift in the spring of 2025 and a third shift in the summer of 2025, creating a total of approximately 300 jobs. Additionally, the company plans to maintain the S700 and S800 models as top sellers in their segment, with plans to manufacture around 15,000 units starting in 2025.</t>
    <phoneticPr fontId="1"/>
  </si>
  <si>
    <t>On September 10, 2024, Honda provided another update to the progress in establishing the Honda EV Hub in Ohio, which is comprised of the Marysville Auto Plant, East Liberty Auto Plant, and Anna Engine Plant. Honda aims to begin production of an EV based on the Acura Performance EV Concept at the Marysville Auto Plant in late 2025. At the Anna Engine Plant, the first of six 6,000-ton high-pressure die cast machines for megacasting the cases for the Intelligent Power Unit (IPU) are being installed. The IPU houses the EV battery and is part of the vehicle platform. The Marysville Auto Plant has completed consolidation of two production lines into a single line that can build gasoline, hybrid, and electric vehicles. It is currently in the process of developing a line for the sub-assembly of the IPU, combining IPU cases from the Anna Engine Plant with battery modules produced at L-H Battery, Inc., Honda’s joint venture battery plant with LG Energy Solution.</t>
    <phoneticPr fontId="1"/>
  </si>
  <si>
    <t>On September 8, it was announced that VW's new pre-agreement on wages for workers at the Puebla, Mexico plant remained at 10.59%, with only changes to clauses. The new proposal offers 121 more permanent positions than the previous proposal and raises the ranks of workers in the K and M groups starting August 18, which will benefit their salary. The next vote is expected to take place on September 13 within the plant, temporarily interrupting production on each shift so that all technicians can participate. If the proposal is rejected, a strike is expected to begin on September 19, the day the last postponement ends.</t>
    <phoneticPr fontId="1"/>
  </si>
  <si>
    <t>https://www.marklines.com/en/global/10485</t>
    <phoneticPr fontId="1"/>
  </si>
  <si>
    <t>According to multiple media sources, Audi announced on September 5 that it will build the largest product lineup in the brand’s history specifically designed for the Chinese market and continue to practice its strategy towards China. Over the next two years, Audi will partner with two Chinese automakers to introduce new premium all-electric and conventional fuel-powered models. Starting in mid-2025, Audi will work with FAW Group to launch an all-electric model built on the PPE (Premium Platform Electric) platform, designed exclusively for the Chinese market, with the first model being the Audi Q6L e-tron. Additionally, new-generation local models based on the PPC (Premium Platform Combustion) luxury conventional fuel vehicle platform will also make their debut, including the new Audi A5 family. The A5 series will be jointly produced by FAW Group and SAIC Motor. Notably, Audi AG will revise its global vehicle naming convention starting in 2024. Numbers in the model names will serve to distinguish between electric and fuel-powered vehicles. Even numbers will represent electric models, such as the Audi Q6 e-tron, while odd numbers will represent fuel-powered models, such as the Audi A5.</t>
    <phoneticPr fontId="1"/>
  </si>
  <si>
    <t>On September 5, Evergrande Auto announced on the Hong Kong Exchanges and Clearing Limited (HKEX) that an individual creditor of Hengchi Auto, a subsidiary, filed with the relevant local people’s court for bankruptcy liquidation of the company. According to Evergrande Auto, as the production and operating activities of Hengchi Auto are at very low levels at the current stage, the creditor’s filing has no material impact on these activities. Evergrande Auto is now considering defending against the filing and has filed with The Stock Exchange of Hong Kong Limited for the resumption of trading in its shares with effect from 9 a.m. on September 6.</t>
    <phoneticPr fontId="1"/>
  </si>
  <si>
    <t>https://www.marklines.com/en/global/9973</t>
    <phoneticPr fontId="1"/>
  </si>
  <si>
    <t>https://www.marklines.com/en/global/9817</t>
    <phoneticPr fontId="1"/>
  </si>
  <si>
    <t>https://www.marklines.com/en/global/10914</t>
    <phoneticPr fontId="1"/>
  </si>
  <si>
    <t>On September 4, the Planning and Natural Resources Bureau of Shenzhen Municipality (PNRBSM) unveiled the planning permission and general site plan for the BYD Global R&amp;D Center (the Center) in Shenzhen. Located in Baolong Sub-district, Longgang District, the Center is owned by Shenzhen BYD Industrial Co., Ltd. With a total land area of around 650,000 square meters and an estimated total investment amount of CNY 20 billion, the Center will offer a floor area of over 3.3 million square meters and contain over 50 frontier technology labs and 11 research institutes, which cover areas such as automotive engineering, product planning, and new technology research. It is expected to absorb more than 60,000 global high-end R&amp;D personnel, where those with a master’s or doctoral degree will account for more than 50%. The total land areas of the first, second, and third phases of the Center are around 2.26 million square meters, 480,000 square meters, and 560,000 square meters, respectively. Already under construction are some dormitories and R&amp;D units.</t>
    <phoneticPr fontId="1"/>
  </si>
  <si>
    <t>https://www.marklines.com/en/global/2971</t>
    <phoneticPr fontId="1"/>
  </si>
  <si>
    <t>Colombia</t>
    <phoneticPr fontId="1"/>
  </si>
  <si>
    <t>On August 31, BYD and Hino Motors assembled the first electric bus chassis at Hino’s plant in Cota, Colombia. The vehicle is an 18-meter-long articulated bus that will be fitted with bodywork from Colombian companies. It is powered by BYD's Blade LFP batteries, which drive the electric motor, producing up to 530 hp.  The bus can transport up to 160 passengers over approximately 300 km on a single charge. The development project for this electric bus aims to participate in the upcoming Transmilenio tender for the acquisition of 296 buses.</t>
    <phoneticPr fontId="1"/>
  </si>
  <si>
    <t>https://www.marklines.com/en/global/2865</t>
    <phoneticPr fontId="1"/>
  </si>
  <si>
    <t>On August 26, Hyundai Motor Brazil was certified for the sixth consecutive year with the highest level of the Brazilian GHG Protocol Program, a tool used to quantify Greenhouse Gas (GHG) emissions. The "Gold Seal" was awarded to Hyundai for its transparency in publishing emission data corresponding to the 2023 base year. Hyundai stood out for its continuous emission reduction, achieving a 36% decrease over three years. Since 2021, Hyundai Motor Brazil has adopted the tCO2e (tons of CO2 equivalent) indicator per vehicle produced, registering 0.089 tCO2e/vehicle produced that year, while in 2022, it recorded 0.064 tCO2e/vehicle produced. In 2023, the automaker exceeded the reduction targets set for direct (Scope 1) and indirect (Scope 2) emissions, achieving better results than those stipulated. Additionally, the company was positively evaluated in Scope 3, which includes emissions from activities such as transportation and distribution.</t>
    <phoneticPr fontId="1"/>
  </si>
  <si>
    <t>On September 10, the Ministry of Industry and Tourism announced 7 new favorable provisional resolution proposals for line B of PERTE VEC II linked to the industrial value chain of the electric vehicle. A total of EUR 39.7 million have been approved. Renault Spain will receive EUR 31.48 million for its Valladolid plant to manufacture electric vehicles.</t>
    <phoneticPr fontId="1"/>
  </si>
  <si>
    <t>On September 9, the U.S. National Highway Traffic Safety Administration (NHTSA) posted documents on its website that it has begun an investigation into more than 781,000 Jeep Wrangler and Gladiator vehicles from the 2021-2023 model years, whose engines can catch fire even with the ignition turned off. The agency said it's opening the investigation to determine the cause and scope of the problem and how often it happens. No recall has been issued, though one may be possible. The Wrangler and Gladiator are both built in Toledo, Ohio.</t>
    <phoneticPr fontId="1"/>
  </si>
  <si>
    <t>On September 6, Tesla Semi program Senior Manager Dan Priestley shared a short update on the Class 8 all-electric truck’s production facility near Gigafactory Nevada on social media platform X after seeing some substantial progress during his trip to the factory’s buildout site. Tesla Semi watchers have reported that several panels have been installed on the far northwest corner of the facility, and more steel beams have been erected. Inside the facility’s covered area, some concrete has been poured to create a floor. Tesla is using the services of BZI, a steel fabrication company from Utah, for the Semi factory’s buildout. In the meantime, more than 50 completed Semis have been seen outside of Gigafactory Nevada itself.</t>
    <phoneticPr fontId="1"/>
  </si>
  <si>
    <t>On September 5, the SGMW (SAIC-GM-Wuling) Wuhan Research Institute was inaugurated at Wuhan University of Technology (WUT). Established on the same day was an intelligent chassis lab, one of the results of the strategic cooperation between the two parties.</t>
    <phoneticPr fontId="1"/>
  </si>
  <si>
    <t>On September 4, Mercedes-Benz announced that in line with its corporate business plan, it is slated to invest over CNY 14 billion in China with its Chinese partners to further expand the local passenger vehicle and light-duty commercial vehicle product portfolios. To be successively put into production from 2025 are the following new Mercedes-Benz models dedicated for the Chinese market. The new CLA Long-wheelbase battery electric sedan, which, based on the new MMA (Mercedes-Benz Modular Architecture) platform, will be manufactured at Beijing Benz Automotive Co., Ltd. A new Van. EA (Van Electric Architecture)-based luxury battery electric MPV, which will be manufactured at Fujian Benz Automotive Co., Ltd. (FBAC). In the future, all new Mercedes-Benz midsize and large light-duty commercial models will be based on the Van. EA, a modular and scalable electric platform. The June 2024 groundbreaking of the second phase of FBAC marks a prelude to the manufacturing of Van. EA-based models in Fuzhou. The new GLE Long-wheelbase SUV. Developed mainly by the Mercedes-Benz China team and put into production in China for the first time. Through this investment, Mercedes-Benz will be further involved in the development of high-end manufacturing, New Energy Vehicles, intelligent connected vehicles, and related industry chains in Beijing, Fuzhou, and neighboring regions.</t>
    <phoneticPr fontId="1"/>
  </si>
  <si>
    <t>https://www.marklines.com/en/global/3427</t>
    <phoneticPr fontId="1"/>
  </si>
  <si>
    <t>On September 3, Farizon announced the launch of the Xingxiang V6F, a new electric van. The Xingxiang V6F features battery, motor, and electronic controller technologies developed by Farizon’s software unit Zhixing, along with a high-speed flat wire motor. Zhixing’s electric drive system boasts an efficiency of up to 97.86%. Powered by Geely’s in-house developed Xuanwu Battery, the van has a range of up to 300km. It comes standard with an ADAS 2.0 intelligent driving package.</t>
    <phoneticPr fontId="1"/>
  </si>
  <si>
    <t>Kaiyi</t>
    <phoneticPr fontId="1"/>
  </si>
  <si>
    <t>https://www.marklines.com/en/global/9273</t>
    <phoneticPr fontId="1"/>
  </si>
  <si>
    <t>On September 2, Kaiyi Auto, a Chery sub-brand, announced that it unveiled the international versions of the Kaiyi X7 iHD, Kaiyi X3 Pro EV, and Kaiyi e-Qute 02 at the 3rd World Power Battery Conference (WPBC) in China. The Kaiyi X7 iHD, a plug-in hybrid mid-size SUV, integrates Chery Group’s flagship chassis, a 1.5T ultra hybrid powertrain, and CATL battery technology. The Chinese version of the X7 iHD, which goes by the name of Kunlun iHD, was launched on August 20. The Kaiyi X3 Pro EV and Kaiyi e-Qute 02 correspond to the Showjet Pro EV and Kaiyi Shiyue in China. The above two international models, together with the X7 iHD, form a product matrix covering multiple levels, multiple functions and multiple powertrains. As of now, Kaiyi Auto has exported vehicles to more than 30 countries and regions, with business covering Eastern Europe, Central Asia, the Middle East, Central and South America, Africa and more. The brand is expected to export more than 250,000 vehicles by 2030.</t>
    <phoneticPr fontId="1"/>
  </si>
  <si>
    <t>iCAR</t>
    <phoneticPr fontId="1"/>
  </si>
  <si>
    <t>On August 30, at the Chengdu Motor Show 2024 (CDMS 2024), iCAR, a Chery sub-brand, launched the new iCAR 03T wide-bodied hardcore electric SUV. The iCAR 03T 4WD variant is equipped with the iWD 2.0 intelligent electric 4WD system with front and rear motors, delivering a maximum power of 205kW and a peak torque of 385Nm. A CATL lithium-iron phosphate battery completes the powertrain. The iCAR 03T comes standard with a Qualcomm Snapdragon 8155 chip, and a Level 2++ intelligent driver assistance system.</t>
    <phoneticPr fontId="1"/>
  </si>
  <si>
    <t>Tank</t>
    <phoneticPr fontId="1"/>
  </si>
  <si>
    <t>On August 30, at the Chengdu Motor Show 2024 (CDMS 2024), Tank, a Great Wall Motor (GWM) sub-brand, unveiled the gasoline edition of the Tank 400 mid-to-large-size urban off-road SUV. The model will be launched in the Chinese, European, and Asian markets simultaneously. The Tank 400 gasoline edition, a global model after the Tank 400 Hi4-T. Equipped with a new 2.0T Miller-cycle engine and China’s first in-house developed longitudinal 9-speed automatic transmission, the model delivers a minimum speed of 2.7km/h, and a maximum torque output of 11,000Nm. Also on display at the event were the Tank 300, the Tank 500 Hi4-T Black Warrior, and the Tank 700 Hi4-T.</t>
    <phoneticPr fontId="1"/>
  </si>
  <si>
    <t>https://www.marklines.com/en/global/9570</t>
    <phoneticPr fontId="1"/>
  </si>
  <si>
    <t>On August 30, at the Chengdu Motor Show 2024 (CDMS 2024), BYD made the global debut of the new Xia flagship mid-to-large-size MPV. Based on a next-generation plug-in hybrid platform, the Xia is equipped with the 5th-generation DM (Dual Mode) technology, the DiSus-C intelligent damping body control system, the DiPilot intelligent driver assistance system, and more.</t>
    <phoneticPr fontId="1"/>
  </si>
  <si>
    <t>On September 6, multiple sources reported that Stellantis Mirafiori plant will face production stoppages expected to last from mid-September to mid-October 2024. While operations may resume on October 14, 2024, the plant is likely to see only sporadic production until the end of the year, with uncertainty extending into 2025. Demand for the Fiat 500e is very low, and the launch of the new Fiat 500 hybrid is highly anticipated next year. Production has dropped in 2024 to just 18,500 cars built so far, compared to 52,000 during the same period in 2023. Due to the reduced output, the plant is bracing for the possibility of a new redundancy fund. Stellantis projects total production for 2024 to reach only 20,000 units. Meanwhile, the Maserati line will operate at a minimal level, and production of the electric Fiat 500 will continue until September 12, 2024.</t>
    <phoneticPr fontId="1"/>
  </si>
  <si>
    <t>https://www.marklines.com/en/global/167</t>
    <phoneticPr fontId="1"/>
  </si>
  <si>
    <t>On September 6, Alpine announced that it will unveil the A390_β show car, a precursor to its future sport fastback on its media website. Production will begin in Alpine Dieppe Jean plant in 2025. Alpine A390_β will join the brand’s 100% electric Dream Garage, alongside the A290. The A390_β follows Alpine's naming system, where "3" represents the vehicle's size and "90" denotes its everyday versatility. It will debut at the Paris Motor Show from October 14 to 20, 2024.</t>
    <phoneticPr fontId="1"/>
  </si>
  <si>
    <t>Toyota Motor Corporation has resumed production of three models, the Yaris Cross, Corolla Fielder, and Corolla Axio, for the Japanese domestic market from the second shift on September 4. The resumption of production was later than the originally scheduled resumption date, September 2, due to Typhoon No. 10. Production of the three models for the domestic market had been suspended since June 6 after irregularities were found in their certification. Production resumes after a three-month hiatus. Production of the Yaris Cross is conducted at the Toyota Motor East Japan, Inc. Miyagi Ohira and Iwate Plants, while the Corolla Fielder and Corolla Axio are produced at the Miyagi Ohira Plant.</t>
    <phoneticPr fontId="1"/>
  </si>
  <si>
    <t>On September 4, Korean media reported that the GM Korea Company (GM Korea) labor union has reached an agreement on wage increase negotiations. The labor union had demanded “presentation of a production plan for 2027 and beyond” as the main issue in this year's wage and collective bargaining agreement negotiations. Since there were uncertainties about the production plans beyond 2027 and 2028 at the Incheon Bupyeong Plant, which produces the Trailblazer compact SUV, and the Changwon Plant, which produces the Trax Crossover, respectively, the union had demanded that GM Korea present a new production plan and the timing of that plan. In the 23rd round of negotiations held on August 30, GM Korea is reported to have indicated a plan to produce updated models of the vehicles currently in production by the first quarter of 2027. The specific timing of production and the allocation of production volumes are still unknown, but the labor union said that an agreement was reached due to the prolonged production disruptions caused by the partial strike that has been ongoing since July.</t>
    <phoneticPr fontId="1"/>
  </si>
  <si>
    <t>Nissan Motor Co., Ltd. unveiled the all-new Patrol, a large SUV, in Abu Dhabi, United Arab Emirates, on September 3. Production has already begun at Nissan Shatai Kyushu Co., Ltd. and sales are scheduled to start in November in the Middle East region. The powertrain includes a new 3.5L V6 turbo engine (maximum output 425hp / maximum torque 700Nm), combined with a 9-speed automatic transmission. Compared to the model’s previous V8 engine, the new engine delivers 7% more power and 25% more torque, as well as significantly improved fuel economy. In addition to the new turbo engine, a 3.8L V6 naturally-aspirated engine (maximum output 316hp/maximum torque 386Nm) is also available. Further, the “adaptive air suspension system” is standard equipment, enabling the driver to adjust the vehicle height appropriately according to the driving situation. The ProPILOT advanced driving assist technology is also available.</t>
    <phoneticPr fontId="1"/>
  </si>
  <si>
    <t>Toyota Motor Kyushu, Inc. announced on September 2 that all three of its plants (the Miyata, Kanda, and Kokura Plants) that had been shut down due to Typhoon No. 10 will resume normal operations on the second shift of September 2. The three plants had temporarily suspended operations from the second shift of August 28.</t>
    <phoneticPr fontId="1"/>
  </si>
  <si>
    <t>On September 2, Toyota Motor Corporation (Toyota) decided to resume normal operations from the second shift of the same day at 14 vehicle assembly plants in Japan, which had been shut down due to Typhoon No. 10. As of the first shift on September 2, only the Hino Motors, Ltd. (Hino) Hamura Plant Production Line #4, which produces high-mobility vehicles, was in operation. The 14 affected plants include four Toyota plants (the Motomachi, Takaoka, Tsutsumi, and Tahara Plants), the Toyota Motor Kyushu, Inc. Miyata Plant, two Toyota Motor East Japan, Inc. plants (the Iwate and Miyagi Ohira Plants), three plants of Toyota Auto Body Co., Ltd. (the Fujimatsu, Inabe, and Yoshiwara Plants), the Gifu Auto Body Co., Ltd. Honsha Plant, the Toyota Industries Corporation Nagakusa Plant, the Hino Hamura Plant, and the Daihatsu Motor Co., Ltd. Kyoto (Oyamazaki) Plant.</t>
    <phoneticPr fontId="1"/>
  </si>
  <si>
    <t>On September 2, Daihatsu Motor Co., Ltd. decided to resume normal operations at its three vehicle assembly plants in Japan, which had been temporarily suspended due to Typhoon No. 10. The Kyoto (Oyamazaki) and Shiga (Ryuo) Plants, which had been shut down since the night shift on August 28, will resume normal operations from the night shift on September 2. The Head (Ikeda) Plant (day shift only), which had been shut down since August 29, will resume normal operations on September 3. The Daihatsu Motor Kyushu Co., Ltd. Oita (Nakatsu) plant, which was also shut down from the day shift on August 29 to the day shift on August 30, resumed operations from the night shift on August 30. </t>
    <phoneticPr fontId="1"/>
  </si>
  <si>
    <t>According to an August 20 announcement on the Financial Supervisory Service's electronic public announcement system (DART), KG Steel Co., Ltd., a subsidiary of KGgroup, has decided to withdraw its investment in an electric vehicle (EV) battery pack plant that was planned as a new project, reportedly due to declining business profitability and changing market conditions. The original plan was for KGM Corporation (KG Mobility) to partner with China's BYD to build a new plant to produce 50,000 EV battery packs per year on an available lot at the KG Mobility Changwon Plant. </t>
    <phoneticPr fontId="1"/>
  </si>
  <si>
    <t>https://www.marklines.com/en/global/2431</t>
    <phoneticPr fontId="1"/>
  </si>
  <si>
    <t>Kia America has been assembling the EV9 at its West Point, Georgia, plant, but is slowly ramping up the speed until it can add U.S.-sourced batteries in spring 2025 to qualify for the full USD 7,500 federal EV tax credit. The company is rushing to finish construction of the USD 7.6 billion Metaplant in Bryan County, Georgia. The Hyundai Ioniq 5 will be the first vehicle to come from the plant when regular production begins in October. The joint venture with LG Energy Solution will begin battery production about a year later, making initial vehicles eligible to receive only a reduced USD 3,750 credit. Meanwhile, its joint venture with SK On in Bartow County, Georgia, expected to open in H2 2025, will supply batteries to Kia’s West Point plant and Hyundai's Montgomery, Alabama plant.</t>
    <phoneticPr fontId="1"/>
  </si>
  <si>
    <t>https://www.marklines.com/en/global/2987</t>
    <phoneticPr fontId="1"/>
  </si>
  <si>
    <t>Ecuador</t>
    <phoneticPr fontId="1"/>
  </si>
  <si>
    <t>On September 5, the definitive closure of the GM plant in Ecuador was announced. The 320 employees of the OBB facility manufactured the last Chevrolet D-Max on September 6, 2024, 48 years after the plant began operations in the country in 1975. The cessation of activities, which had already been reported by GM in April 2024, is due to several factors, the main one being the underutilization of the plant, which was operating at 13% of its capacity. In total, the plant produced 887,297 vehicles of different models and it is expected that from 2025, the entire brand portfolio will be imported.</t>
    <phoneticPr fontId="1"/>
  </si>
  <si>
    <t>On September 5, the Lion Electric Company announced that its all-electric school buses are now eligible for Dominion Energy's Electric School Bus Infrastructure program in Virginia. With vehicle-to-grid (V2G) technology, the electric school buses can be utilized to store and discharge energy on to the grid during periods of high demand when the buses are not needed for transport. Lion builds its all-electric school buses in Joliet, Illinois and Saint-Jérôme, Quebec.</t>
    <phoneticPr fontId="1"/>
  </si>
  <si>
    <t>https://www.marklines.com/en/global/10597</t>
    <phoneticPr fontId="1"/>
  </si>
  <si>
    <t>Coahuila de Zaragoza</t>
  </si>
  <si>
    <t>On September 4, American Honda announced that its new Prologue EV had its best sales month ever in August, setting a new U.S. sales record with 5,401 models sold, bringing totals since its March launch to 10,394 units. Honda’s luxury brand, Acura, sold 1,003 ZDX EVs in August, bringing its total sales in the U.S. to 2,035 units. The Honda Prologue EV is built alongside the Chevrolet Blazer EV in Ramos Arizpe, while the Acura ZDX is built alongside the Cadillac Lyriq in Spring Hill, Tennessee.</t>
    <phoneticPr fontId="1"/>
  </si>
  <si>
    <t>https://www.marklines.com/en/global/157</t>
    <phoneticPr fontId="1"/>
  </si>
  <si>
    <t>On September 19, Comau announced that it has collaborated with Prima Additive to develop a high-speed, fully automated brake disc coating system for Stellantis which was showcased at the Stellantis Factory Booster Day in Turin on September 18, 2024. The system uses dual-layer laser cladding by hard coating the raw brake discs with resilient steel and composite materials, increasing disc durability and reducing emissions by up to 80%. It helps Stellantis meet the Euro 7 standard for a 27% reduction in brake disc emissions by 2026. The jointly developed Rapid Coating system is set to be installed at the Septfonds plant in France by the end of 2024.</t>
    <phoneticPr fontId="1"/>
  </si>
  <si>
    <t>https://www.marklines.com/en/global/10788</t>
    <phoneticPr fontId="1"/>
  </si>
  <si>
    <t>On September 19, Farizon Auto confirmed key markets for global expansion. Farizon will launch the Farizon SuperVAN in selected European markets, including Türkiye, Serbia, Spain, Portugal, the United Kingdom, and CEE (Central and Eastern European) countries. It is the world’s first commercial vehicle to adopt the Drive-by-Wire intelligent architecture. The Farizon SuperVan is already available in the Chinese market in multiple body forms. Farizon also plans to expand its present business in the MENA region, primarily in Gulf states such as Saudi Arabia and the United Arab Emirates in the first phase, followed by APAC (Asia-Pacific). </t>
    <phoneticPr fontId="1"/>
  </si>
  <si>
    <t>On September 19, multiple sources revealed that CEO of Ebro, a Spain-based automobile manufacturer announced that it will produce up to four different models assembled at the plant in the Zona Franca in Barcelona by the end of 2025, at a “Hispanic Chinese Automotive Summit” held in Madrid, Spain. The company plans to start manufacturing the S700 and S800 models, available in petrol and plug-in hybrid versions, in November 2024. It will also begin production of the S400 model in the H1 2025, with a "smaller size" version expected by the end of 2025. The company plans to have a direct assembly line at the Barcelona plant to complete the assembly of pre-assembled vehicles imported from China. The company will also work on establishing a full vehicle production line.</t>
    <phoneticPr fontId="1"/>
  </si>
  <si>
    <t>On September 19, BMW and Redwood Materials announced a partnership to recycle lithium-ion batteries from all electric, plug-in hybrid-electric, and mild hybrid BMW, MINI, Rolls-Royce, and BMW Motorrad vehicles in the U.S. Redwood Materials currently operates a campus in Reno, Nevada where battery components are recycled, refined, and manufactured. A second Redwood Materials campus is under construction in Charleston, South Carolina, not far from BMW Group Plant Spartanburg and Plant Woodruff. The company’s battery cell manufacturing partner, AESC is also nearby in Florence, South Carolina.</t>
    <phoneticPr fontId="1"/>
  </si>
  <si>
    <t>Faraday Future</t>
    <phoneticPr fontId="1"/>
  </si>
  <si>
    <t>https://www.marklines.com/en/global/9603</t>
    <phoneticPr fontId="1"/>
  </si>
  <si>
    <t>On September 19, Faraday Future Intelligent Electric Inc. announced the planned delivery of an FF 91 2.0 Futurist Alliance on September 20 to Born Leaders Entertainment, who will also become a user and Developer Co-Creation Officer for FF, marking another forward step in FF’s B2B business. The FF 91 2.0 Futurist Alliance is built in Hanford, California.</t>
    <phoneticPr fontId="1"/>
  </si>
  <si>
    <t>On September 18, Jeep announced a new lower price for 2025 Gladiator, now starting at USD 39,995, effectively repositioning the industry’s only open-air pickup in the U.S. market. All Jeep Gladiator models, built in Toledo, Ohio, will see MSRP revisions for 2025, alongside new standard equipment, including eight-speed automatic transmission, standard power lock and power windows, and segment-exclusive standard front and rear Dana solid axles.</t>
    <phoneticPr fontId="1"/>
  </si>
  <si>
    <t>https://www.marklines.com/en/global/10751</t>
    <phoneticPr fontId="1"/>
  </si>
  <si>
    <t>On September 17, Wisdom Motor presented four fuel-cell electric vehicles (FCEV) of coach, bus, truck, and specialty vehicle IAA Transportation 2024. Launched FCEVs are equipped with advanced 110-200kw fuel-cell batteries. It boasts an impressive maximum operational range of 1,000 kilometers. It presented T19.5FC110 and T25FC110 trucks. Thanks to their highly efficient fuel-cell powertrain, these trucks can travel from 300 to 400 km on a single filling. With the new T19.5FC110 model variant as a rigid truck, Wisdom systematically expands the range of heavy-duty distribution transport applications. One fuel-cell battery stack, with 110 kW installed capacity, and two tanks with up to 770L hydrogen gas, enable a range of up to 370 km, top speed at full load up to 105 km/h. </t>
    <phoneticPr fontId="1"/>
  </si>
  <si>
    <t>On September 19, the Minister of Industry and Tourism announced the first three provisional grants from the third call of PERTE VEC's battery section, totaling EUR 53 million. Renault Spain in Valladolid received EUR 27.7 million to build a new battery manufacturing center for “cell to chassis” batteries, with a production capacity of 300,000 batteries per year.</t>
    <phoneticPr fontId="1"/>
  </si>
  <si>
    <t>https://www.marklines.com/en/global/10884</t>
    <phoneticPr fontId="1"/>
  </si>
  <si>
    <t>On September 19, Horse Powertrain Solutions, a division of HORSE Powertrain Limited, started a production of 1.2-litre, 3-cylinder turbocharged gasoline engines for plug-in hybrid-electric vehicles (PHEVs) at its Valladolid plant, in Spain. The company targets initial production of 1,200 units per month, with a maximum possible production capacity of 6,875 engines per month. The HR12 will be the first plug-in hybrid engine manufactured at the Valladolid facility. The engine delivers peak power of 110kW and maximum torque of 230Nm. The HR12 PHEV variant will be first used in the upcoming Renault Rafale E-Tech 4×4 Hybrid. The Horse PHEV complete powertrain unit, alongside the HR12 engine, will include three electric motors, which together will generate a maximum power output of over 220 kW. The PHEV’s energy will be stored in a 400-volt, 22 kWh lithium-ion battery, allowing the Rafale E-Tech 4×4 Hybrid to achieve a pure-electric range of over 100 km. Additionally, the company has invested EUR 4 million in its Valladolid plant to modify and scale its assembly line. The investment includes a EUR 260,000 investment in staff, creating 345 jobs.</t>
    <phoneticPr fontId="1"/>
  </si>
  <si>
    <t>On September 18, multiple sources reported that Stellantis is implementing redundancy measures at its Atessa and Termoli plants in Italy due to insufficient orders. The Atessa plant will undergo ordinary redundancy from October 14 to 27, 2024, while the Termoli plant will also be affected from October 14 to 20, 2024. Stellantis cites repeated factors as the reason for redundancy measures at Atessa, linked to a slowdown in the European light commercial vehicle market due to lack of orders in the first half of the year, which has yet to recover fully despite some summer improvements. Similarly, Termoli is facing reduced orders, limiting the need for additional engine production for cars.</t>
    <phoneticPr fontId="1"/>
  </si>
  <si>
    <t>On September 18, multiple sources reported that the Ford engine plant in Almussafes (Valencia) is expected to have a surplus of about 50% of its production staff starting in January 2025. The company will seek alternatives to address the situation effectively in the last quarter of 2024. The current situation and engine production forecasts require a reorganization of the engine assembly area to a single fixed morning shift, while the machining area will transition from the current shift system to two rotating shifts starting on October 14. A voluntary reduced night shift will also be offered. Additionally, the engine assembly area will operate with individual breaks during the single shift, ensuring daily production and prevents from excess staffing of over 30 people. This arrangement will remain in effect until December 31, 2024, so mobility measures will not be implemented until then.</t>
    <phoneticPr fontId="1"/>
  </si>
  <si>
    <t>On September 18, Stellantis announced the beginning of production of the SUV Coupé Citröen Basalt in Brazil. This vehicle is completing the C-Cubed family, along with the C3 and New Aircross models. It is the last action of the current investment cycle and allows the next BRL 3 billion of investment cycle planned from 2025 to 2030 to start, that will be used for the development of new products, and the modernization of the facility. “In addition to inaugurating the production of the New Basalt, we celebrate a promising future for our Rio de Janeiro factory, which will receive a new virtuous circle of investments. We also plan to expand production, generate new jobs, and strengthen the entire automotive chain in the development and localization of new technologies that accelerate the decarbonization of mobility,” commented Emanuele Cappellano, President of Stellantis for South America. The new BRL 3 billion investment cycle is part of the BRL 32 billion announced by Stellantis for South America.</t>
    <phoneticPr fontId="1"/>
  </si>
  <si>
    <t>On September 18, BMW Group announced that its Steyr Plant in Austria has successfully transitioned to using only district heating for its energy needs, eliminating the use of natural gas in regular operations. The facility now relies entirely on heat sourced from Bioenergie Steyr GmbH’s biomass power plant, which uses wood chips from nearby forests as fuel, marking a significant milestone in BMW’s efforts to reduce its carbon footprint. The Steyr plant consumes approximately 250 gigawatt hours of energy annually. The connection to the district heating network began in 2012 with full transition expected by early 2025, but it has been completed ahead of schedule. An additional 10-megawatt biomass boiler is being installed to further support the plant’s renewable energy needs.</t>
    <phoneticPr fontId="1"/>
  </si>
  <si>
    <t>https://www.marklines.com/en/global/3309</t>
    <phoneticPr fontId="1"/>
  </si>
  <si>
    <t>On September 18, Volkswagen announced it is issuing a stop-sale on its electric ID4 and will halt production in Chattanooga, Tennessee as it searches for a remedy to fix faulty door handles, furloughing 200 employees starting September 23. VW is recalling 2021-24 99,064 ID.4s because of defective door handles that offer insufficient water protection, which can lead to printed circuit board malfunctions that cause an "open command" to the door lock while the vehicle is moving. The manufacturer of the defective door handles is U-Shin in Irapuato, Mexico. VW is aiming to have a remedy in place by the start of 2025.</t>
    <phoneticPr fontId="1"/>
  </si>
  <si>
    <t>On September 18, General Motors and Unifor reached a deal on a new agreement for the CAMI Assembly and battery assembly facilities, which is subject to member ratification. Details of the agreement will first be released to union members of Local 88 at a September 22 ratification meeting.  More than 1,100 union members work at CAMI Assembly building the newly rebranded Chevrolet BrightDrop EV 600 and EV 400, with about 200 members working in battery assembly at the plant.</t>
    <phoneticPr fontId="1"/>
  </si>
  <si>
    <t>On September 17, Renault Argentina announced a USD 350 million investment to produce a new half-ton pickup truck at its Santa Isabel plant in Córdoba, Argentina. The pickup will be the first model in Argentina built on the Renault Group Modular Platform (RGMP), the same platform used for the Kardian model. This flexible platform supports varying vehicle lengths, rear modules, and the use of different energy sources and powertrains. The New pickup is expected to have a design based on the Niagara Concept. Pablo Sibilla, President, and General Director of Renault Argentina, stated, "With an export profile that will account for 65% to 70% of production, we reaffirm the capability and talent of the Argentine automotive industry, solidifying it as a strategic pillar in our global operations." This investment is part of Renault's "International Game Plan," which aims to manufacture eight new models in international markets outside of Europe, with a global investment of EUR 3 billion.</t>
    <phoneticPr fontId="1"/>
  </si>
  <si>
    <t>https://www.marklines.com/en/global/1201</t>
    <phoneticPr fontId="1"/>
  </si>
  <si>
    <t>On September 16, Mahindra &amp; Mahindra Ltd. launched the Veero light commercial vehicle (LCV) in the sub-3.5 tonne segment, priced between INR 799,000 (for the 2,765 mm cargo variant) and INR 956,000 (for the 3,035 mm cargo variant). It is built on the all-new Urban Prosper Platform (UPP), India’s first ground-up multi-energy modular CV platform, the Veero supports payloads from 1 tonne to over 2 tonnes across multiple deck lengths. It also accommodates various powertrains, including diesel, CNG, and electric options. The 1.5-litre mDI diesel engine delivers 59.7 kW of power and 210 Nm of torque, while the turbo mCNG engine provides 67.2 kW of power and 210 Nm of torque.</t>
    <phoneticPr fontId="1"/>
  </si>
  <si>
    <t>On September 14, Seres Group Co., Ltd. (Seres Group) announced on the Shanghai Stock Exchange (SSE) that it plans to invest an additional CNY 5 billion in Seres Automobile Co., Ltd. (Seres Auto) with self-owned funds. After the capital increase, Seres Auto will have a registered capital of CNY 9.96 billion and remain a Seres Group wholly owned subsidiary.</t>
    <phoneticPr fontId="1"/>
  </si>
  <si>
    <t>https://www.marklines.com/en/global/3637</t>
    <phoneticPr fontId="1"/>
  </si>
  <si>
    <t>On September 13, GAC Group approved of the legal dissolution and liquidation of Shanghai Hino Engine Co., Ltd., in accordance with its commercial vehicle development plan for the strategic New Energy transformation of such vehicles. Shanghai Hino decided to halt production on September 30, 2024.</t>
    <phoneticPr fontId="1"/>
  </si>
  <si>
    <t>On September 17, multiple sources reported that Stellantis' Vigo plant would halt several shifts this week due to supply shortages. System 1 which is responsible for assembling Peugeot 2008s will stop operations on the afternoon and evening shifts of September 17, 2024, as well as the morning shift on September 18, 2024. The suspension is due to unavoidable supply issues, coming shortly after the plant resumed work following the summer holiday break.</t>
    <phoneticPr fontId="1"/>
  </si>
  <si>
    <t>On September 16, it was announced that GM workers in São José dos Campos, Brazil, rejected the OEM's wage proposals, demanding a new proposal and threatening a strike that will begin on September 17 if a new proposal is not received. GM presented two proposals, both rejected by workers who demanded a real salary increase and the renewal of the collective contract without threats. The union's interim president, Valmir Mariano, said the 3,250 employees at the plant that produces the S10, and Trailblazer models are willing to stop production indefinitely if their demands are not met.</t>
    <phoneticPr fontId="1"/>
  </si>
  <si>
    <t>https://www.marklines.com/en/global/2627</t>
    <phoneticPr fontId="1"/>
  </si>
  <si>
    <t>On September 16, the United Auto Workers (UAW) announced that it had filed federal unfair labor practice charges with the National Labor Relations Board (NLRB) against Stellantis for its refusal to provide information about its plans regarding product commitments made in the 2023 UAW collective bargaining agreement. Local unions representing thousands of UAW members have also filed contract grievances against Stellantis for its attempt to move Dodge Durango production outside of the U.S., violating UAW’s national agreement.</t>
    <phoneticPr fontId="1"/>
  </si>
  <si>
    <t>https://www.marklines.com/en/global/4105</t>
    <phoneticPr fontId="1"/>
  </si>
  <si>
    <t>On September 12, GAC Hino announced that it signed a cooperation agreement with Zhiyuweike (Chongqing) Technology Co., Ltd. (AI DRIVE) in Guangzhou. The two companies will carry out business cooperation in New Energy Vehicles (NEVs), electric drive and control systems, intelligent connectivity, and manufacturing to promote leapfrog development in technological innovation, product upgrades, and supply chain integration. The signing of the above strategic cooperation agreement marks a new step for GAC Hino and AI DRIVE to jointly explore and innovate in the field of New Energy commercial vehicles, which will enable GAC Hino to achieve a qualitative leap in New Energy commercial vehicle products and intelligent connectivity.</t>
    <phoneticPr fontId="1"/>
  </si>
  <si>
    <t>On September 17, the Ministry of Business and Made in Italy (MIMIT) announced that it plans to reallocate funds for Termoli gigafactory to other investments aligned with energy transition projects but remains open to providing further support once ACC presents a revised industrial plan. The announcement was made during the meeting which was held at MIMIT, to discuss the construction of the Termoli Gigafactory by ACC. The union expressed concern over the lack of new products to offset the decline in production volumes and the phase-out of the Fire engine, leading to heavy reliance on social safety nets. The meeting will reconvene by the end of October 2024 to review ACC's proposed technological, industrial, and employment strategies for the plant. FIOM-CGIL union rejects the ongoing uncertainty surrounding the Termoli plant and plans to mobilize for ACC to proceed with the gigafactory, for Stellantis to strengthen engine production, and for the government to retain essential funds for the project.</t>
    <phoneticPr fontId="1"/>
  </si>
  <si>
    <t>https://www.marklines.com/en/global/9858</t>
    <phoneticPr fontId="1"/>
  </si>
  <si>
    <t>On September 17, Audi unveiled its first fully electric RS performance model, the RS e-tron GT Performance which is a high-performance sporty four-door coupé. The new RS e-tron GT performance is also being built at the Audi Sport GmbH production facility at Audi’s Neckarsulm site. At Böllinger Höfe, specially tailored new technologies are used, but the final pass is left to experienced employees with sharp eyes and steady hands. The approximately 500 employees at the Böllinger Höfe production facility received comprehensive, advanced training for the new e-tron GT model family. Before the start of production, some processes and systems were adapted to enable the installation of the new product highlights. For example, mounting the innovative active suspension was integrated as a new step of installation preparation.</t>
    <phoneticPr fontId="1"/>
  </si>
  <si>
    <t>On September 16, Bentley Motors announced that it has started production of the first fourth-generation Continental GT, finished in Tourmaline Green at Bentley’s Dream Factory in Crewe. The vehicle is powered by a new ultra performance hybrid powertrain which generates output of 782 PS and 1,000 Nm of torque. It achieves 0-60 mph in 3.1 seconds, with 81 km of electric range and 859 km of total range. The model will be followed by customer vehicles, each configurable from 46 billion options. The car passed through 92 assembly stations.</t>
    <phoneticPr fontId="1"/>
  </si>
  <si>
    <t>https://www.marklines.com/en/global/1815</t>
    <phoneticPr fontId="1"/>
  </si>
  <si>
    <t>On September 16, Steyr Automotive announced a strategic partnership with SuperPanther for the development of competitive electric trucks at the IAA TRANSPORTATION 2024 in Hanover, Germany. The companies unveiled the first outcome of their partnership, the electric truck eTopas 600, at IAA 2024. The vehicle, equipped with high-efficiency LFP batteries with a 500 km range, is scheduled to enter mass production at Steyr Automotive by the end of 2025. Additionally, the companies also announced the launch of the eEmerald series, featuring three models with different powertrains, ranges, and cabin configurations. The eEmerald series will be equipped with SuperPanther’s advanced self-developed systems and is expected to enter mass production by the end of 2025.</t>
    <phoneticPr fontId="1"/>
  </si>
  <si>
    <t>https://www.marklines.com/en/global/1129</t>
    <phoneticPr fontId="1"/>
  </si>
  <si>
    <t>On September 16, Mercedes-Benz launched the EQS SUV 580 4MATIC BEV at an introductory price of INR 14.1 million and announced the start of local production from its Chakan, Pune plant. The vehicle is powered by a permanently excited synchronous motor (PSM) with a battery capacity of 122 kWh, delivering a peak output of 400 kW and 858 Nm of torque. The EQS SUV has a top speed of 210 km/h and an ARAI-certified range of 809 km.</t>
    <phoneticPr fontId="1"/>
  </si>
  <si>
    <t>On September 16, the Dodge brand is officially opening orders for the all-new electric 2024 Dodge Charger Daytona. Two-door coupe versions of the Charger Daytona Scat Pack and Charger Daytona R/T, which qualify for full USD 7,500 federal EV tax credit when leased, will begin arriving in U.S. dealerships in Q4. The all-new Dodge Charger will eventually offer performance choices via multi-energy powertrain options including the 550-hp Dodge Charger SIXPACK H.O., powered by the 3.0-liter Twin Turbo Hurricane High Output engine. The 2024 Dodge Charger is built at the Windsor Assembly Plant in Canada.</t>
    <phoneticPr fontId="1"/>
  </si>
  <si>
    <t>On September 14, Tesla announced on X that it has produced its 100 millionth 4680 battery cell across all its factories. Tesla had announced just announced just three months ago that it had produced its 50 millionth 4680 cell at Gigafactory Texas. Each Cybertruck is equipped with 1,344 4680 cells, so such an average output would translate to a production capacity of about 368 Cybertrucks a day, or 2,578 per week.</t>
    <phoneticPr fontId="1"/>
  </si>
  <si>
    <t>On September 12, the U.S. National Transportation Safety Board (NTSB) reported that firefighters had to use 50,000 gallons of water to extinguish flames after the crash of a Tesla Semi on August 19 on Interstate 80 in California. The crash happened as the tractor-trailer was being driven by a Tesla employee from Livermore, California, to Gigafactory Nevada. The Semi left the road while going around a curve to the right, hit a tree, went down a slope, and came to rest against several trees, where the Semi's lithium-ion battery ignited.</t>
    <phoneticPr fontId="1"/>
  </si>
  <si>
    <t>https://www.marklines.com/en/global/10887</t>
    <phoneticPr fontId="1"/>
  </si>
  <si>
    <t>On September 10, Dewan Farooque Motors Limited announced that it had started the production of electric vehicles at its assembly plant under the toll manufacturing agreement with EGML (Eco-Green Motors Limited). The update came following the earlier update of physical verification and approval of the assembly plant by the Engineering Development Board (EDB) in July 2024.</t>
    <phoneticPr fontId="1"/>
  </si>
  <si>
    <t>On September 16, Renault introduced the All-new Master H2-Tech Prototype at IAA Transportation. Set to launch in 2025, the hydrogen-powered H2-Tech version of the Renault Master was showcased in its world premiere. This zero-emission model highlights the features of the upcoming Master H2-Tech, which is being developed by HYVIA, a collaboration between Renault Group and Plug. The new-generation Dual Power: battery and fuel cell energy architecture is energy-efficient, offering a range of up to 700 km WLTP. It has a new-generation fuel cell, produced at the HYVIA plant in Flins. It comes with a choice of two H2 fuel tanks: 7.5 or 9 kg, to meet different range requirements. The production vehicle will be manufactured entirely at the Renault Group plant in Batilly, France. </t>
    <phoneticPr fontId="1"/>
  </si>
  <si>
    <t>https://www.marklines.com/en/global/171</t>
    <phoneticPr fontId="1"/>
  </si>
  <si>
    <t>DFSK</t>
    <phoneticPr fontId="1"/>
  </si>
  <si>
    <t>On September 13, multiple sources reported that the Motorinvest plant in the Lipetsk region had started assembly of DFSK 500 and DFSK ix5 crossovers. At present, a limited batch is assembled. However, these ICE vehicles are not included in the current special investment contract SPIC 2.0.</t>
    <phoneticPr fontId="1"/>
  </si>
  <si>
    <t>On September 13, multiple sources reported that BMW had halted production in its Dingolfing plant from September 12 (afternoon shift) till September 16, 2024 (Evening shift). The reason is weak demand in China and delivery bans due to problems with braking systems. </t>
    <phoneticPr fontId="1"/>
  </si>
  <si>
    <t>On September 13, GM announced that its Fort Wayne Assembly light-duty truck plant in Indiana will be down the week of September 23 due to a temporary supply-chain issue. The statement from GM spokesperson Tara Kuhnen said also that "Supporting plants (Marion Metal, Grand Rapids and Lansing Grand River Stamping) are taking down weeks due to Fort Wayne Assembly." The Fort Wayne plant builds the Chevrolet Silverado and GMC Sierra.</t>
    <phoneticPr fontId="1"/>
  </si>
  <si>
    <t>Toyota has a plan to fix its Grand Highlander and Lexus TX three-row SUVs, for which production had to be stopped at the TMMI plant in Princeton, Indiana. Toyota issued an initial recall notice and stop-sale order on June 20 after failing a random NHTSA audit in May. Toyota redesigned the curtain shield airbags with the addition of a tether, and will be sending out notifications to consumers in October, fixing first those consumer-owned vehicles and ones in dealer stock. With production stopped, there are about 158,000 of the three-row Toyota and Lexus vehicles that will need to be repaired, including about 4,000 in dealer inventories, Toyota said.</t>
    <phoneticPr fontId="1"/>
  </si>
  <si>
    <t>Aguascalientes</t>
  </si>
  <si>
    <t>On September 12, Nissan announced the start of manufacturing of the 2025 Nissan Kicks at the Aguascalientes A1 plant in Mexico. The vehicle is produced for both the domestic market and for export to more than 70 countries and reinforces the importance of Mexican manufacturing for Nissan. At the start of production of the 2025 Kicks, Nissan also announced that it had reached 16 million units assembled in Mexico at all its complexes and is consolidating its position as a market leader with 16 consecutive years of sales.</t>
    <phoneticPr fontId="1"/>
  </si>
  <si>
    <t>On September 11, CCAG announced the September 10 establishment of Chenzhi Anqi (Chongqing) Recycling Technology Co., Ltd. (Chenzhi Anqi) with Changan Auto and Miracle Automation Engineering Co., Ltd. (Miracle Automation) in Tongnan District, Chongqing. Chenzhi Anqi will be engaged in areas such as crushing and pulverization of batteries, cascade utilization of batteries, and wet reclamation of ternary lithium and lithium-iron phosphate batteries. Its establishment signifies that CCAG has officially entered the battery industry.</t>
    <phoneticPr fontId="1"/>
  </si>
  <si>
    <t>https://www.marklines.com/en/global/3731</t>
    <phoneticPr fontId="1"/>
  </si>
  <si>
    <t>On September 10, SAIC-VW launched the Passat Pro mid-to-high-end sedan. Powered by a 162kW/350Nm 2.0T turbocharged engine and a 7-speed wet DSG (Direct Shift Gearbox), the Passat Pro delivers a combined fuel consumption of 6.87L/100km. The Passat Pro comes standard with a Qualcomm Snapdragon 8155 automotive-grade chip.</t>
    <phoneticPr fontId="1"/>
  </si>
  <si>
    <t>https://www.marklines.com/en/global/4011</t>
    <phoneticPr fontId="1"/>
  </si>
  <si>
    <t>On September 9, Dongfeng Motor Corporation (DFMC) announced the recent establishment and inauguration of a joint research center for commercial vehicle intelligent driving technology between Dongfeng Commercial Vehicle Co., Ltd. (DFCV), a subsidiary, and Tsinghua University (THU). The establishment of the center will further strengthen the two parties’ IUR (Industry-University-Research) cooperation. Previously, the DFCV Technology Center developed China’s first automotive heavy-duty ammonia-diesel engine with THU. The engine boasts the advantages of stable and high fuel combustion efficiency and low emissions.</t>
    <phoneticPr fontId="1"/>
  </si>
  <si>
    <t>On September 6 was the publication date for an international patent application describing Tesla’s modular ‘unboxed’ EV manufacturing process that will be used in its upcoming Robotaxi. Tesla is currently building the first ‘unboxed’ assembly line at Gigafactory Texas, which it is likely to talk about at the October 10 unveiling of the Robotaxi.</t>
    <phoneticPr fontId="1"/>
  </si>
  <si>
    <t>https://www.marklines.com/en/global/2453</t>
    <phoneticPr fontId="1"/>
  </si>
  <si>
    <t>General Motors and Piston Automotive are reported to be in the early planning stages to construct a new hydrogen fuel cell manufacturing plant in Detroit. While production is not expected to begin for several years, the project is expected to create approximately 50 assembly jobs at launch and up to 300 jobs as production ramps. While GM has been collaborating with Honda to produce fuel cells at a 70,000-square-foot facility in Brownstown Township, this new Detroit facility would only produce fuel cells, while the Brownstown plant also produces additional components.</t>
    <phoneticPr fontId="1"/>
  </si>
  <si>
    <t>On September 25, multiple sources reported that Stellantis Melfi plant will suspend production from 6 AM to 10 PM on September 26, 2024, as announced by UGL Metalmeccanici Basilicata union. The reason is due to a shortage of components.</t>
    <phoneticPr fontId="1"/>
  </si>
  <si>
    <t>On September 25, Indus Motor Company, the makers of Toyota vehicles in Pakistan announced that it is currently experiencing low levels of raw materials and component inventory and is facing ongoing supply chain challenges. This has resulted in a shortage of parts and components necessary for vehicle production. As a result, it is unable to meet its production requirements. Consequently, it has decided to temporarily suspend active operations at its production plant from September 26, 2024, to September 30, 2024 (including both days).</t>
    <phoneticPr fontId="1"/>
  </si>
  <si>
    <t>https://www.marklines.com/en/global/10916</t>
    <phoneticPr fontId="1"/>
  </si>
  <si>
    <t>Mazda Motor Corporation announced on September 24 that it will open a new R&amp;D office in Tokyo in early summer 2025. The new R&amp;D office will be located in Azabudai Hills, a multi-use facility in Azabudai, Minato Ward, Tokyo. The new R&amp;D office will house development functions, particularly in the software area. It will also be used to co-create with universities, companies, and research institutions in the Tokyo metropolitan area.</t>
    <phoneticPr fontId="1"/>
  </si>
  <si>
    <t>On September 24, the Harmony Intelligent Mobility Alliance (HIMA) launched the Luxeed R7 mid-to-large-size battery electric coupe SUV co-developed by Huawei and Chery. The Pro and Max variants are powered by an RWD system with a single rear 215kW permanent magnet synchronous motor, and an 82kWh ternary lithium or ternary lithium-ion and lithium manganese iron phosphate battery, delivering a CLTC combined range of 667km. The Ultra variant is powered by a 4WD system with front 150kW AC asynchronous and rear 215kW permanent magnet synchronous motors. A 100kWh ternary lithium battery completes the powertrain, with a CLTC combined range of 736km.</t>
    <phoneticPr fontId="1"/>
  </si>
  <si>
    <t>On September 24, at the 21st China-ASEAN Expo, SAIC-GM-Wuling (SGMW) launched the One Two Three ASEAN Strategy. This strategy is slated for an all-round New Energy Vehicle (NEV) industry chain across the 10 ASEAN countries by 2030, which integrates key links such as vehicle manufacturing, sales, services, energy systems, electronic controllers, and intelligent electric drives. SGMW will manage innovation on the product and industry sides to create two sustainable development systems, namely, an operating model with the involvement of the SGMW headquarters, Indonesia, and the ASEAN, and a trans-oceanic win-win system connecting China and the ASEAN’s NEV industry chains, and bolster upward brand, ecosystem, and product development. The automaker will strive for an ASEAN NEV industry chain value of over CNY 10 billion by 2030. Making its global debut at the event was the Light of ASEAN concept NEV.</t>
    <phoneticPr fontId="1"/>
  </si>
  <si>
    <t>On September 24, Changan Auto started accepting pre-orders for the 4th-generation CS75 Plus midsize 5-seater SUV. Powered by the world’s first 500Bar high-pressure direct-injection Blue Core engine (141kW/310Nm), an Aisin 8-speed automatic transmission, and a front-engine FWD system, the 4th-generation CS75 Plus delivers a WLTC combined fuel consumption of 6.89L/100km. The 4th-generation CS75 Plus is equipped with a Level 2 intelligent cruise assist system.</t>
    <phoneticPr fontId="1"/>
  </si>
  <si>
    <t>On September 24, it was announced that Nissan Argentina and Renault will halt pickup production for three weeks at the Santa Isabel plant in Córdoba. The plant produces the Nissan Frontier/Navara and Alaskan models, and according to Nissan, this decision was made due to a drop in demand in export markets. Production of these vehicles is expected to resume on October 15. It was also noted that the production of the Logan, Sandero, Stepway, and Kangoo models will not be affected, nor will it impact the Niágara project.</t>
    <phoneticPr fontId="1"/>
  </si>
  <si>
    <t>On September 24, Stellantis warned that it is planning indefinite layoffs of union-represented workers "across its footprint", said Stellantis spokeswoman Ann Marie Fortunate, highlighting market conditions and vehicle affordability as the reasoning behind the layoffs, saying “This affects many of our U.S. manufacturing facilities Stellantis is laying off 191 workers at the Sterling Heights Assembly Plant where it builds the Ram 1500 as it prepares for the electric Ram 1500 REV pickup to begin production before the end of 2024.</t>
    <phoneticPr fontId="1"/>
  </si>
  <si>
    <t>On September 20, Suzuki Motor Corporation launched the fully redesigned Spacia Gear, a mini height wagon, in Japan. The new model is produced at the Kosai Plant, aiming for monthly sales of 2,000 units. The first generation Spacia Gear was launched in December 2018 as a SUV-like derivative of the Spacia mini height wagon. The new model launched this time features an exclusive design and special equipment to accompany outdoor life, in addition to user-friendly features (such as a heated steering wheel) of the Spacia and Spacia Custom, which were fully redesigned in November 2023. Special equipment includes water-repellent seats, stain-resistant luggage floor, and other features that are useful in outdoor activities. As with the first-generation model, the new model is equipped with a mild hybrid system.</t>
    <phoneticPr fontId="1"/>
  </si>
  <si>
    <t>On September 19, negotiations between the UAW and VW kicked off. This will be the first contract the union and company negotiate for more than 4,000 workers at the Chattanooga plant where the Atlas, Atlas Cross Sport and electric ID.4 are built. The same week negotiations opened in Chattanooga, about 200 workers building the ID.4 received furlough notices as a result of a recall and stop sale of the EV, for which Volkswagen does not expect to resume production until the beginning of 2025. The company has vowed to keep an open mind on the U.S. negotiations while in Germany, VW rejected IG Metall union demands as the first round of bitterly contested talks ended on without agreement.</t>
    <phoneticPr fontId="1"/>
  </si>
  <si>
    <t>https://www.marklines.com/en/global/2425</t>
    <phoneticPr fontId="1"/>
  </si>
  <si>
    <t>Multiple Korean media outlets reported that the Renault Korea labor union will go on a full-scale strike from September 13. The union had been on a partial strike since September 10 after a tentative agreement on wages and collective bargaining agreement was rejected on September 6, but announced that it would move to a full-scale strike on September 13. There are concerns that the strike may disrupt the production of the Grand Koleos, a D-segment hybrid SUV and the first new model in four years. Deliveries of the model are scheduled to begin this month, but if the strike drags on, there could be delays in deliveries. In response to this situation, Renault Korea has reallocated the production line, mainly to those employees who voluntarily requested to work, to avoid a complete shutdown of the plant. Currently, of the approximately 2,500 total employees at the Busan plant, 1,700 (68%) are union members and approximately 800 are not. As of September 13, some production lines at the Busan plant are said to be in operation.</t>
    <phoneticPr fontId="1"/>
  </si>
  <si>
    <t>Honda Motor Co., Ltd. announced on September 12 that it will release the facelifted 11th generation Civic (hatchback) in Japan on the 13th. In this facelift, the front fascia has been changed to a more refined design, and a new grade "RS" that focuses on driving quality has been added to the gasoline-powered vehicle lineup. All grades of the gasoline-powered vehicles are equipped with a 1.5L direct-injection VTEC TURBO engine, with the "RS" grade mated to a 6-speed manual transmission, and the other grades (LX/EX) mated to a CVT. The "RS" grade employs a rev match control system that automatically controls engine speed in accordance with deceleration operations, supporting smooth manual driving operations. A special suspension has also been adopted to suppress body shaking even on rough roads. For hybrid vehicles, the previous mono-grade has been changed to two grades, the "e:HEV LX" and the "e:HEV EX."</t>
    <phoneticPr fontId="1"/>
  </si>
  <si>
    <t>Mitsubishi Fuso Truck and Bus Corporation announced on September 10 that it will construct a pilot facility at its Kawasaki Plant in collaboration with a Singaporean start-up company, True 2 Materials Pte, Ltd (T2M), to recover materials from used electric vehicle (EV) batteries. Demonstration tests will be conducted in early 2025 to recover anode, cathode and electrolyte materials that can be used as is by battery cell manufacturers. Mitsubishi Fuso aims to maximize value of battery materials and reduce total costs of EVs. T2M's Total Material Recovery (TMR) process is capable of recovering a high percentage of EV battery resources, up to 99.9%. Mitsubishi Fuso will demonstrate the effectiveness of TMR at the pilot facility to be built at its Kawasaki Plant with aim of commercialization in Japan first.</t>
    <phoneticPr fontId="1"/>
  </si>
  <si>
    <t>https://www.marklines.com/en/global/10301</t>
    <phoneticPr fontId="1"/>
  </si>
  <si>
    <t>Hyogo</t>
  </si>
  <si>
    <t>Toyota Motor Corporation announced on September 6 that its production plan for next-generation battery (performance version) has been certified by the Ministry of Economy, Trade and Industry (METI) as part of the Japanese government's "Supply Assurance Plan for Batteries." Certified businesses will be granted subsidies as a support measure. The next-generation battery (performance version) will be produced by Prime Planet Energy &amp; Solutions (PPES), a joint venture between Toyota and Panasonic Holdings, and Primearth EV Energy (PEVE), a wholly owned subsidiary of Toyota. The aim is to equip the next-generation prismatic lithium-ion battery, which will improve performance such as driving range compared to the battery installed in the electric vehicle (EV) "bZ4X," in the next-generation EV to be introduced in 2026 and so forth. PPES, which will be responsible for production, will begin production of the next-generation battery (performance version) at its Himeji Plant in 2026. PEVE will build a new plant in the Shin-Matsuyama Seaside Industrial Park in Fukuoka Prefecture and start production in 2028.</t>
    <phoneticPr fontId="1"/>
  </si>
  <si>
    <t>https://www.marklines.com/en/global/2435</t>
    <phoneticPr fontId="1"/>
  </si>
  <si>
    <t>According to multiple South Korean media reports dated September 4, Hyundai Motor Company's new Ulsan electric vehicle (EV) plant will increase its annual production capacity to a maximum of 250,000 units. The initial target for the new plant's annual production capacity was 200,000 units. In addition, the plant's diesel engine plant, which ceased operations in December 2023, is scheduled to be converted into a main facility responsible for EV quality control. The plant that produced A-engines will be demolished, and an EV quality inspection facility is expected to be completed by October 2025. The new EV-only plant will conduct trial production in the fourth quarter of 2025, with production scheduled to begin in the first quarter of 2026.</t>
    <phoneticPr fontId="1"/>
  </si>
  <si>
    <t>https://www.marklines.com/en/global/9985</t>
    <phoneticPr fontId="1"/>
  </si>
  <si>
    <t>Hyundai Motor Company announced on August 28th at the 2024 CEO Investor Day held in Seoul that it will open a next-generation battery research center at its research center in Uiwang-si, Gyeonggi-do in December 2024. The company plans to accelerate the development of next-generation batteries, including all-solid-state batteries, at this new center.</t>
    <phoneticPr fontId="1"/>
  </si>
  <si>
    <t>On September 26, JLR announced a GBP 500 million investment to transform its Halewood facility for the parallel production of electric vehicles (EVs) alongside its combustion and hybrid models. The investment is part of JLR’s Reimagine strategy to electrify all its brands by 2030 and achieve carbon net zero operations by 2039. The facility, over the last year, has already invested GBP 250 million, expanding the site by 32,364 square meters for JLR's medium-sized electric luxury SUVs. It now includes advanced technology such as new EV build lines, 750 autonomous robots, ADAS calibration rigs, laser alignment, and cloud-based management systems. The further GBP 250 million will be invested over the coming years. JLR’s additional transformational upgrades to accommodate various EVs sizes, includes a new body shop that produces 500 vehicle bodies daily, modifications in the paint shop for contrasting roofs, and an automated storage tower for 600 painted bodies. The final production line has been extended from 4 km to 6 km for battery fitments, and vehicle build stations have been lengthened to seven meters for the new EMA EVs. Additionally, 40 new Autonomous Mobile Robots (AMRs) have been introduced for high-voltage battery installation, along with GBP 16 million worth of equipment integrated from JLR’s Castle Bromwich site.</t>
    <phoneticPr fontId="1"/>
  </si>
  <si>
    <t>https://www.marklines.com/en/global/1711</t>
    <phoneticPr fontId="1"/>
  </si>
  <si>
    <t>On September 25, Volkswagen Poznań announced that it has started the production of the first Caddy plug-in hybrid electric vehicles (PHEV) at the Poznań plant. Caddy eHybrid has a 1.5-liter TSI engine paired with an electric motor which generates output of 110 kW and 350 Nm of torque. The Poznań plant added 20 new robots, expanded 22 stations, and introduced new technologies like plasma cutting to support hybrid production. The paint shop and assembly lines were also upgraded for efficiency, and fire safety measures were enhanced for electric car production.</t>
    <phoneticPr fontId="1"/>
  </si>
  <si>
    <t>On September 25, Kamaz rolled out its 2,500,000th truck. The anniversary truck was the flagship of the K5 model range – the KAMAZ-54901 truck tractor. </t>
    <phoneticPr fontId="1"/>
  </si>
  <si>
    <t>Nordrhein-Westfalen</t>
  </si>
  <si>
    <t>On September 25, Ford started the production of all-new electric Ford Capri at the Cologne Electric Vehicle Centre, Germany. The vehicle will be available in both RWD and AWD configurations. The RWD version features a 77 kWh NMC lithium-ion battery that provides up to 627 km of range, powered by a 286 hp motor with 545 Nm of torque. The AWD version comes with a 185-kW battery, offering up to 592 km of range, and features a 340 hp motor delivering 545 Nm of torque on the rear axle and 134 Nm on the front axle.</t>
    <phoneticPr fontId="1"/>
  </si>
  <si>
    <t>On September 25, multiple sources reported that Ford has announced complete production stops at its vehicle operations plant on October 4, 7, 8, and 14, 2024, as part of the Temporary Employment Regulation File (ERTE) at the Almussafes factory in Valencia, Spain. Additionally, the engine plant will be under ERTE on October 7, 8, and 14, 2023, affecting both assembly and machining. There will also be a stoppage in engine assembly on September 30, 2024.</t>
    <phoneticPr fontId="1"/>
  </si>
  <si>
    <t>On September 25, the Chrysler brand announced it is adding the 2025 Chrysler Voyager to its retail lineup offering a budget-friendly manufacturer’s suggested retail price (MSRP) of USD 39,995, with vehicles scheduled to arrive at dealerships in Q4. Chrysler Voyager carries its own unique look within the 2025 Chrysler minivan lineup, with classic front and rear exterior styling that distinguishes the Voyager from the Chrysler Pacifica. Powered by a 3.6-liter Pentastar V6 engine paired with a TorqueFlite nine-speed automatic transmission, Voyager delivers 287 hp and 262 lb-ft of torque to the front wheels. Built at the Windsor Assembly Plant in Windsor, the full 2025 Chrysler minivan lineup now includes Voyager LX, Pacifica Select, Pacifica Plug-in Hybrid Select, Pacifica Limited, Pacifica Pinnacle, and Pacifica Plug-in Hybrid Pinnacle.</t>
    <phoneticPr fontId="1"/>
  </si>
  <si>
    <t>Reported on September 25, Volvo Car Malaysia (VCM) sales director revealed at the launch of the EX30 that this electric SUV will be locally assembled (CKD) from 2025. At present, other Volvo models in the Malaysian market are CKD. Volvo Car Manufacturing Malaysia (VCMM), an entity separate from VCM, will decide whether the EX30 will be shipped from Malaysia to nearby markets. The EX30 is priced from MYR 188,888 to MYR 228,888 (OTR without insurance). VCM did not mention whether the CKD version will be cheaper than the CBU. For the Volvo S60 as an example, the company maintains the same price regardless of assembly location. </t>
    <phoneticPr fontId="1"/>
  </si>
  <si>
    <t>https://www.marklines.com/en/global/1687</t>
    <phoneticPr fontId="1"/>
  </si>
  <si>
    <t>On September 24, multiple sources reported that Stellantis Poland is closing the third shift at its Gliwice plant, putting 500 to 600 jobs at risk. The decision is due to challenging conditions in the automotive market and a seasonal drop in sales. As a result, the plant will transition to a two-shift production system starting September 30, 2024.</t>
    <phoneticPr fontId="1"/>
  </si>
  <si>
    <t>https://www.marklines.com/en/global/2635</t>
    <phoneticPr fontId="1"/>
  </si>
  <si>
    <t>On September 24, the Michigan Strategic Fund announced it has approved USD 3.5 million to support Laepple Automotive to establish its new U.S. headquarters and main manufacturing operations at former Stellantis Mount Elliott Tool and Die facility. The project will result in total investment of USD 93.4 million. The new site in Detroit will be the hub for stamping spare parts for the North American market starting in November. Two major orders have already been received from an American OEM, for which orders are currently also being produced at the company’s German plants. While still operating as a Stellantis plant, the facility produced stamping dies and fixtures for the 2020 Jeep Gladiator (JT program), supplying the Toledo South plant in Ohio. It was idled in 2018, and according to property records, Stellantis sold the building in April 2024 for USD 13.5 million.</t>
    <phoneticPr fontId="1"/>
  </si>
  <si>
    <t>On September 23, Dongfeng Aeolus launched the battery electric version of the Aeolus L7 compact SUV. The Aeolus L7 Battery Electric Version is equipped with the Dongfeng Mach E electric drive system and an FWD layout, delivering a maximum motor power of 120kW or 160kW, a peak motor torque of 240Nm or 310Nm, a top speed of 160km/h or 170km/h. A 61.2kWh or 62.3kWh Mach battery, with a CLTC range of 518km. The Aeolus L7 Battery Electric Version contains a Qualcomm Snapdragon 8155 automotive-grade chip.</t>
    <phoneticPr fontId="1"/>
  </si>
  <si>
    <t>On September 23, BYD launched the new Sealion 05 DM-i and 2nd-generation Song Pro DM-i compact plug-in hybrid SUVs with its 5th-generation DM (Dual Mode) technology. The 75km- and 115km-range variants are both powered by a 74kW/126Nm 1.5L high-efficiency dedicated hybrid engine, a 120kW/210Nm permanent magnet synchronous motor, the EHS (Electric Hybrid System), and an FWD layout, with 12.9kWh and 18.3kWh batteries completing the respective powertrains. The variants deliver respective combined ranges of 1,360km and 1,400km, and an NEDC fuel consumption of 3.79L/100km at the lowest battery state-of-charge. Both models are equipped with the DiPilot Level 2 intelligent driver assistance system.</t>
    <phoneticPr fontId="1"/>
  </si>
  <si>
    <t>On September 22, Changan Auto started accepting pre-orders for the Nevo E07 mid-to-large-size crossover SUV. The battery electric variants are equipped with a single-motor RWD or dual-motor 4WD system, an 800V fast charging system, and an 89.98kWh Golden Shield ternary lithium battery, delivering a maximum motor power of 252kW or 440kW, a peak motor torque of 365Nm or 645Nm, a top speed of 201km/h or 210km/h, a range of 651km, and a CLTC power consumption of 14.2kWh/100km or 15.2kWh/100km. The range-extended variant is equipped with a single-motor RWD 4WD system, the Tianyu intelligent range extender, and a 39.057kWh Golden Shield lithium-iron phosphate battery, delivering a maximum motor power of 231kW, a peak motor torque of 375Nm, a top speed of 190km/h, an electric-mode range of 230km, a combined range of 1,150km, a WLTC power consumption of 20kWh/100km, and a WLTC fuel consumption of 5.8L/100km at low battery state-of-charge (SoC). The model contains an Nvidia Orin X intelligent driving chip (computing power 254TOPS).</t>
    <phoneticPr fontId="1"/>
  </si>
  <si>
    <t>https://www.marklines.com/en/global/4059</t>
    <phoneticPr fontId="1"/>
  </si>
  <si>
    <t>On September 21, BAIC Group announced the recent holding of a ceremony for the opening of Sunshine Motors, its first 4S store in Uzbekistan. This marks the automaker’s official entry into the Uzbek market. Launched at the ceremony were four models: the BJ30, the X7, the U5 Plus, and the X55. In the future, BAIC Group will continuously introduce models in line with the market requirements in Uzbekistan.</t>
    <phoneticPr fontId="1"/>
  </si>
  <si>
    <t>https://www.marklines.com/en/global/4111</t>
    <phoneticPr fontId="1"/>
  </si>
  <si>
    <t>https://www.marklines.com/en/global/2661</t>
    <phoneticPr fontId="1"/>
  </si>
  <si>
    <t>When Stellantis shifted from using ZF nine-speed automatics, it idled the Tipton Transmission Plant which had made them. Now, the Tipton county council have announced that the plant will be used by IRH Manufacturing LLC to make solar panel cells. The Tipton Transmission Plant was responsible for assembling the advanced 9-speed Single Input – Electrically Variable Transmission (SI-EVT) transmission for the Chrysler Pacifica Hybrid. On June 19, 2023 the last nine-speed automatic transmission rolled off the line, as Stellantis consolidated its transmission production efforts, moving the Pacifica Hybrid’s SI-EVT transmission to the Kokomo Transmission Plant.</t>
    <phoneticPr fontId="1"/>
  </si>
  <si>
    <t>https://www.marklines.com/en/global/2662</t>
    <phoneticPr fontId="1"/>
  </si>
  <si>
    <t>On September 25, Avtovaz started industrial production of the LADA e-Largus electric vehicle at Izhevsk production site. LADA e-Largus is the first Russian electric vehicle with a domestic deep-localization battery. LADA e-Largus family of electric vehicles will be represented by passenger and commercial station wagons. The range of a passenger electric vehicle is 420 km, and of a cargo-passenger vehicle - from 320 km. The LADA e-Largus is equipped with a synchronous electric motor on permanent magnets with a peak power of up to 120 kW. Two traction lithium-ion batteries are in the engine compartment and under the body floor. The level of localization of the LADA e-Largus exceeds 50%.</t>
    <phoneticPr fontId="1"/>
  </si>
  <si>
    <t>https://www.marklines.com/en/global/1388</t>
    <phoneticPr fontId="1"/>
  </si>
  <si>
    <t>On September 24, Clean Motion AB signed a Letter of Intent (LoI) with Mitsubishi Fuso Truck Europe (MFTE), based in Portugal and a member of the Daimler Truck Group. This agreement outlines MFTE’s intent to evaluate the potential for large-scale contract manufacturing of Clean Motion’s solar-powered EVIG, which includes vehicle assembly and possibly localized sourcing and production of components. MFTE will evaluate key factors such as component localization, assembly processes, quality management, and supply chain optimization. The collaboration will focus on creating a robust business model that facilitates efficient and cost-effective large-scale production of the EVIG.</t>
    <phoneticPr fontId="1"/>
  </si>
  <si>
    <t>On September 23, Dongfeng Motor Corporation (DFMC) held a fall launch event, where it unveiled new technology results and forged several key strategic partnerships. Launched concurrently were the next-generation Tianyuan architecture and the T1 platform. - Employing a Huawei Qiankun vehicle control module, the next-generation Tianyuan architecture supports low-latency, high-performance Ethernet communication. - The T1 platform, a DFMC fully in-house developed and manufactured 4th-generation New Energy platform for commercial vehicles, consists of core modules such as a highly integrated modular super charging battery and an integrated 800V silicon carbide high-efficiency e-axle and central electric drive. To be further developed is the T2 platform for both passenger and commercial vehicles. DFMC forged strategic partnerships with 14 companies at the event for AI, autonomous driving, intelligent cockpits, chips, low-altitude economy, and more. The DFMC R&amp;D Institute will form an industry technology innovation consortium for vehicle-road-cloud integration with 11 institutions. Additionally, a future transportation lab was inaugurated.</t>
    <phoneticPr fontId="1"/>
  </si>
  <si>
    <t>On September 22, workers at GM’s CAMI Assembly plant in Ingersoll, Ontario overwhelmingly approved a new two-year contract that provides pay increases and aligns the 1,300 workers that make the Chevrolet BrightDrop EV 600 and EV 400 delivery vans and Ultium battery modules, with the same timeline as other Unifor-represented GM employees, who approved new contracts in 2023.  Unifor’s next round of negotiations with the Detroit Three will take place in the fall of 2026.</t>
    <phoneticPr fontId="1"/>
  </si>
  <si>
    <t>https://www.marklines.com/en/global/3337</t>
    <phoneticPr fontId="1"/>
  </si>
  <si>
    <t>On September 21, FAW Hongqi launched the HS3 PHEV (plug-in hybrid electric). Equipped with a 124kW/258Nm 1.5T turbocharged engine, a 140kW/280Nm permanent magnet synchronous motor, a single-speed dedicated hybrid transmission, an 18.4kWh lithium-iron phosphate battery, and a front-engine FWD layout, the HS3 PHEV delivers a top speed of 180km/h, a CLTC electric-mode range of 115km, a WLTC combined fuel consumption of 1.3L/100km, and a WLTC fuel consumption of 5.7L/100km at the lowest battery state-of-charge (SoC). </t>
    <phoneticPr fontId="1"/>
  </si>
  <si>
    <t>On September 20, Denza launched the Z9 GT luxury flagship shooting brake coupe. The Z9 GT makes the global debut of the e3 platform, which, composed of tri-motor individual drive, rear wheel dual-motor individual steering, VMC (Vehicle Motion Control), and CTB (Cell to Body) technologies. The plug-in hybrid variants are equipped with a 152kW/325Nm 2.0T turbocharged dedicated hybrid engine, front 200kW/315Nm, rear left 220kW/360Nm, and rear right 220kW/360Nm permanent magnet synchronous motors, and a part-time 4WD layout, delivering a maximum combined system torque of 935Nm. A 38.5kWh blade battery completes the powertrain, with a CLTC electric-mode range of 201km, a CLTC combined range of 1,101km, and an NEDC combined fuel consumption of 5.6L/100km at the lowest battery state-of-charge (SoC). The battery electric variants are powered by a front 230kW/430Nm AC asynchronous motor, rear left 240kW/360Nm and rear right 240kW/360Nm permanent magnet synchronous motors, a part-time 4WD layout, a 100kWh blade battery, and an 800V platform, delivering a maximum combined system torque of 1,150Nm, a CLTC range of 630km, a maximum charging power of 270kW. The Z9 GT is the first to employ a BYD 9000 customized chip and the BAS (BYD Advanced System) 3.0+ driver assistance system.</t>
    <phoneticPr fontId="1"/>
  </si>
  <si>
    <t>On September 19, Onvo, a new NIO sub-brand, launched the L60 midsize intelligent electric family SUV, its first model. The L60 employs an all-domain 900V architecture, an in-house developed 900V silicon carbide motor, and an RWD or 4WD layout. The RWD variants have a maximum motor power of 240kW and a peak motor torque of 305Nm. The 4WD variants have a maximum motor power of 340kW and a peak motor torque of 440Nm, and a top speed of 203km/h. The minimum CLTC power consumption, CLTC standard range, and CLTC maximum range are 12.1kWh/100km, 555km, and 730km, respectively.</t>
    <phoneticPr fontId="1"/>
  </si>
  <si>
    <t>On September 20, Deepal launched the new L07 midsize intelligent sedan. The L07 range-extended variants are equipped with a 1.5L super range extender, the Force Super-Integrated Electric Drive 2.0 system, and an RWD layout, delivering a maximum system power of 160kW or 190kW, a peak system torque of 320Nm. A 28.39kWh or 35.07kWh lithium-iron phosphate battery completes the powertrain, with a CLTC fuel consumption of 3.94L/100km or 4.04L/100km at low battery state-of-charge (SoC), a CLTC combined power consumption of 13.1kWh/100km or 13.4kWh/100km, a CLTC electric-mode range of 230km or 300km, and a CLTC combined range of 1,330km or 1,400km. The L07 battery electric variants are equipped with the Force Super-Integrated Electric Drive 2.0 system and an RWD layout, delivering a maximum system power of 185kW, a peak system torque of 310Nm. A 56.12kWh lithium-iron phosphate battery completes the powertrain, with a CLTC combined power consumption of 12.4kWh/100km and a CLTC range of 530km. The L07 comes standard with a Qualcomm Snapdragon 8155 chip-powered in-vehicle system.</t>
    <phoneticPr fontId="1"/>
  </si>
  <si>
    <t>On September 20, Zeekr launched the 7X large 5-seater luxury battery electric SUV. The 7X is equipped with a full-stack 800V system as standard. The 605km- and 780km-range variants are powered by a 310kW/440Nm single-motor RWD system and a 75kWh 2nd-generation Gold Brick lithium-iron phosphate or 100kWh Qilin ternary lithium battery. The 705km-range variant is powered by a 475kW/710Nm dual-motor 4WD system and a 100kWh Qilin ternary lithium battery.</t>
    <phoneticPr fontId="1"/>
  </si>
  <si>
    <t>On September 19, GAC Group signed a strategic memorandum of cooperation on digitalization with Huawei in Shanghai to escalate the depth and breadth of their digitalization cooperation and promote the innovation of intelligent automotive technology. Under the agreement, the two parties will cooperate comprehensively in areas such as R&amp;D digitalization, manufacturing intelligentization, corporate globalization, ICT (information and communications technology) infrastructure, joint innovation, and personnel training. They will leverage their respective resources and advantages to help GAC Group accelerate the achievement of the strategic goal of “becoming a world-class technology enterprise”.</t>
    <phoneticPr fontId="1"/>
  </si>
  <si>
    <t>On September 18, Stellantis held its annual Factory Booster Day at the Mirafiori Complex in Turin, Italy, inviting suppliers and startups to present tech-driven solutions for global manufacturing. Key innovations include Autodesk Construction Cloud, which was first implemented at the Windsor Assembly Plant in Canada for the STLA Large installation and, following notable cost savings, was expanded to be used for the STLA Frame installation at Sterling Heights Assembly Plant in the U.S.</t>
    <phoneticPr fontId="1"/>
  </si>
  <si>
    <t>On September 23, multiple sources reported that Stellantis Vigo will halt part of its production due to supply issues affecting System 1, which assembles Peugeot 2008s. The line will be inactive on October 28 to 31, 2024, and during morning and afternoon shifts on September 30, October 4, 7, and 11, 2024. Additionally, night shifts will not operate on any Friday in October 2024, and Sunday i.e., October 6 and 27, 2024. The company plans to activate weekend shifts on October 12, but there will be no production on November 1, 2024. Stellantis attributed the disruption to supply problems from a key supplier but noted that if conditions improve, production may resume on the initially closed days.</t>
    <phoneticPr fontId="1"/>
  </si>
  <si>
    <t>On September 22, the Deputy Prime Minister for Industrial Development and Minister of Industry and Transport attended the celebration of General Motors Egypt's one-millionth vehicle. This facility exports to Euro-Mediterranean, Middle Eastern, and African markets. It has been a leading provider of transportation solutions for over four decades, producing more than 90% of its sales locally and collaborating with numerous regional suppliers.</t>
    <phoneticPr fontId="1"/>
  </si>
  <si>
    <t>https://www.marklines.com/en/global/123</t>
    <phoneticPr fontId="1"/>
  </si>
  <si>
    <t>On September 20, INEOS Automotive announced that it has halted production at its Hambach plant, due to a critical component shortage. The company is following a conservative scenario to return to full production by early 2025. Additionally, INEOS confirms that the production stop is a temporary issue. There will be no job losses at the plant, and employees will be placed on furlough. The operations at the plant will resume as soon as the situation is resolved. INEOS reports that the situation has come at a very busy time, as they are launching the Grenadier vehicles in major new markets, including Mexico and China in September 2024.</t>
    <phoneticPr fontId="1"/>
  </si>
  <si>
    <t>On September 19, chairman and CEO of XPeng, attended the Apsara Conference 2024 driving a P7+, a new XPeng model. Positioned as the world’s first AI vehicle, the P7+ was unveiled to the public for the first time. The model makes the debut of the next-generation AI Hawkeye Visual Solution. To be featured in the P7+ is the AI Tianji OS, the industry’s first in-vehicle system to fully employ AI technology.</t>
    <phoneticPr fontId="1"/>
  </si>
  <si>
    <t>China Motor</t>
    <phoneticPr fontId="1"/>
  </si>
  <si>
    <t>https://www.marklines.com/en/global/3931</t>
    <phoneticPr fontId="1"/>
  </si>
  <si>
    <t>On September 18, multiple sources reported that the China-based Soueast automobile brand would soon enter the Russian market. It will offer two models Soueast S09, D-SUV segment, and urban crossover, Soueast S07, C-SUV segment, in the beginning. It will offer another urban crossover Soueast S06 in 2025. It will open 80 dealerships by the end of 2024.</t>
    <phoneticPr fontId="1"/>
  </si>
  <si>
    <t>On September 18, Almajdouie Motors, the authorized dealer of Changan in the Kingdom of Saudi Arabia, launched the all-new UNI-V Sport. It has a 2.0-liter turbocharged engine producing 229 hp power and 390 Nm of torque. The engine is mated to an eight-speed automatic transmission. </t>
    <phoneticPr fontId="1"/>
  </si>
  <si>
    <t>On September 17, Stellantis announced the electrification of paint shops is one of drivers for CO2 reduction. New paint shops are being built with electric ovens while existing ovens are shifting from natural gas to green or renewable electricity.Energy reduction initiatives, such as spray booth air recycling combined with electrification provide the best synergies for capital expenditure efficiency and CO2 reduction. Additionally, the shift to electric from natural gas-powered curing ovens, gains even more significance when green electricity (photovoltaic, wind, geothermal and biomass) is procured or self-generated.Our plan includes synchronizing each plant’s electrification transformation plan with the Company’s energy autonomy plan to cover 75% of paint shops. Meanwhile, ongoing electrification projects in Spain, including a new two-tone paint line in Madrid that incorporates an electric oven and spray booth, and electrification of the paint shop in Zaragoza are set to begin with E-coat ovens in 2025. </t>
    <phoneticPr fontId="1"/>
  </si>
  <si>
    <t>On September 17, Stellantis presented three key areas of transformation for immediate and medium-term actions to reduce energy and carbon dioxide reduction. As one of the major evolutions is a reduction in the number of baking operations during the painting process. Moving to a four-wet (compact) painting process away from the traditional two-wet painting process enables paint shops to apply four coatings with only two curing ovens. By contrast, the two-wet painting process requires four energy-consuming ovens to heat and dry each coating, reducing energy consumption by up to 30%. In 2022, the Gliwice, Poland paint shop adopted this process, achieving an energy consumption of 246 kWh/vehicle.</t>
    <phoneticPr fontId="1"/>
  </si>
  <si>
    <t>According to multiple press releases dated September 16, FAW Jiefang Group International Automobile Co., Ltd. was established on August 16. The new company was registered in Changchun, Jilin with a capital of CNY 200 million. It is wholly owned by FAW Jiefang. The new company’s business scope includes wholesale of vehicles and their components and accessories; transportation of goods; import and export of goods and technologies; import and export agency services; sales of vehicles; and engineering management services. The new company will be engaged in the international trade of commercial vehicles to help FAW Jiefang further promote the integration of operations outside of China and enhance profitability.</t>
    <phoneticPr fontId="1"/>
  </si>
  <si>
    <t>On September 14, Chery started accepting pre-orders for the Tiggo 9 C-DM midsize plug-in hybrid SUV. The Tiggo 9 C-DM employs the Chery Power C-DM super hybrid technology. The model is powered by a 1.5T dedicated hybrid engine, with a minimum fuel consumption in the 4L/100km range; and a 3-speed super dedicated hybrid transmission with three physical gears, which allows the engine to be involved in driving at 18km/h in Hybrid mode. The CLTC electric-mode range and the combined range are 106km and over 2,000km, respectively.</t>
    <phoneticPr fontId="1"/>
  </si>
  <si>
    <t>https://www.marklines.com/en/global/4055</t>
    <phoneticPr fontId="1"/>
  </si>
  <si>
    <t>On September 14, Geely started accepting pre-orders for the new Xingyuan battery electric sedan. Based on the new GEA global intelligent New Energy architecture, the Xingyuan is equipped with a rear-motor RWD layout, an 11-in-1 intelligent electric drive, and the Aegis battery safety system. The 310km- and 410km-range variants are powered by 58kW and 85kW motors, respectively.</t>
    <phoneticPr fontId="1"/>
  </si>
  <si>
    <t>Sany</t>
    <phoneticPr fontId="1"/>
  </si>
  <si>
    <t>https://www.marklines.com/en/global/4057</t>
    <phoneticPr fontId="1"/>
  </si>
  <si>
    <t>On September 13, Shenyang City announced the recent completion and commissioning of the CRRC.EV Shenyang Site in Tiexi District. The site is the 7th Chinese manufacturing site of CRRC.EV, a CRRC subsidiary. CRRC.EV, China’s first high-tech enterprise to specialize in EV R&amp;D and manufacturing, built a plant in Shenyang in 2022 for the manufacturing of vehicles for special purposes such as sanitation and logistics and the assembly of all types of CRRC buses. Rolling off the production line at the site on the same day was a New Energy sanitation vehicle. After reaching full production capacity, the site is expected to achieve an annual sanitation vehicle production volume of 1,000 units and an annual output value of CNY 1 billion.</t>
    <phoneticPr fontId="1"/>
  </si>
  <si>
    <t>On September 14, Seres Group announced on the Shanghai Stock Exchange (SSE) that it plans to acquire 100% of the equity in Chongqing Liangjiang New Area Longsheng New Energy Technology Co., Ltd. (Longsheng New Energy). Longsheng New Energy prime assets, namely, land, real property, infrastructure, and supporting facilities needed for NEV manufacturing, were used to build a super plant for intelligent EVs. Upon completion of the transaction, Longsheng New Energy will become a Seres Group wholly owned subsidiary, and Seres Group will take ownership of the super plant to guarantee safe, stable, and autonomous and controllable product manufacturing and enhance the asset integrity of and control over its major operations.</t>
    <phoneticPr fontId="1"/>
  </si>
  <si>
    <t>On September 11, Neta Auto announced the September 10 signing of a cooperation agreement with BBVA Mexico, Mexico’s Electro Mobility Association (EMA), and several local dealers. Neta Auto will enter the Mexican market with star models in Q4 2024 and accelerate its expansion in Central and South America continuously, where it has established presence throughout countries such as Brazil, Ecuador, and Costa Rica.</t>
    <phoneticPr fontId="1"/>
  </si>
  <si>
    <t>https://www.marklines.com/en/global/2849</t>
    <phoneticPr fontId="1"/>
  </si>
  <si>
    <t>On September 20, it was announced that GM will stop operations at the Rio Grande do Sul plant for about a month to adapt the plant for the start of manufacturing a new compact SUV starting in 2026. The production halt began on September 16 and will last until October 11. This time will be considered as days off for employees. The investment is part of the BRL 1.2 billion announced by the company that will be applied to the facility from 2024 to 2026. The new vehicle is expected to be based on the GEM platform used in the Onix line. The investments in the Rio Grande do Sul industrial complex will also be used to update the Onix and Onix Plus models.</t>
    <phoneticPr fontId="1"/>
  </si>
  <si>
    <t>On September 20, Cupra announced the beginning of production of its Terramar model at the Audi Győr plant, the largest engine plant in the world. Production of the CUPRA Terramar in Győr offers advantages like the optimization of processes based on the experience of the brands or the use of resources offered at the facility. The model, presented at the America's Cup in Barcelona, is already accepting orders and the first units are expected to be delivered at the beginning of November.</t>
    <phoneticPr fontId="1"/>
  </si>
  <si>
    <t>On September 19, it was announced that GM workers in São José dos Campos approved a wage agreement in a vote in which both shifts of the plant participated. The wage adjustment will be based on the INPC of 3.71%, while the Profit Sharing will be BRL 20,000 in 2025, corrected for the inflation of the following year. In addition, a Voluntary Dismissal Program requested by the workers will be opened. With the Voluntary Dismissal Program, a reduction of up to 100 people is expected while 200 new employees are hired to work on the second shift to increase production of the Chevrolet S10. The agreement reached by the workers at the plant is valid for 2 years, benefiting its 3,250 employees and allowing the maintenance of the BRL 5.5 billion investment recently announced by GM for the plant.</t>
    <phoneticPr fontId="1"/>
  </si>
  <si>
    <t>General Motors announced that it would temporarily lay off employees at its Fairfax Assembly Plant in Kansas City, Kansas, as it ends production of the Chevrolet Malibu. GM will lay off 680 employees at the plant on November 18. The temporary layoffs will facilitate the installation of new tooling and equipment to enable production of the new Chevrolet Bolt EV. The employees are expected to return when production resumes in mid-2025. GM also plans to pause production of the Cadillac XT4 at the Fairfax Assembly Plant in January 2025 to complete the retooling at the plant. The remaining shift will be temporarily laid off then and will return once the plant’s retooling has been completed.</t>
    <phoneticPr fontId="1"/>
  </si>
  <si>
    <t>https://www.marklines.com/en/global/297</t>
    <phoneticPr fontId="1"/>
  </si>
  <si>
    <t>On September 27, NETA Auto Indonesia held the “Grand Launch of NETA X - Xperience Tech With EV" event, announcing that it is priced from IDR 428 million (OTR Jakarta). Officially introduced locally at the GIIAS 2024 event, this intelligent 5-seater EV has a maximum power of 120 kW and 210 Nm of torque and is capable of traveling up to 480 km on a single full charge. Its 63.56 kWh LFP battery comes with Fast Charging feature of up to 105 kW, allowing it to charge from 30 to 80% in 30 minutes. NETA Indonesia has already start handing over NETA X units to the first customers. All NETA X units are domestically produced (CKD) at the PT Handal Indonesia Motor factory. NETA X itself has a Domestic Component Level (TKDN) of 44% and will continue to be increased through cooperation with local partners, one of which includes PT Gotion Green Energy Solutions Indonesia to provide batteries for NETA EVs.</t>
    <phoneticPr fontId="1"/>
  </si>
  <si>
    <t>On September 29, multiple sources reported that the FIM CISL union in Naples had raised concerns about the Stellantis plant in Pomigliano d'Arco, Italy. The management has confirmed a significant drop in demand for Fiat cars, with production decreasing from 395 units per shift to 320 units. The general secretary of the union announced that due to market challenges with the Alfa Romeo Tonale and Dodge Hornet models, Stellantis will suspend production from October 24 to 31, 2024.</t>
    <phoneticPr fontId="1"/>
  </si>
  <si>
    <t>https://www.marklines.com/en/global/1345</t>
    <phoneticPr fontId="1"/>
  </si>
  <si>
    <t>On September 27, FIOM-CGIL union announced that Iveco management discussed production issues across its plants during a meeting in Rome. At FPT Turin plant, NEF engine production is expected to reach nearly 80,000 units in 2024, lower than previously forecasted, but slight growth is anticipated in 2025. Axle production will drop to around 190,000 units in 2024, with modest growth expected in 2025. Transmission production is projected to fall to 60,000 units in 2024, with continued declines in 2025. Meanwhile, components for EVs will continue to grow in both years, though numbers remain modest.</t>
    <phoneticPr fontId="1"/>
  </si>
  <si>
    <t>https://www.marklines.com/en/global/1351</t>
    <phoneticPr fontId="1"/>
  </si>
  <si>
    <t>On September 27, FIOM-CGIL union announced that Iveco management discussed production issues across its plants during a meeting in Rome. In Brescia plant, production is improving, but annual volumes for the Eurocargo are projected to fall to around 11,000 units due to a shrinking medium market. Unfortunately, forecasts for 2025 indicate further declines. However, there is expected growth in other vehicle categories, particularly for the electric Daily and Daily CNG models in 2025.</t>
    <phoneticPr fontId="1"/>
  </si>
  <si>
    <t>https://www.marklines.com/en/global/1335</t>
    <phoneticPr fontId="1"/>
  </si>
  <si>
    <t>On September 27, FIOM-CGIL union announced that Iveco management discussed production issues across its plants, particularly focusing on the Suzzara plant's recovery and the F28 off-road engine, which affects the Foggia factory during a meeting in Rome. Regarding Foggia plant, unions remain worried as diesel volumes are projected to fall to 190,000 units in 2024, with a slight decline expected in 2025. The bus outfitting plant is also experiencing slow growth. In Suzzara plant, recovery of incomplete vans is progressing well, and the plant will return to normal three-shift operations on October 1, 2024. The current production volumes for the Daily model are slightly down at 72,000 but are expected to rise in 2025. A meeting is scheduled for November 2024 to discuss stabilizing temporary workers.</t>
    <phoneticPr fontId="1"/>
  </si>
  <si>
    <t>On September 27, Volkswagen Poznań announced that its factory is now fully operational with a capacity of 15.2 MW from 22-hectare of photovoltaic farm at its Września plant, featuring 25,000 solar panels. It is enough to meet 100% of the plant’s electricity demand in favorable weather conditions. The installation is among the largest in Europe which provides about 20% of electricity needed for car production annually. Another 3.1 MW solar farm and a 6.5 MW roof installation are planned. Additionally, the company is also working on building wind turbines to further its decarbonization strategy and stabilize future energy costs.</t>
    <phoneticPr fontId="1"/>
  </si>
  <si>
    <t>https://www.marklines.com/en/global/10356</t>
    <phoneticPr fontId="1"/>
  </si>
  <si>
    <t>On September 23, JAC Group launched the X8 E-family large 7-seater plug-in hybrid SUV. Equipped with a 1.5T high-thermal-efficiency hybrid engine and a single-speed dedicated hybrid transmission, the X8 E-family delivers a peak motor torque of 210Nm, a maximum electric drive system power of 150kW, a peak electric drive system torque of 320Nm, a CLTC electric-mode range of 110km, a CLTC combined range of 1,100km, a WLTC combined fuel consumption as low as 1.42L/100km, and a WLTC fuel consumption of 5.49L/100km.</t>
    <phoneticPr fontId="1"/>
  </si>
  <si>
    <t>General Motors may release 275 part-time temporary employees at its Fort Wayne Assembly plant and its Bowling Green Assembly plant if local UAW leaders do not sign agreements to keep the employees as part-time temporary workers. However, the shop chairmen at both plants said that they are against signing the agreements as they have been negotiating to make the part-time temporary employees into full-time or permanent employees. Since both facilities have openings in those positions, the shop chairmen contend that GM could promote the employees into those positions. According to statements from GM, if the agreements are not signed, GM will release approximately 250 temporary employees from the Fort Wayne Assembly plant and approximately 25 temporary employees from Bowling Green Assembly.</t>
    <phoneticPr fontId="1"/>
  </si>
  <si>
    <t>https://www.marklines.com/en/global/9549</t>
    <phoneticPr fontId="1"/>
  </si>
  <si>
    <t>Hidalgo</t>
  </si>
  <si>
    <t>On September 25, JAC México inaugurated new production lines at its Hidalgo plant, with an investment of MXN 1.062 billion. This expansion will create 1,360 direct and indirect jobs, 200 of which will be filled by the end of 2024. With the three new production lines, the 200,000-square-meter plant now operates a total of eight flexible production lines. One of the new lines, set to begin operations in November, will be exclusively dedicated to assembling EVs. The other new lines will focus on heavy trucks, commercial vehicles, and pickup trucks. Additionally, the plant will continue to produce SUVs and sedans. With these upgrades, the facility is expected to assemble 80,000 units annually instead of the 60,000 units previously estimated.</t>
    <phoneticPr fontId="1"/>
  </si>
  <si>
    <t>On September 25, ELAM-FAW announced details on the construction of its new plant in the Mexican state of Colima with an investment of MXN 7 billion over the next five years. Operations from the current Hidalgo plant will move to the new facility, which will both serve the domestic market and export products to Latin America and the U.S., benefiting from Manzanillo, Mexico's most important port located in the state. Currently, the Hidalgo plant operates three production lines, producing vehicles ranging from 1.5 to 30 tons, including diesel, natural gas, and LNG-powered trucks. The new facility in Colima will also feature three assembly lines but with more stations to increase production from 5,000 to 15,000 units annually.</t>
    <phoneticPr fontId="1"/>
  </si>
  <si>
    <t>Isuzu Motors Limited (Isuzu) announced on July 2 that it has started operation of "Erga EV", a loop-line bus that runs on the Fujisawa Plant premises. The bus will be used as a means of daily transportation for approximately 6,000 employees. The Erga EV is Japan’s first battery electric vehicle (BEV) flat-floor route bus. Isuzu is working to become carbon neutral (CN) at its plants with the aim of achieving zero greenhouse gas (GHG) emissions directly from its business activities by 2050. The adoption of the Erga EV at the Fujisawa Plant is part of these efforts.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</si>
</sst>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8"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u/>
      <sz val="10"/>
      <color theme="1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6">
    <xf numFmtId="0" fontId="0" fillId="0" borderId="0" xfId="0">
      <alignment vertical="center"/>
    </xf>
    <xf numFmtId="176" fontId="0" fillId="0" borderId="0" xfId="0" applyNumberFormat="1">
      <alignment vertical="center"/>
    </xf>
    <xf numFmtId="0" fontId="3" fillId="2" borderId="0" xfId="0" applyFont="1" applyFill="1" applyAlignment="1">
      <alignment horizontal="center" vertical="center"/>
    </xf>
    <xf numFmtId="176" fontId="3" fillId="2" borderId="0" xfId="0" applyNumberFormat="1" applyFont="1" applyFill="1" applyAlignment="1">
      <alignment horizontal="center" vertical="center"/>
    </xf>
    <xf numFmtId="0" fontId="3" fillId="2" borderId="0" xfId="0" applyFont="1" applyFill="1" applyAlignment="1">
      <alignment horizontal="left" vertical="center"/>
    </xf>
    <xf numFmtId="176" fontId="0" fillId="0" borderId="0" xfId="0" applyNumberFormat="1" applyAlignment="1">
      <alignment horizontal="left" vertical="center"/>
    </xf>
    <xf numFmtId="0" fontId="3" fillId="2" borderId="0" xfId="0" applyFont="1" applyFill="1">
      <alignment vertical="center"/>
    </xf>
    <xf numFmtId="14" fontId="4" fillId="0" borderId="0" xfId="0" applyNumberFormat="1" applyFont="1" applyAlignment="1">
      <alignment horizontal="left" vertical="center"/>
    </xf>
    <xf numFmtId="0" fontId="4" fillId="0" borderId="0" xfId="0" applyFont="1">
      <alignment vertical="center"/>
    </xf>
    <xf numFmtId="0" fontId="2" fillId="0" borderId="0" xfId="1" applyAlignment="1" applyProtection="1">
      <alignment vertical="center"/>
    </xf>
    <xf numFmtId="176" fontId="4" fillId="0" borderId="0" xfId="0" applyNumberFormat="1" applyFont="1" applyAlignment="1">
      <alignment horizontal="left" vertical="center"/>
    </xf>
    <xf numFmtId="14" fontId="5" fillId="0" borderId="0" xfId="0" applyNumberFormat="1" applyFont="1" applyAlignment="1">
      <alignment horizontal="left" vertical="center"/>
    </xf>
    <xf numFmtId="0" fontId="5" fillId="0" borderId="0" xfId="0" applyFont="1">
      <alignment vertical="center"/>
    </xf>
    <xf numFmtId="0" fontId="6" fillId="0" borderId="0" xfId="1" applyFont="1" applyAlignment="1" applyProtection="1">
      <alignment vertical="center"/>
    </xf>
    <xf numFmtId="176" fontId="5" fillId="0" borderId="0" xfId="0" applyNumberFormat="1" applyFont="1" applyAlignment="1">
      <alignment horizontal="left" vertical="center"/>
    </xf>
    <xf numFmtId="0" fontId="7" fillId="0" borderId="0" xfId="0" applyFont="1">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50"/>
  <sheetViews>
    <sheetView tabSelected="1" zoomScaleNormal="100" workbookViewId="0"/>
  </sheetViews>
  <sheetFormatPr defaultRowHeight="13.5" x14ac:dyDescent="0.15"/>
  <cols>
    <col min="1" max="1" width="12.875" customWidth="1"/>
    <col min="2" max="2" width="18.75" bestFit="1" customWidth="1"/>
    <col min="3" max="3" width="14.875" bestFit="1" customWidth="1"/>
    <col min="4" max="4" width="39.375" customWidth="1"/>
    <col min="6" max="6" width="22.25" bestFit="1" customWidth="1"/>
    <col min="7" max="7" width="14.25" bestFit="1" customWidth="1"/>
    <col min="8" max="8" width="14.875" bestFit="1" customWidth="1"/>
    <col min="9" max="9" width="13.75" style="5" bestFit="1" customWidth="1"/>
    <col min="10" max="10" width="62.875" customWidth="1"/>
  </cols>
  <sheetData>
    <row r="1" spans="1:10" x14ac:dyDescent="0.15">
      <c r="D1" t="s">
        <v>8</v>
      </c>
      <c r="I1" s="1"/>
    </row>
    <row r="2" spans="1:10" x14ac:dyDescent="0.15">
      <c r="A2" s="6" t="s">
        <v>5</v>
      </c>
      <c r="B2" s="2" t="s">
        <v>4</v>
      </c>
      <c r="C2" s="2" t="s">
        <v>3</v>
      </c>
      <c r="D2" s="2" t="s">
        <v>9</v>
      </c>
      <c r="E2" s="2" t="s">
        <v>2</v>
      </c>
      <c r="F2" s="2" t="s">
        <v>1</v>
      </c>
      <c r="G2" s="2" t="s">
        <v>0</v>
      </c>
      <c r="H2" s="2" t="s">
        <v>10</v>
      </c>
      <c r="I2" s="3" t="s">
        <v>6</v>
      </c>
      <c r="J2" s="4" t="s">
        <v>7</v>
      </c>
    </row>
    <row r="3" spans="1:10" s="15" customFormat="1" x14ac:dyDescent="0.15">
      <c r="A3" s="11">
        <v>45565</v>
      </c>
      <c r="B3" s="12" t="s">
        <v>109</v>
      </c>
      <c r="C3" s="12" t="s">
        <v>110</v>
      </c>
      <c r="D3" s="13" t="str">
        <f>HYPERLINK("https://www.marklines.com/en/global/297","PT Handal Indonesia Motor (HIM), Bekasi plant (formerly PT. Hyundai Indonesia Motor)")</f>
        <v>PT Handal Indonesia Motor (HIM), Bekasi plant (formerly PT. Hyundai Indonesia Motor)</v>
      </c>
      <c r="E3" s="12" t="s">
        <v>1456</v>
      </c>
      <c r="F3" s="12" t="s">
        <v>60</v>
      </c>
      <c r="G3" s="12" t="s">
        <v>118</v>
      </c>
      <c r="H3" s="12"/>
      <c r="I3" s="14">
        <v>45565</v>
      </c>
      <c r="J3" s="12" t="s">
        <v>1457</v>
      </c>
    </row>
    <row r="4" spans="1:10" s="15" customFormat="1" x14ac:dyDescent="0.15">
      <c r="A4" s="11">
        <v>45565</v>
      </c>
      <c r="B4" s="12" t="s">
        <v>11</v>
      </c>
      <c r="C4" s="12" t="s">
        <v>11</v>
      </c>
      <c r="D4" s="13" t="str">
        <f>HYPERLINK("https://www.marklines.com/en/global/1329","Stellantis, FCA Italy, Giambattista Vico (Pomigliano d'Arco) Plant")</f>
        <v>Stellantis, FCA Italy, Giambattista Vico (Pomigliano d'Arco) Plant</v>
      </c>
      <c r="E4" s="12" t="s">
        <v>336</v>
      </c>
      <c r="F4" s="12" t="s">
        <v>13</v>
      </c>
      <c r="G4" s="12" t="s">
        <v>216</v>
      </c>
      <c r="H4" s="12"/>
      <c r="I4" s="14">
        <v>45564</v>
      </c>
      <c r="J4" s="12" t="s">
        <v>1458</v>
      </c>
    </row>
    <row r="5" spans="1:10" s="15" customFormat="1" x14ac:dyDescent="0.15">
      <c r="A5" s="11">
        <v>45565</v>
      </c>
      <c r="B5" s="12" t="s">
        <v>102</v>
      </c>
      <c r="C5" s="12" t="s">
        <v>102</v>
      </c>
      <c r="D5" s="13" t="str">
        <f>HYPERLINK("https://www.marklines.com/en/global/1345","FPT Industrial S.p.A., Turin Plant")</f>
        <v>FPT Industrial S.p.A., Turin Plant</v>
      </c>
      <c r="E5" s="12" t="s">
        <v>1459</v>
      </c>
      <c r="F5" s="12" t="s">
        <v>13</v>
      </c>
      <c r="G5" s="12" t="s">
        <v>216</v>
      </c>
      <c r="H5" s="12"/>
      <c r="I5" s="14">
        <v>45562</v>
      </c>
      <c r="J5" s="12" t="s">
        <v>1460</v>
      </c>
    </row>
    <row r="6" spans="1:10" s="15" customFormat="1" x14ac:dyDescent="0.15">
      <c r="A6" s="11">
        <v>45565</v>
      </c>
      <c r="B6" s="12" t="s">
        <v>102</v>
      </c>
      <c r="C6" s="12" t="s">
        <v>102</v>
      </c>
      <c r="D6" s="13" t="str">
        <f>HYPERLINK("https://www.marklines.com/en/global/1351","Iveco, Brescia Plant")</f>
        <v>Iveco, Brescia Plant</v>
      </c>
      <c r="E6" s="12" t="s">
        <v>1461</v>
      </c>
      <c r="F6" s="12" t="s">
        <v>13</v>
      </c>
      <c r="G6" s="12" t="s">
        <v>216</v>
      </c>
      <c r="H6" s="12"/>
      <c r="I6" s="14">
        <v>45562</v>
      </c>
      <c r="J6" s="12" t="s">
        <v>1462</v>
      </c>
    </row>
    <row r="7" spans="1:10" s="15" customFormat="1" x14ac:dyDescent="0.15">
      <c r="A7" s="11">
        <v>45565</v>
      </c>
      <c r="B7" s="12" t="s">
        <v>102</v>
      </c>
      <c r="C7" s="12" t="s">
        <v>102</v>
      </c>
      <c r="D7" s="13" t="str">
        <f>HYPERLINK("https://www.marklines.com/en/global/1335","FPT Industrial S.p.A., Foggia Plant")</f>
        <v>FPT Industrial S.p.A., Foggia Plant</v>
      </c>
      <c r="E7" s="12" t="s">
        <v>1463</v>
      </c>
      <c r="F7" s="12" t="s">
        <v>13</v>
      </c>
      <c r="G7" s="12" t="s">
        <v>216</v>
      </c>
      <c r="H7" s="12"/>
      <c r="I7" s="14">
        <v>45562</v>
      </c>
      <c r="J7" s="12" t="s">
        <v>1464</v>
      </c>
    </row>
    <row r="8" spans="1:10" s="15" customFormat="1" x14ac:dyDescent="0.15">
      <c r="A8" s="11">
        <v>45565</v>
      </c>
      <c r="B8" s="12" t="s">
        <v>102</v>
      </c>
      <c r="C8" s="12" t="s">
        <v>102</v>
      </c>
      <c r="D8" s="13" t="str">
        <f>HYPERLINK("https://www.marklines.com/en/global/1353","Iveco S.p.A., Suzzara Plant")</f>
        <v>Iveco S.p.A., Suzzara Plant</v>
      </c>
      <c r="E8" s="12" t="s">
        <v>668</v>
      </c>
      <c r="F8" s="12" t="s">
        <v>13</v>
      </c>
      <c r="G8" s="12" t="s">
        <v>216</v>
      </c>
      <c r="H8" s="12"/>
      <c r="I8" s="14">
        <v>45562</v>
      </c>
      <c r="J8" s="12" t="s">
        <v>1464</v>
      </c>
    </row>
    <row r="9" spans="1:10" s="15" customFormat="1" x14ac:dyDescent="0.15">
      <c r="A9" s="11">
        <v>45565</v>
      </c>
      <c r="B9" s="12" t="s">
        <v>49</v>
      </c>
      <c r="C9" s="12" t="s">
        <v>86</v>
      </c>
      <c r="D9" s="13" t="str">
        <f>HYPERLINK("https://www.marklines.com/en/global/9216","Volkswagen Poznan Sp. z o.o., Wrzesnia Plant")</f>
        <v>Volkswagen Poznan Sp. z o.o., Wrzesnia Plant</v>
      </c>
      <c r="E9" s="12" t="s">
        <v>305</v>
      </c>
      <c r="F9" s="12" t="s">
        <v>61</v>
      </c>
      <c r="G9" s="12" t="s">
        <v>306</v>
      </c>
      <c r="H9" s="12"/>
      <c r="I9" s="14">
        <v>45562</v>
      </c>
      <c r="J9" s="12" t="s">
        <v>1465</v>
      </c>
    </row>
    <row r="10" spans="1:10" s="15" customFormat="1" x14ac:dyDescent="0.15">
      <c r="A10" s="11">
        <v>45564</v>
      </c>
      <c r="B10" s="12" t="s">
        <v>423</v>
      </c>
      <c r="C10" s="12" t="s">
        <v>423</v>
      </c>
      <c r="D10" s="13" t="str">
        <f>HYPERLINK("https://www.marklines.com/en/global/10356","Anhui Jianghuai Automobile Group Co., Ltd. Car Branch")</f>
        <v>Anhui Jianghuai Automobile Group Co., Ltd. Car Branch</v>
      </c>
      <c r="E10" s="12" t="s">
        <v>1466</v>
      </c>
      <c r="F10" s="12" t="s">
        <v>21</v>
      </c>
      <c r="G10" s="12" t="s">
        <v>47</v>
      </c>
      <c r="H10" s="12" t="s">
        <v>105</v>
      </c>
      <c r="I10" s="14">
        <v>45558</v>
      </c>
      <c r="J10" s="12" t="s">
        <v>1467</v>
      </c>
    </row>
    <row r="11" spans="1:10" s="15" customFormat="1" x14ac:dyDescent="0.15">
      <c r="A11" s="11">
        <v>45563</v>
      </c>
      <c r="B11" s="12" t="s">
        <v>224</v>
      </c>
      <c r="C11" s="12" t="s">
        <v>224</v>
      </c>
      <c r="D11" s="13" t="str">
        <f>HYPERLINK("https://www.marklines.com/en/global/2509","General Motors, Fort Wayne Plant")</f>
        <v>General Motors, Fort Wayne Plant</v>
      </c>
      <c r="E11" s="12" t="s">
        <v>817</v>
      </c>
      <c r="F11" s="12" t="s">
        <v>16</v>
      </c>
      <c r="G11" s="12" t="s">
        <v>17</v>
      </c>
      <c r="H11" s="12" t="s">
        <v>263</v>
      </c>
      <c r="I11" s="14">
        <v>45562</v>
      </c>
      <c r="J11" s="12" t="s">
        <v>1468</v>
      </c>
    </row>
    <row r="12" spans="1:10" s="15" customFormat="1" x14ac:dyDescent="0.15">
      <c r="A12" s="11">
        <v>45563</v>
      </c>
      <c r="B12" s="12" t="s">
        <v>224</v>
      </c>
      <c r="C12" s="12" t="s">
        <v>224</v>
      </c>
      <c r="D12" s="13" t="str">
        <f>HYPERLINK("https://www.marklines.com/en/global/2521","General Motors, Bowling Green Plant")</f>
        <v>General Motors, Bowling Green Plant</v>
      </c>
      <c r="E12" s="12" t="s">
        <v>704</v>
      </c>
      <c r="F12" s="12" t="s">
        <v>16</v>
      </c>
      <c r="G12" s="12" t="s">
        <v>17</v>
      </c>
      <c r="H12" s="12" t="s">
        <v>260</v>
      </c>
      <c r="I12" s="14">
        <v>45562</v>
      </c>
      <c r="J12" s="12" t="s">
        <v>1468</v>
      </c>
    </row>
    <row r="13" spans="1:10" s="15" customFormat="1" x14ac:dyDescent="0.15">
      <c r="A13" s="11">
        <v>45563</v>
      </c>
      <c r="B13" s="12" t="s">
        <v>423</v>
      </c>
      <c r="C13" s="12" t="s">
        <v>423</v>
      </c>
      <c r="D13" s="13" t="str">
        <f>HYPERLINK("https://www.marklines.com/en/global/9549","Giant Motors Latinoamerica, S.A. de C.V., Ciudad Sahagun Plant")</f>
        <v>Giant Motors Latinoamerica, S.A. de C.V., Ciudad Sahagun Plant</v>
      </c>
      <c r="E13" s="12" t="s">
        <v>1469</v>
      </c>
      <c r="F13" s="12" t="s">
        <v>16</v>
      </c>
      <c r="G13" s="12" t="s">
        <v>229</v>
      </c>
      <c r="H13" s="12" t="s">
        <v>1470</v>
      </c>
      <c r="I13" s="14">
        <v>45560</v>
      </c>
      <c r="J13" s="12" t="s">
        <v>1471</v>
      </c>
    </row>
    <row r="14" spans="1:10" s="15" customFormat="1" x14ac:dyDescent="0.15">
      <c r="A14" s="11">
        <v>45563</v>
      </c>
      <c r="B14" s="12" t="s">
        <v>58</v>
      </c>
      <c r="C14" s="12" t="s">
        <v>58</v>
      </c>
      <c r="D14" s="13" t="str">
        <f>HYPERLINK("https://www.marklines.com/en/global/9549","Giant Motors Latinoamerica, S.A. de C.V., Ciudad Sahagun Plant")</f>
        <v>Giant Motors Latinoamerica, S.A. de C.V., Ciudad Sahagun Plant</v>
      </c>
      <c r="E14" s="12" t="s">
        <v>1469</v>
      </c>
      <c r="F14" s="12" t="s">
        <v>16</v>
      </c>
      <c r="G14" s="12" t="s">
        <v>229</v>
      </c>
      <c r="H14" s="12" t="s">
        <v>1470</v>
      </c>
      <c r="I14" s="14">
        <v>45560</v>
      </c>
      <c r="J14" s="12" t="s">
        <v>1472</v>
      </c>
    </row>
    <row r="15" spans="1:10" s="15" customFormat="1" x14ac:dyDescent="0.15">
      <c r="A15" s="11">
        <v>45562</v>
      </c>
      <c r="B15" s="12" t="s">
        <v>224</v>
      </c>
      <c r="C15" s="12" t="s">
        <v>224</v>
      </c>
      <c r="D15" s="13" t="str">
        <f>HYPERLINK("https://www.marklines.com/en/global/2453","GM, Brownstown Battery (formerly GM Subsystem Manufacturing LLC, Brownstown Township Plant)")</f>
        <v>GM, Brownstown Battery (formerly GM Subsystem Manufacturing LLC, Brownstown Township Plant)</v>
      </c>
      <c r="E15" s="12" t="s">
        <v>1372</v>
      </c>
      <c r="F15" s="12" t="s">
        <v>16</v>
      </c>
      <c r="G15" s="12" t="s">
        <v>17</v>
      </c>
      <c r="H15" s="12" t="s">
        <v>19</v>
      </c>
      <c r="I15" s="14">
        <v>45562</v>
      </c>
      <c r="J15" s="12" t="s">
        <v>1373</v>
      </c>
    </row>
    <row r="16" spans="1:10" s="15" customFormat="1" x14ac:dyDescent="0.15">
      <c r="A16" s="11">
        <v>45562</v>
      </c>
      <c r="B16" s="12" t="s">
        <v>11</v>
      </c>
      <c r="C16" s="12" t="s">
        <v>11</v>
      </c>
      <c r="D16" s="13" t="str">
        <f>HYPERLINK("https://www.marklines.com/en/global/1325","Stellantis, FCA Italy, Melfi (Basilicata) Plant")</f>
        <v>Stellantis, FCA Italy, Melfi (Basilicata) Plant</v>
      </c>
      <c r="E16" s="12" t="s">
        <v>332</v>
      </c>
      <c r="F16" s="12" t="s">
        <v>13</v>
      </c>
      <c r="G16" s="12" t="s">
        <v>216</v>
      </c>
      <c r="H16" s="12"/>
      <c r="I16" s="14">
        <v>45560</v>
      </c>
      <c r="J16" s="12" t="s">
        <v>1374</v>
      </c>
    </row>
    <row r="17" spans="1:10" s="15" customFormat="1" x14ac:dyDescent="0.15">
      <c r="A17" s="11">
        <v>45562</v>
      </c>
      <c r="B17" s="12" t="s">
        <v>35</v>
      </c>
      <c r="C17" s="12" t="s">
        <v>35</v>
      </c>
      <c r="D17" s="13" t="str">
        <f>HYPERLINK("https://www.marklines.com/en/global/1065","Indus Motor Company Ltd. (IMC), Karachi Plant")</f>
        <v>Indus Motor Company Ltd. (IMC), Karachi Plant</v>
      </c>
      <c r="E17" s="12" t="s">
        <v>509</v>
      </c>
      <c r="F17" s="12" t="s">
        <v>36</v>
      </c>
      <c r="G17" s="12" t="s">
        <v>510</v>
      </c>
      <c r="H17" s="12"/>
      <c r="I17" s="14">
        <v>45560</v>
      </c>
      <c r="J17" s="12" t="s">
        <v>1375</v>
      </c>
    </row>
    <row r="18" spans="1:10" s="15" customFormat="1" x14ac:dyDescent="0.15">
      <c r="A18" s="11">
        <v>45562</v>
      </c>
      <c r="B18" s="12" t="s">
        <v>88</v>
      </c>
      <c r="C18" s="12" t="s">
        <v>88</v>
      </c>
      <c r="D18" s="13" t="str">
        <f>HYPERLINK("https://www.marklines.com/en/global/10916","Mazda Motor, New R&amp;D office (Tokyo)")</f>
        <v>Mazda Motor, New R&amp;D office (Tokyo)</v>
      </c>
      <c r="E18" s="12" t="s">
        <v>1376</v>
      </c>
      <c r="F18" s="12" t="s">
        <v>21</v>
      </c>
      <c r="G18" s="12" t="s">
        <v>22</v>
      </c>
      <c r="H18" s="12" t="s">
        <v>126</v>
      </c>
      <c r="I18" s="14">
        <v>45559</v>
      </c>
      <c r="J18" s="12" t="s">
        <v>1377</v>
      </c>
    </row>
    <row r="19" spans="1:10" s="15" customFormat="1" x14ac:dyDescent="0.15">
      <c r="A19" s="11">
        <v>45562</v>
      </c>
      <c r="B19" s="12" t="s">
        <v>103</v>
      </c>
      <c r="C19" s="12" t="s">
        <v>1023</v>
      </c>
      <c r="D19" s="13" t="str">
        <f>HYPERLINK("https://www.marklines.com/en/global/3879","Chery Automobile Co., Ltd. ")</f>
        <v xml:space="preserve">Chery Automobile Co., Ltd. </v>
      </c>
      <c r="E19" s="12" t="s">
        <v>112</v>
      </c>
      <c r="F19" s="12" t="s">
        <v>21</v>
      </c>
      <c r="G19" s="12" t="s">
        <v>47</v>
      </c>
      <c r="H19" s="12" t="s">
        <v>105</v>
      </c>
      <c r="I19" s="14">
        <v>45559</v>
      </c>
      <c r="J19" s="12" t="s">
        <v>1378</v>
      </c>
    </row>
    <row r="20" spans="1:10" s="15" customFormat="1" x14ac:dyDescent="0.15">
      <c r="A20" s="11">
        <v>45562</v>
      </c>
      <c r="B20" s="12" t="s">
        <v>51</v>
      </c>
      <c r="C20" s="12" t="s">
        <v>458</v>
      </c>
      <c r="D20" s="13" t="str">
        <f>HYPERLINK("https://www.marklines.com/en/global/4153","SAIC-GM-Wuling Automobile Co., Ltd. (SGMW)　")</f>
        <v>SAIC-GM-Wuling Automobile Co., Ltd. (SGMW)　</v>
      </c>
      <c r="E20" s="12" t="s">
        <v>459</v>
      </c>
      <c r="F20" s="12" t="s">
        <v>21</v>
      </c>
      <c r="G20" s="12" t="s">
        <v>47</v>
      </c>
      <c r="H20" s="12" t="s">
        <v>460</v>
      </c>
      <c r="I20" s="14">
        <v>45559</v>
      </c>
      <c r="J20" s="12" t="s">
        <v>1379</v>
      </c>
    </row>
    <row r="21" spans="1:10" s="15" customFormat="1" x14ac:dyDescent="0.15">
      <c r="A21" s="11">
        <v>45562</v>
      </c>
      <c r="B21" s="12" t="s">
        <v>287</v>
      </c>
      <c r="C21" s="12" t="s">
        <v>287</v>
      </c>
      <c r="D21" s="13" t="str">
        <f>HYPERLINK("https://www.marklines.com/en/global/3875","Hefei Changan Automobile Co., Ltd.")</f>
        <v>Hefei Changan Automobile Co., Ltd.</v>
      </c>
      <c r="E21" s="12" t="s">
        <v>969</v>
      </c>
      <c r="F21" s="12" t="s">
        <v>21</v>
      </c>
      <c r="G21" s="12" t="s">
        <v>47</v>
      </c>
      <c r="H21" s="12" t="s">
        <v>105</v>
      </c>
      <c r="I21" s="14">
        <v>45559</v>
      </c>
      <c r="J21" s="12" t="s">
        <v>1380</v>
      </c>
    </row>
    <row r="22" spans="1:10" s="15" customFormat="1" x14ac:dyDescent="0.15">
      <c r="A22" s="11">
        <v>45562</v>
      </c>
      <c r="B22" s="12" t="s">
        <v>77</v>
      </c>
      <c r="C22" s="12" t="s">
        <v>77</v>
      </c>
      <c r="D22" s="13" t="str">
        <f>HYPERLINK("https://www.marklines.com/en/global/2803","Renault Argentina S.A., Cordoba Plant")</f>
        <v>Renault Argentina S.A., Cordoba Plant</v>
      </c>
      <c r="E22" s="12" t="s">
        <v>138</v>
      </c>
      <c r="F22" s="12" t="s">
        <v>45</v>
      </c>
      <c r="G22" s="12" t="s">
        <v>79</v>
      </c>
      <c r="H22" s="12"/>
      <c r="I22" s="14">
        <v>45559</v>
      </c>
      <c r="J22" s="12" t="s">
        <v>1381</v>
      </c>
    </row>
    <row r="23" spans="1:10" s="15" customFormat="1" x14ac:dyDescent="0.15">
      <c r="A23" s="11">
        <v>45562</v>
      </c>
      <c r="B23" s="12" t="s">
        <v>44</v>
      </c>
      <c r="C23" s="12" t="s">
        <v>44</v>
      </c>
      <c r="D23" s="13" t="str">
        <f>HYPERLINK("https://www.marklines.com/en/global/2803","Renault Argentina S.A., Cordoba Plant")</f>
        <v>Renault Argentina S.A., Cordoba Plant</v>
      </c>
      <c r="E23" s="12" t="s">
        <v>138</v>
      </c>
      <c r="F23" s="12" t="s">
        <v>45</v>
      </c>
      <c r="G23" s="12" t="s">
        <v>79</v>
      </c>
      <c r="H23" s="12"/>
      <c r="I23" s="14">
        <v>45559</v>
      </c>
      <c r="J23" s="12" t="s">
        <v>1381</v>
      </c>
    </row>
    <row r="24" spans="1:10" s="15" customFormat="1" x14ac:dyDescent="0.15">
      <c r="A24" s="11">
        <v>45562</v>
      </c>
      <c r="B24" s="12" t="s">
        <v>11</v>
      </c>
      <c r="C24" s="12" t="s">
        <v>11</v>
      </c>
      <c r="D24" s="13" t="str">
        <f>HYPERLINK("https://www.marklines.com/en/global/2641","Stellantis, FCA US, Sterling Heights Assembly Plant")</f>
        <v>Stellantis, FCA US, Sterling Heights Assembly Plant</v>
      </c>
      <c r="E24" s="12" t="s">
        <v>907</v>
      </c>
      <c r="F24" s="12" t="s">
        <v>16</v>
      </c>
      <c r="G24" s="12" t="s">
        <v>17</v>
      </c>
      <c r="H24" s="12" t="s">
        <v>19</v>
      </c>
      <c r="I24" s="14">
        <v>45559</v>
      </c>
      <c r="J24" s="12" t="s">
        <v>1382</v>
      </c>
    </row>
    <row r="25" spans="1:10" s="15" customFormat="1" x14ac:dyDescent="0.15">
      <c r="A25" s="11">
        <v>45562</v>
      </c>
      <c r="B25" s="12" t="s">
        <v>314</v>
      </c>
      <c r="C25" s="12" t="s">
        <v>314</v>
      </c>
      <c r="D25" s="13" t="str">
        <f>HYPERLINK("https://www.marklines.com/en/global/495","Suzuki Motor, Kosai Plant")</f>
        <v>Suzuki Motor, Kosai Plant</v>
      </c>
      <c r="E25" s="12" t="s">
        <v>407</v>
      </c>
      <c r="F25" s="12" t="s">
        <v>21</v>
      </c>
      <c r="G25" s="12" t="s">
        <v>22</v>
      </c>
      <c r="H25" s="12" t="s">
        <v>408</v>
      </c>
      <c r="I25" s="14">
        <v>45555</v>
      </c>
      <c r="J25" s="12" t="s">
        <v>1383</v>
      </c>
    </row>
    <row r="26" spans="1:10" s="15" customFormat="1" x14ac:dyDescent="0.15">
      <c r="A26" s="11">
        <v>45562</v>
      </c>
      <c r="B26" s="12" t="s">
        <v>49</v>
      </c>
      <c r="C26" s="12" t="s">
        <v>227</v>
      </c>
      <c r="D26" s="13" t="str">
        <f>HYPERLINK("https://www.marklines.com/en/global/3309","Volkswagen Group of America Chattanooga Operations, LLC, Chattanooga Plant")</f>
        <v>Volkswagen Group of America Chattanooga Operations, LLC, Chattanooga Plant</v>
      </c>
      <c r="E26" s="12" t="s">
        <v>1329</v>
      </c>
      <c r="F26" s="12" t="s">
        <v>16</v>
      </c>
      <c r="G26" s="12" t="s">
        <v>17</v>
      </c>
      <c r="H26" s="12" t="s">
        <v>481</v>
      </c>
      <c r="I26" s="14">
        <v>45554</v>
      </c>
      <c r="J26" s="12" t="s">
        <v>1384</v>
      </c>
    </row>
    <row r="27" spans="1:10" s="15" customFormat="1" x14ac:dyDescent="0.15">
      <c r="A27" s="11">
        <v>45562</v>
      </c>
      <c r="B27" s="12" t="s">
        <v>44</v>
      </c>
      <c r="C27" s="12" t="s">
        <v>44</v>
      </c>
      <c r="D27" s="13" t="str">
        <f>HYPERLINK("https://www.marklines.com/en/global/2425","Renault Korea (formerly Renault Samsung), Busan Plant")</f>
        <v>Renault Korea (formerly Renault Samsung), Busan Plant</v>
      </c>
      <c r="E27" s="12" t="s">
        <v>1385</v>
      </c>
      <c r="F27" s="12" t="s">
        <v>21</v>
      </c>
      <c r="G27" s="12" t="s">
        <v>85</v>
      </c>
      <c r="H27" s="12"/>
      <c r="I27" s="14">
        <v>45548</v>
      </c>
      <c r="J27" s="12" t="s">
        <v>1386</v>
      </c>
    </row>
    <row r="28" spans="1:10" s="15" customFormat="1" x14ac:dyDescent="0.15">
      <c r="A28" s="11">
        <v>45562</v>
      </c>
      <c r="B28" s="12" t="s">
        <v>43</v>
      </c>
      <c r="C28" s="12" t="s">
        <v>43</v>
      </c>
      <c r="D28" s="13" t="str">
        <f>HYPERLINK("https://www.marklines.com/en/global/439","Honda Motor, Saitama Factory Automobile Plant")</f>
        <v>Honda Motor, Saitama Factory Automobile Plant</v>
      </c>
      <c r="E28" s="12" t="s">
        <v>396</v>
      </c>
      <c r="F28" s="12" t="s">
        <v>21</v>
      </c>
      <c r="G28" s="12" t="s">
        <v>22</v>
      </c>
      <c r="H28" s="12" t="s">
        <v>397</v>
      </c>
      <c r="I28" s="14">
        <v>45547</v>
      </c>
      <c r="J28" s="12" t="s">
        <v>1387</v>
      </c>
    </row>
    <row r="29" spans="1:10" s="15" customFormat="1" x14ac:dyDescent="0.15">
      <c r="A29" s="11">
        <v>45562</v>
      </c>
      <c r="B29" s="12" t="s">
        <v>78</v>
      </c>
      <c r="C29" s="12" t="s">
        <v>1030</v>
      </c>
      <c r="D29" s="13" t="str">
        <f>HYPERLINK("https://www.marklines.com/en/global/581","Mitsubishi Fuso Truck and Bus, Kawasaki Plant")</f>
        <v>Mitsubishi Fuso Truck and Bus, Kawasaki Plant</v>
      </c>
      <c r="E29" s="12" t="s">
        <v>1031</v>
      </c>
      <c r="F29" s="12" t="s">
        <v>21</v>
      </c>
      <c r="G29" s="12" t="s">
        <v>22</v>
      </c>
      <c r="H29" s="12" t="s">
        <v>388</v>
      </c>
      <c r="I29" s="14">
        <v>45545</v>
      </c>
      <c r="J29" s="12" t="s">
        <v>1388</v>
      </c>
    </row>
    <row r="30" spans="1:10" s="15" customFormat="1" x14ac:dyDescent="0.15">
      <c r="A30" s="11">
        <v>45562</v>
      </c>
      <c r="B30" s="12" t="s">
        <v>35</v>
      </c>
      <c r="C30" s="12" t="s">
        <v>35</v>
      </c>
      <c r="D30" s="13" t="str">
        <f>HYPERLINK("https://www.marklines.com/en/global/10301","Prime Planet Energy &amp; Solutions, Himeji Plant")</f>
        <v>Prime Planet Energy &amp; Solutions, Himeji Plant</v>
      </c>
      <c r="E30" s="12" t="s">
        <v>1389</v>
      </c>
      <c r="F30" s="12" t="s">
        <v>21</v>
      </c>
      <c r="G30" s="12" t="s">
        <v>22</v>
      </c>
      <c r="H30" s="12" t="s">
        <v>1390</v>
      </c>
      <c r="I30" s="14">
        <v>45541</v>
      </c>
      <c r="J30" s="12" t="s">
        <v>1391</v>
      </c>
    </row>
    <row r="31" spans="1:10" s="15" customFormat="1" x14ac:dyDescent="0.15">
      <c r="A31" s="11">
        <v>45562</v>
      </c>
      <c r="B31" s="12" t="s">
        <v>55</v>
      </c>
      <c r="C31" s="12" t="s">
        <v>55</v>
      </c>
      <c r="D31" s="13" t="str">
        <f>HYPERLINK("https://www.marklines.com/en/global/2435","Hyundai Motor, Ulsan Plant")</f>
        <v>Hyundai Motor, Ulsan Plant</v>
      </c>
      <c r="E31" s="12" t="s">
        <v>1392</v>
      </c>
      <c r="F31" s="12" t="s">
        <v>21</v>
      </c>
      <c r="G31" s="12" t="s">
        <v>85</v>
      </c>
      <c r="H31" s="12"/>
      <c r="I31" s="14">
        <v>45539</v>
      </c>
      <c r="J31" s="12" t="s">
        <v>1393</v>
      </c>
    </row>
    <row r="32" spans="1:10" s="15" customFormat="1" x14ac:dyDescent="0.15">
      <c r="A32" s="11">
        <v>45562</v>
      </c>
      <c r="B32" s="12" t="s">
        <v>55</v>
      </c>
      <c r="C32" s="12" t="s">
        <v>55</v>
      </c>
      <c r="D32" s="13" t="str">
        <f>HYPERLINK("https://www.marklines.com/en/global/9985","Hyundai Motor Group, Korea Central Research Institute (Uiwang)")</f>
        <v>Hyundai Motor Group, Korea Central Research Institute (Uiwang)</v>
      </c>
      <c r="E32" s="12" t="s">
        <v>1394</v>
      </c>
      <c r="F32" s="12" t="s">
        <v>21</v>
      </c>
      <c r="G32" s="12" t="s">
        <v>85</v>
      </c>
      <c r="H32" s="12"/>
      <c r="I32" s="14">
        <v>45532</v>
      </c>
      <c r="J32" s="12" t="s">
        <v>1395</v>
      </c>
    </row>
    <row r="33" spans="1:10" s="15" customFormat="1" x14ac:dyDescent="0.15">
      <c r="A33" s="11">
        <v>45561</v>
      </c>
      <c r="B33" s="12" t="s">
        <v>612</v>
      </c>
      <c r="C33" s="12" t="s">
        <v>757</v>
      </c>
      <c r="D33" s="13" t="str">
        <f>HYPERLINK("https://www.marklines.com/en/global/2335","Jaguar Land Rover, Halewood Plant")</f>
        <v>Jaguar Land Rover, Halewood Plant</v>
      </c>
      <c r="E33" s="12" t="s">
        <v>758</v>
      </c>
      <c r="F33" s="12" t="s">
        <v>13</v>
      </c>
      <c r="G33" s="12" t="s">
        <v>588</v>
      </c>
      <c r="H33" s="12"/>
      <c r="I33" s="14">
        <v>45561</v>
      </c>
      <c r="J33" s="12" t="s">
        <v>1396</v>
      </c>
    </row>
    <row r="34" spans="1:10" s="15" customFormat="1" x14ac:dyDescent="0.15">
      <c r="A34" s="11">
        <v>45561</v>
      </c>
      <c r="B34" s="12" t="s">
        <v>49</v>
      </c>
      <c r="C34" s="12" t="s">
        <v>227</v>
      </c>
      <c r="D34" s="13" t="str">
        <f>HYPERLINK("https://www.marklines.com/en/global/1711","Volkswagen Poznań Sp. z o.o., Poznań (Antoninek) Plant")</f>
        <v>Volkswagen Poznań Sp. z o.o., Poznań (Antoninek) Plant</v>
      </c>
      <c r="E34" s="12" t="s">
        <v>1397</v>
      </c>
      <c r="F34" s="12" t="s">
        <v>61</v>
      </c>
      <c r="G34" s="12" t="s">
        <v>306</v>
      </c>
      <c r="H34" s="12"/>
      <c r="I34" s="14">
        <v>45560</v>
      </c>
      <c r="J34" s="12" t="s">
        <v>1398</v>
      </c>
    </row>
    <row r="35" spans="1:10" s="15" customFormat="1" x14ac:dyDescent="0.15">
      <c r="A35" s="11">
        <v>45561</v>
      </c>
      <c r="B35" s="12" t="s">
        <v>364</v>
      </c>
      <c r="C35" s="12" t="s">
        <v>364</v>
      </c>
      <c r="D35" s="13" t="str">
        <f>HYPERLINK("https://www.marklines.com/en/global/9057","Neftekamsk Motor Plant OJSC (OAO Neftekamskij avtozavod (NefAZ))")</f>
        <v>Neftekamsk Motor Plant OJSC (OAO Neftekamskij avtozavod (NefAZ))</v>
      </c>
      <c r="E35" s="12" t="s">
        <v>368</v>
      </c>
      <c r="F35" s="12" t="s">
        <v>61</v>
      </c>
      <c r="G35" s="12" t="s">
        <v>235</v>
      </c>
      <c r="H35" s="12"/>
      <c r="I35" s="14">
        <v>45560</v>
      </c>
      <c r="J35" s="12" t="s">
        <v>1399</v>
      </c>
    </row>
    <row r="36" spans="1:10" s="15" customFormat="1" x14ac:dyDescent="0.15">
      <c r="A36" s="11">
        <v>45561</v>
      </c>
      <c r="B36" s="12" t="s">
        <v>364</v>
      </c>
      <c r="C36" s="12" t="s">
        <v>364</v>
      </c>
      <c r="D36" s="13" t="str">
        <f>HYPERLINK("https://www.marklines.com/en/global/737","Kamaz, Naberezhnye Chelny Plant")</f>
        <v>Kamaz, Naberezhnye Chelny Plant</v>
      </c>
      <c r="E36" s="12" t="s">
        <v>369</v>
      </c>
      <c r="F36" s="12" t="s">
        <v>61</v>
      </c>
      <c r="G36" s="12" t="s">
        <v>235</v>
      </c>
      <c r="H36" s="12"/>
      <c r="I36" s="14">
        <v>45560</v>
      </c>
      <c r="J36" s="12" t="s">
        <v>1399</v>
      </c>
    </row>
    <row r="37" spans="1:10" s="15" customFormat="1" x14ac:dyDescent="0.15">
      <c r="A37" s="11">
        <v>45561</v>
      </c>
      <c r="B37" s="12" t="s">
        <v>364</v>
      </c>
      <c r="C37" s="12" t="s">
        <v>364</v>
      </c>
      <c r="D37" s="13" t="str">
        <f>HYPERLINK("https://www.marklines.com/en/global/741","Trucks Vostok Rus LLC (TVR), Naberezhnye Chelny Plant (formerly OOO Daimler Kamaz Rus (DK Rus), OOO Mercedes-Benz Trucks Vostok) ")</f>
        <v xml:space="preserve">Trucks Vostok Rus LLC (TVR), Naberezhnye Chelny Plant (formerly OOO Daimler Kamaz Rus (DK Rus), OOO Mercedes-Benz Trucks Vostok) </v>
      </c>
      <c r="E37" s="12" t="s">
        <v>370</v>
      </c>
      <c r="F37" s="12" t="s">
        <v>61</v>
      </c>
      <c r="G37" s="12" t="s">
        <v>235</v>
      </c>
      <c r="H37" s="12"/>
      <c r="I37" s="14">
        <v>45560</v>
      </c>
      <c r="J37" s="12" t="s">
        <v>1399</v>
      </c>
    </row>
    <row r="38" spans="1:10" s="15" customFormat="1" x14ac:dyDescent="0.15">
      <c r="A38" s="11">
        <v>45561</v>
      </c>
      <c r="B38" s="12" t="s">
        <v>15</v>
      </c>
      <c r="C38" s="12" t="s">
        <v>15</v>
      </c>
      <c r="D38" s="13" t="str">
        <f>HYPERLINK("https://www.marklines.com/en/global/2143","Ford Cologne Electric Vehicle Center (former Ford Motor Germany, Cologne-Niehl Plant)")</f>
        <v>Ford Cologne Electric Vehicle Center (former Ford Motor Germany, Cologne-Niehl Plant)</v>
      </c>
      <c r="E38" s="12" t="s">
        <v>257</v>
      </c>
      <c r="F38" s="12" t="s">
        <v>13</v>
      </c>
      <c r="G38" s="12" t="s">
        <v>25</v>
      </c>
      <c r="H38" s="12" t="s">
        <v>1400</v>
      </c>
      <c r="I38" s="14">
        <v>45560</v>
      </c>
      <c r="J38" s="12" t="s">
        <v>1401</v>
      </c>
    </row>
    <row r="39" spans="1:10" s="15" customFormat="1" x14ac:dyDescent="0.15">
      <c r="A39" s="11">
        <v>45561</v>
      </c>
      <c r="B39" s="12" t="s">
        <v>15</v>
      </c>
      <c r="C39" s="12" t="s">
        <v>15</v>
      </c>
      <c r="D39" s="13" t="str">
        <f>HYPERLINK("https://www.marklines.com/en/global/1901","Ford Motor Spain, Valencia (Almussafes) Plant")</f>
        <v>Ford Motor Spain, Valencia (Almussafes) Plant</v>
      </c>
      <c r="E39" s="12" t="s">
        <v>91</v>
      </c>
      <c r="F39" s="12" t="s">
        <v>13</v>
      </c>
      <c r="G39" s="12" t="s">
        <v>14</v>
      </c>
      <c r="H39" s="12"/>
      <c r="I39" s="14">
        <v>45560</v>
      </c>
      <c r="J39" s="12" t="s">
        <v>1402</v>
      </c>
    </row>
    <row r="40" spans="1:10" s="15" customFormat="1" x14ac:dyDescent="0.15">
      <c r="A40" s="11">
        <v>45561</v>
      </c>
      <c r="B40" s="12" t="s">
        <v>725</v>
      </c>
      <c r="C40" s="12" t="s">
        <v>726</v>
      </c>
      <c r="D40" s="13" t="str">
        <f>HYPERLINK("https://www.marklines.com/en/global/2675","Stellantis, FCA Canada, Windsor Assembly Plant")</f>
        <v>Stellantis, FCA Canada, Windsor Assembly Plant</v>
      </c>
      <c r="E40" s="12" t="s">
        <v>727</v>
      </c>
      <c r="F40" s="12" t="s">
        <v>16</v>
      </c>
      <c r="G40" s="12" t="s">
        <v>241</v>
      </c>
      <c r="H40" s="12"/>
      <c r="I40" s="14">
        <v>45560</v>
      </c>
      <c r="J40" s="12" t="s">
        <v>1403</v>
      </c>
    </row>
    <row r="41" spans="1:10" s="15" customFormat="1" x14ac:dyDescent="0.15">
      <c r="A41" s="11">
        <v>45561</v>
      </c>
      <c r="B41" s="12" t="s">
        <v>52</v>
      </c>
      <c r="C41" s="12" t="s">
        <v>322</v>
      </c>
      <c r="D41" s="13" t="str">
        <f>HYPERLINK("https://www.marklines.com/en/global/1017","Volvo Car Manufacturing Malaysia Sdn. Bhd., Shah Alam Plant (former Swedish Motor Assemblies Sdn Bhd)")</f>
        <v>Volvo Car Manufacturing Malaysia Sdn. Bhd., Shah Alam Plant (former Swedish Motor Assemblies Sdn Bhd)</v>
      </c>
      <c r="E41" s="12" t="s">
        <v>886</v>
      </c>
      <c r="F41" s="12" t="s">
        <v>60</v>
      </c>
      <c r="G41" s="12" t="s">
        <v>532</v>
      </c>
      <c r="H41" s="12"/>
      <c r="I41" s="14">
        <v>45560</v>
      </c>
      <c r="J41" s="12" t="s">
        <v>1404</v>
      </c>
    </row>
    <row r="42" spans="1:10" s="15" customFormat="1" x14ac:dyDescent="0.15">
      <c r="A42" s="11">
        <v>45561</v>
      </c>
      <c r="B42" s="12" t="s">
        <v>11</v>
      </c>
      <c r="C42" s="12" t="s">
        <v>11</v>
      </c>
      <c r="D42" s="13" t="str">
        <f>HYPERLINK("https://www.marklines.com/en/global/1687","Stellantis, Opel Manufacturing Poland Sp. z.o.o., Gliwice Plant (Stellantis Gliwice) (Former General Motors Mfg. Poland Sp. zo.o., Gliwice Plant)")</f>
        <v>Stellantis, Opel Manufacturing Poland Sp. z.o.o., Gliwice Plant (Stellantis Gliwice) (Former General Motors Mfg. Poland Sp. zo.o., Gliwice Plant)</v>
      </c>
      <c r="E42" s="12" t="s">
        <v>1405</v>
      </c>
      <c r="F42" s="12" t="s">
        <v>61</v>
      </c>
      <c r="G42" s="12" t="s">
        <v>306</v>
      </c>
      <c r="H42" s="12"/>
      <c r="I42" s="14">
        <v>45559</v>
      </c>
      <c r="J42" s="12" t="s">
        <v>1406</v>
      </c>
    </row>
    <row r="43" spans="1:10" s="15" customFormat="1" x14ac:dyDescent="0.15">
      <c r="A43" s="11">
        <v>45561</v>
      </c>
      <c r="B43" s="12" t="s">
        <v>11</v>
      </c>
      <c r="C43" s="12" t="s">
        <v>11</v>
      </c>
      <c r="D43" s="13" t="str">
        <f>HYPERLINK("https://www.marklines.com/en/global/2635","Stellantis, FCA US, Mt. Elliott Tool &amp; Die Plant")</f>
        <v>Stellantis, FCA US, Mt. Elliott Tool &amp; Die Plant</v>
      </c>
      <c r="E43" s="12" t="s">
        <v>1407</v>
      </c>
      <c r="F43" s="12" t="s">
        <v>16</v>
      </c>
      <c r="G43" s="12" t="s">
        <v>17</v>
      </c>
      <c r="H43" s="12" t="s">
        <v>19</v>
      </c>
      <c r="I43" s="14">
        <v>45559</v>
      </c>
      <c r="J43" s="12" t="s">
        <v>1408</v>
      </c>
    </row>
    <row r="44" spans="1:10" s="15" customFormat="1" x14ac:dyDescent="0.15">
      <c r="A44" s="11">
        <v>45561</v>
      </c>
      <c r="B44" s="12" t="s">
        <v>290</v>
      </c>
      <c r="C44" s="12" t="s">
        <v>290</v>
      </c>
      <c r="D44" s="13" t="str">
        <f>HYPERLINK("https://www.marklines.com/en/global/3977","Dongfeng Passenger Vehicle Company")</f>
        <v>Dongfeng Passenger Vehicle Company</v>
      </c>
      <c r="E44" s="12" t="s">
        <v>1182</v>
      </c>
      <c r="F44" s="12" t="s">
        <v>21</v>
      </c>
      <c r="G44" s="12" t="s">
        <v>47</v>
      </c>
      <c r="H44" s="12" t="s">
        <v>294</v>
      </c>
      <c r="I44" s="14">
        <v>45558</v>
      </c>
      <c r="J44" s="12" t="s">
        <v>1409</v>
      </c>
    </row>
    <row r="45" spans="1:10" s="15" customFormat="1" x14ac:dyDescent="0.15">
      <c r="A45" s="11">
        <v>45561</v>
      </c>
      <c r="B45" s="12" t="s">
        <v>70</v>
      </c>
      <c r="C45" s="12" t="s">
        <v>70</v>
      </c>
      <c r="D45" s="13" t="str">
        <f>HYPERLINK("https://www.marklines.com/en/global/10574","BYD Automobile Industry Co., Ltd., Jinan Branch")</f>
        <v>BYD Automobile Industry Co., Ltd., Jinan Branch</v>
      </c>
      <c r="E45" s="12" t="s">
        <v>871</v>
      </c>
      <c r="F45" s="12" t="s">
        <v>21</v>
      </c>
      <c r="G45" s="12" t="s">
        <v>47</v>
      </c>
      <c r="H45" s="12" t="s">
        <v>116</v>
      </c>
      <c r="I45" s="14">
        <v>45558</v>
      </c>
      <c r="J45" s="12" t="s">
        <v>1410</v>
      </c>
    </row>
    <row r="46" spans="1:10" s="15" customFormat="1" x14ac:dyDescent="0.15">
      <c r="A46" s="11">
        <v>45561</v>
      </c>
      <c r="B46" s="12" t="s">
        <v>70</v>
      </c>
      <c r="C46" s="12" t="s">
        <v>70</v>
      </c>
      <c r="D46" s="13" t="str">
        <f>HYPERLINK("https://www.marklines.com/en/global/4269","BYD Automobile Co., Ltd.")</f>
        <v>BYD Automobile Co., Ltd.</v>
      </c>
      <c r="E46" s="12" t="s">
        <v>869</v>
      </c>
      <c r="F46" s="12" t="s">
        <v>21</v>
      </c>
      <c r="G46" s="12" t="s">
        <v>47</v>
      </c>
      <c r="H46" s="12" t="s">
        <v>859</v>
      </c>
      <c r="I46" s="14">
        <v>45558</v>
      </c>
      <c r="J46" s="12" t="s">
        <v>1410</v>
      </c>
    </row>
    <row r="47" spans="1:10" s="15" customFormat="1" x14ac:dyDescent="0.15">
      <c r="A47" s="11">
        <v>45561</v>
      </c>
      <c r="B47" s="12" t="s">
        <v>287</v>
      </c>
      <c r="C47" s="12" t="s">
        <v>287</v>
      </c>
      <c r="D47" s="13" t="str">
        <f>HYPERLINK("https://www.marklines.com/en/global/4163","Chongqing Changan Automobile Co., Ltd.")</f>
        <v>Chongqing Changan Automobile Co., Ltd.</v>
      </c>
      <c r="E47" s="12" t="s">
        <v>542</v>
      </c>
      <c r="F47" s="12" t="s">
        <v>21</v>
      </c>
      <c r="G47" s="12" t="s">
        <v>47</v>
      </c>
      <c r="H47" s="12" t="s">
        <v>362</v>
      </c>
      <c r="I47" s="14">
        <v>45557</v>
      </c>
      <c r="J47" s="12" t="s">
        <v>1411</v>
      </c>
    </row>
    <row r="48" spans="1:10" s="15" customFormat="1" x14ac:dyDescent="0.15">
      <c r="A48" s="11">
        <v>45561</v>
      </c>
      <c r="B48" s="12" t="s">
        <v>82</v>
      </c>
      <c r="C48" s="12" t="s">
        <v>82</v>
      </c>
      <c r="D48" s="13" t="str">
        <f>HYPERLINK("https://www.marklines.com/en/global/4059","BAIC Motor Corporation Ltd. Zhuzhou Branch")</f>
        <v>BAIC Motor Corporation Ltd. Zhuzhou Branch</v>
      </c>
      <c r="E48" s="12" t="s">
        <v>1412</v>
      </c>
      <c r="F48" s="12" t="s">
        <v>21</v>
      </c>
      <c r="G48" s="12" t="s">
        <v>47</v>
      </c>
      <c r="H48" s="12" t="s">
        <v>700</v>
      </c>
      <c r="I48" s="14">
        <v>45556</v>
      </c>
      <c r="J48" s="12" t="s">
        <v>1413</v>
      </c>
    </row>
    <row r="49" spans="1:10" s="15" customFormat="1" x14ac:dyDescent="0.15">
      <c r="A49" s="11">
        <v>45561</v>
      </c>
      <c r="B49" s="12" t="s">
        <v>82</v>
      </c>
      <c r="C49" s="12" t="s">
        <v>82</v>
      </c>
      <c r="D49" s="13" t="str">
        <f>HYPERLINK("https://www.marklines.com/en/global/4111","BAIC Guangzhou Automotive Co., Ltd.")</f>
        <v>BAIC Guangzhou Automotive Co., Ltd.</v>
      </c>
      <c r="E49" s="12" t="s">
        <v>1414</v>
      </c>
      <c r="F49" s="12" t="s">
        <v>21</v>
      </c>
      <c r="G49" s="12" t="s">
        <v>47</v>
      </c>
      <c r="H49" s="12" t="s">
        <v>48</v>
      </c>
      <c r="I49" s="14">
        <v>45556</v>
      </c>
      <c r="J49" s="12" t="s">
        <v>1413</v>
      </c>
    </row>
    <row r="50" spans="1:10" s="15" customFormat="1" x14ac:dyDescent="0.15">
      <c r="A50" s="11">
        <v>45561</v>
      </c>
      <c r="B50" s="12" t="s">
        <v>11</v>
      </c>
      <c r="C50" s="12" t="s">
        <v>11</v>
      </c>
      <c r="D50" s="13" t="str">
        <f>HYPERLINK("https://www.marklines.com/en/global/2661","Stellantis, FCA US, Kokomo Transmission Plant")</f>
        <v>Stellantis, FCA US, Kokomo Transmission Plant</v>
      </c>
      <c r="E50" s="12" t="s">
        <v>1415</v>
      </c>
      <c r="F50" s="12" t="s">
        <v>16</v>
      </c>
      <c r="G50" s="12" t="s">
        <v>17</v>
      </c>
      <c r="H50" s="12" t="s">
        <v>263</v>
      </c>
      <c r="I50" s="14">
        <v>45553</v>
      </c>
      <c r="J50" s="12" t="s">
        <v>1416</v>
      </c>
    </row>
    <row r="51" spans="1:10" s="15" customFormat="1" x14ac:dyDescent="0.15">
      <c r="A51" s="11">
        <v>45561</v>
      </c>
      <c r="B51" s="12" t="s">
        <v>11</v>
      </c>
      <c r="C51" s="12" t="s">
        <v>11</v>
      </c>
      <c r="D51" s="13" t="str">
        <f>HYPERLINK("https://www.marklines.com/en/global/2662","Stellantis, FCA US, Tipton Transmission Plant")</f>
        <v>Stellantis, FCA US, Tipton Transmission Plant</v>
      </c>
      <c r="E51" s="12" t="s">
        <v>1417</v>
      </c>
      <c r="F51" s="12" t="s">
        <v>16</v>
      </c>
      <c r="G51" s="12" t="s">
        <v>17</v>
      </c>
      <c r="H51" s="12" t="s">
        <v>263</v>
      </c>
      <c r="I51" s="14">
        <v>45553</v>
      </c>
      <c r="J51" s="12" t="s">
        <v>1416</v>
      </c>
    </row>
    <row r="52" spans="1:10" s="15" customFormat="1" x14ac:dyDescent="0.15">
      <c r="A52" s="11">
        <v>45560</v>
      </c>
      <c r="B52" s="12" t="s">
        <v>80</v>
      </c>
      <c r="C52" s="12" t="s">
        <v>81</v>
      </c>
      <c r="D52" s="13" t="str">
        <f>HYPERLINK("https://www.marklines.com/en/global/729","LLC ""LADA Izhevsk"", LADA Izhevsk Automotive Plant (formerly OJSC Izh-Avto, Izhevsk Automobilny Zavod) ")</f>
        <v xml:space="preserve">LLC "LADA Izhevsk", LADA Izhevsk Automotive Plant (formerly OJSC Izh-Avto, Izhevsk Automobilny Zavod) </v>
      </c>
      <c r="E52" s="12" t="s">
        <v>880</v>
      </c>
      <c r="F52" s="12" t="s">
        <v>61</v>
      </c>
      <c r="G52" s="12" t="s">
        <v>235</v>
      </c>
      <c r="H52" s="12"/>
      <c r="I52" s="14">
        <v>45560</v>
      </c>
      <c r="J52" s="12" t="s">
        <v>1418</v>
      </c>
    </row>
    <row r="53" spans="1:10" s="15" customFormat="1" x14ac:dyDescent="0.15">
      <c r="A53" s="11">
        <v>45560</v>
      </c>
      <c r="B53" s="12" t="s">
        <v>78</v>
      </c>
      <c r="C53" s="12" t="s">
        <v>1030</v>
      </c>
      <c r="D53" s="13" t="str">
        <f>HYPERLINK("https://www.marklines.com/en/global/1388","Mitsubishi Fuso Truck Europe - Sociedade Europeia de Automóveis, S.A., Tramagal Plant")</f>
        <v>Mitsubishi Fuso Truck Europe - Sociedade Europeia de Automóveis, S.A., Tramagal Plant</v>
      </c>
      <c r="E53" s="12" t="s">
        <v>1419</v>
      </c>
      <c r="F53" s="12" t="s">
        <v>13</v>
      </c>
      <c r="G53" s="12" t="s">
        <v>50</v>
      </c>
      <c r="H53" s="12"/>
      <c r="I53" s="14">
        <v>45559</v>
      </c>
      <c r="J53" s="12" t="s">
        <v>1420</v>
      </c>
    </row>
    <row r="54" spans="1:10" s="15" customFormat="1" x14ac:dyDescent="0.15">
      <c r="A54" s="11">
        <v>45560</v>
      </c>
      <c r="B54" s="12" t="s">
        <v>290</v>
      </c>
      <c r="C54" s="12" t="s">
        <v>290</v>
      </c>
      <c r="D54" s="13" t="str">
        <f>HYPERLINK("https://www.marklines.com/en/global/3971","Dongfeng Motor Corporation ")</f>
        <v xml:space="preserve">Dongfeng Motor Corporation </v>
      </c>
      <c r="E54" s="12" t="s">
        <v>295</v>
      </c>
      <c r="F54" s="12" t="s">
        <v>21</v>
      </c>
      <c r="G54" s="12" t="s">
        <v>47</v>
      </c>
      <c r="H54" s="12" t="s">
        <v>294</v>
      </c>
      <c r="I54" s="14">
        <v>45558</v>
      </c>
      <c r="J54" s="12" t="s">
        <v>1421</v>
      </c>
    </row>
    <row r="55" spans="1:10" s="15" customFormat="1" x14ac:dyDescent="0.15">
      <c r="A55" s="11">
        <v>45560</v>
      </c>
      <c r="B55" s="12" t="s">
        <v>224</v>
      </c>
      <c r="C55" s="12" t="s">
        <v>224</v>
      </c>
      <c r="D55" s="13" t="str">
        <f>HYPERLINK("https://www.marklines.com/en/global/2541","General Motors Canada, Ingersoll Plant")</f>
        <v>General Motors Canada, Ingersoll Plant</v>
      </c>
      <c r="E55" s="12" t="s">
        <v>240</v>
      </c>
      <c r="F55" s="12" t="s">
        <v>16</v>
      </c>
      <c r="G55" s="12" t="s">
        <v>241</v>
      </c>
      <c r="H55" s="12"/>
      <c r="I55" s="14">
        <v>45557</v>
      </c>
      <c r="J55" s="12" t="s">
        <v>1422</v>
      </c>
    </row>
    <row r="56" spans="1:10" s="15" customFormat="1" x14ac:dyDescent="0.15">
      <c r="A56" s="11">
        <v>45560</v>
      </c>
      <c r="B56" s="12" t="s">
        <v>58</v>
      </c>
      <c r="C56" s="12" t="s">
        <v>455</v>
      </c>
      <c r="D56" s="13" t="str">
        <f>HYPERLINK("https://www.marklines.com/en/global/3337","China FAW Corporation Limited Weishan 1st Plant")</f>
        <v>China FAW Corporation Limited Weishan 1st Plant</v>
      </c>
      <c r="E56" s="12" t="s">
        <v>1423</v>
      </c>
      <c r="F56" s="12" t="s">
        <v>21</v>
      </c>
      <c r="G56" s="12" t="s">
        <v>47</v>
      </c>
      <c r="H56" s="12" t="s">
        <v>57</v>
      </c>
      <c r="I56" s="14">
        <v>45556</v>
      </c>
      <c r="J56" s="12" t="s">
        <v>1424</v>
      </c>
    </row>
    <row r="57" spans="1:10" s="15" customFormat="1" x14ac:dyDescent="0.15">
      <c r="A57" s="11">
        <v>45560</v>
      </c>
      <c r="B57" s="12" t="s">
        <v>70</v>
      </c>
      <c r="C57" s="12" t="s">
        <v>1108</v>
      </c>
      <c r="D57" s="13" t="str">
        <f>HYPERLINK("https://www.marklines.com/en/global/4125","BYD Automobile Industry Co., Ltd., Shenzhen Plant")</f>
        <v>BYD Automobile Industry Co., Ltd., Shenzhen Plant</v>
      </c>
      <c r="E57" s="12" t="s">
        <v>273</v>
      </c>
      <c r="F57" s="12" t="s">
        <v>21</v>
      </c>
      <c r="G57" s="12" t="s">
        <v>47</v>
      </c>
      <c r="H57" s="12" t="s">
        <v>48</v>
      </c>
      <c r="I57" s="14">
        <v>45555</v>
      </c>
      <c r="J57" s="12" t="s">
        <v>1425</v>
      </c>
    </row>
    <row r="58" spans="1:10" s="15" customFormat="1" x14ac:dyDescent="0.15">
      <c r="A58" s="11">
        <v>45560</v>
      </c>
      <c r="B58" s="12" t="s">
        <v>962</v>
      </c>
      <c r="C58" s="12" t="s">
        <v>963</v>
      </c>
      <c r="D58" s="13" t="str">
        <f>HYPERLINK("https://www.marklines.com/en/global/10444","NIO Automotive Technology (Anhui) Co., Ltd. Second Manufacturing Base Branch (formerly Anhui Jianghuai Automobile Group Corp., Ltd. New Energy Passenger Vehicle Branch Second Plant)")</f>
        <v>NIO Automotive Technology (Anhui) Co., Ltd. Second Manufacturing Base Branch (formerly Anhui Jianghuai Automobile Group Corp., Ltd. New Energy Passenger Vehicle Branch Second Plant)</v>
      </c>
      <c r="E58" s="12" t="s">
        <v>964</v>
      </c>
      <c r="F58" s="12" t="s">
        <v>21</v>
      </c>
      <c r="G58" s="12" t="s">
        <v>47</v>
      </c>
      <c r="H58" s="12" t="s">
        <v>105</v>
      </c>
      <c r="I58" s="14">
        <v>45555</v>
      </c>
      <c r="J58" s="12" t="s">
        <v>1426</v>
      </c>
    </row>
    <row r="59" spans="1:10" s="15" customFormat="1" x14ac:dyDescent="0.15">
      <c r="A59" s="11">
        <v>45560</v>
      </c>
      <c r="B59" s="12" t="s">
        <v>287</v>
      </c>
      <c r="C59" s="12" t="s">
        <v>1145</v>
      </c>
      <c r="D59" s="13" t="str">
        <f>HYPERLINK("https://www.marklines.com/en/global/3451","Chongqing Changan Automobile Co., Ltd. Beijing Changan Automobile Co., Ltd.")</f>
        <v>Chongqing Changan Automobile Co., Ltd. Beijing Changan Automobile Co., Ltd.</v>
      </c>
      <c r="E59" s="12" t="s">
        <v>1147</v>
      </c>
      <c r="F59" s="12" t="s">
        <v>21</v>
      </c>
      <c r="G59" s="12" t="s">
        <v>47</v>
      </c>
      <c r="H59" s="12" t="s">
        <v>56</v>
      </c>
      <c r="I59" s="14">
        <v>45555</v>
      </c>
      <c r="J59" s="12" t="s">
        <v>1427</v>
      </c>
    </row>
    <row r="60" spans="1:10" s="15" customFormat="1" x14ac:dyDescent="0.15">
      <c r="A60" s="11">
        <v>45560</v>
      </c>
      <c r="B60" s="12" t="s">
        <v>287</v>
      </c>
      <c r="C60" s="12" t="s">
        <v>1145</v>
      </c>
      <c r="D60" s="13" t="str">
        <f>HYPERLINK("https://www.marklines.com/en/global/3741","Nanjing Changan Automobile Co., Ltd.")</f>
        <v>Nanjing Changan Automobile Co., Ltd.</v>
      </c>
      <c r="E60" s="12" t="s">
        <v>1148</v>
      </c>
      <c r="F60" s="12" t="s">
        <v>21</v>
      </c>
      <c r="G60" s="12" t="s">
        <v>47</v>
      </c>
      <c r="H60" s="12" t="s">
        <v>354</v>
      </c>
      <c r="I60" s="14">
        <v>45555</v>
      </c>
      <c r="J60" s="12" t="s">
        <v>1427</v>
      </c>
    </row>
    <row r="61" spans="1:10" s="15" customFormat="1" x14ac:dyDescent="0.15">
      <c r="A61" s="11">
        <v>45560</v>
      </c>
      <c r="B61" s="12" t="s">
        <v>287</v>
      </c>
      <c r="C61" s="12" t="s">
        <v>1145</v>
      </c>
      <c r="D61" s="13" t="str">
        <f>HYPERLINK("https://www.marklines.com/en/global/4163","Chongqing Changan Automobile Co., Ltd.")</f>
        <v>Chongqing Changan Automobile Co., Ltd.</v>
      </c>
      <c r="E61" s="12" t="s">
        <v>542</v>
      </c>
      <c r="F61" s="12" t="s">
        <v>21</v>
      </c>
      <c r="G61" s="12" t="s">
        <v>47</v>
      </c>
      <c r="H61" s="12" t="s">
        <v>362</v>
      </c>
      <c r="I61" s="14">
        <v>45555</v>
      </c>
      <c r="J61" s="12" t="s">
        <v>1427</v>
      </c>
    </row>
    <row r="62" spans="1:10" s="15" customFormat="1" x14ac:dyDescent="0.15">
      <c r="A62" s="11">
        <v>45560</v>
      </c>
      <c r="B62" s="12" t="s">
        <v>52</v>
      </c>
      <c r="C62" s="12" t="s">
        <v>995</v>
      </c>
      <c r="D62" s="13" t="str">
        <f>HYPERLINK("https://www.marklines.com/en/global/10391","Zhejiang Geely Automobile Co., Ltd. Meishan Plant")</f>
        <v>Zhejiang Geely Automobile Co., Ltd. Meishan Plant</v>
      </c>
      <c r="E62" s="12" t="s">
        <v>957</v>
      </c>
      <c r="F62" s="12" t="s">
        <v>21</v>
      </c>
      <c r="G62" s="12" t="s">
        <v>47</v>
      </c>
      <c r="H62" s="12" t="s">
        <v>54</v>
      </c>
      <c r="I62" s="14">
        <v>45555</v>
      </c>
      <c r="J62" s="12" t="s">
        <v>1428</v>
      </c>
    </row>
    <row r="63" spans="1:10" s="15" customFormat="1" x14ac:dyDescent="0.15">
      <c r="A63" s="11">
        <v>45560</v>
      </c>
      <c r="B63" s="12" t="s">
        <v>59</v>
      </c>
      <c r="C63" s="12" t="s">
        <v>59</v>
      </c>
      <c r="D63" s="13" t="str">
        <f>HYPERLINK("https://www.marklines.com/en/global/4073","Guangzhou Automobile Group Co., Ltd. (GAC)")</f>
        <v>Guangzhou Automobile Group Co., Ltd. (GAC)</v>
      </c>
      <c r="E63" s="12" t="s">
        <v>97</v>
      </c>
      <c r="F63" s="12" t="s">
        <v>21</v>
      </c>
      <c r="G63" s="12" t="s">
        <v>47</v>
      </c>
      <c r="H63" s="12" t="s">
        <v>48</v>
      </c>
      <c r="I63" s="14">
        <v>45554</v>
      </c>
      <c r="J63" s="12" t="s">
        <v>1429</v>
      </c>
    </row>
    <row r="64" spans="1:10" s="15" customFormat="1" x14ac:dyDescent="0.15">
      <c r="A64" s="11">
        <v>45560</v>
      </c>
      <c r="B64" s="12" t="s">
        <v>11</v>
      </c>
      <c r="C64" s="12" t="s">
        <v>11</v>
      </c>
      <c r="D64" s="13" t="str">
        <f>HYPERLINK("https://www.marklines.com/en/global/1327","Stellantis, FCA Italy, Mirafiori (Turin) Plant")</f>
        <v>Stellantis, FCA Italy, Mirafiori (Turin) Plant</v>
      </c>
      <c r="E64" s="12" t="s">
        <v>218</v>
      </c>
      <c r="F64" s="12" t="s">
        <v>13</v>
      </c>
      <c r="G64" s="12" t="s">
        <v>216</v>
      </c>
      <c r="H64" s="12"/>
      <c r="I64" s="14">
        <v>45553</v>
      </c>
      <c r="J64" s="12" t="s">
        <v>1430</v>
      </c>
    </row>
    <row r="65" spans="1:10" s="15" customFormat="1" x14ac:dyDescent="0.15">
      <c r="A65" s="11">
        <v>45560</v>
      </c>
      <c r="B65" s="12" t="s">
        <v>11</v>
      </c>
      <c r="C65" s="12" t="s">
        <v>11</v>
      </c>
      <c r="D65" s="13" t="str">
        <f>HYPERLINK("https://www.marklines.com/en/global/2675","Stellantis, FCA Canada, Windsor Assembly Plant")</f>
        <v>Stellantis, FCA Canada, Windsor Assembly Plant</v>
      </c>
      <c r="E65" s="12" t="s">
        <v>727</v>
      </c>
      <c r="F65" s="12" t="s">
        <v>16</v>
      </c>
      <c r="G65" s="12" t="s">
        <v>241</v>
      </c>
      <c r="H65" s="12"/>
      <c r="I65" s="14">
        <v>45553</v>
      </c>
      <c r="J65" s="12" t="s">
        <v>1430</v>
      </c>
    </row>
    <row r="66" spans="1:10" s="15" customFormat="1" x14ac:dyDescent="0.15">
      <c r="A66" s="11">
        <v>45560</v>
      </c>
      <c r="B66" s="12" t="s">
        <v>11</v>
      </c>
      <c r="C66" s="12" t="s">
        <v>11</v>
      </c>
      <c r="D66" s="13" t="str">
        <f>HYPERLINK("https://www.marklines.com/en/global/2641","Stellantis, FCA US, Sterling Heights Assembly Plant")</f>
        <v>Stellantis, FCA US, Sterling Heights Assembly Plant</v>
      </c>
      <c r="E66" s="12" t="s">
        <v>907</v>
      </c>
      <c r="F66" s="12" t="s">
        <v>16</v>
      </c>
      <c r="G66" s="12" t="s">
        <v>17</v>
      </c>
      <c r="H66" s="12" t="s">
        <v>19</v>
      </c>
      <c r="I66" s="14">
        <v>45553</v>
      </c>
      <c r="J66" s="12" t="s">
        <v>1430</v>
      </c>
    </row>
    <row r="67" spans="1:10" s="15" customFormat="1" x14ac:dyDescent="0.15">
      <c r="A67" s="11">
        <v>45559</v>
      </c>
      <c r="B67" s="12" t="s">
        <v>11</v>
      </c>
      <c r="C67" s="12" t="s">
        <v>11</v>
      </c>
      <c r="D67" s="13" t="str">
        <f>HYPERLINK("https://www.marklines.com/en/global/1939","Stellantis, Peugeot Citroen Automoviles Espana S.A., Vigo Plant")</f>
        <v>Stellantis, Peugeot Citroen Automoviles Espana S.A., Vigo Plant</v>
      </c>
      <c r="E67" s="12" t="s">
        <v>12</v>
      </c>
      <c r="F67" s="12" t="s">
        <v>13</v>
      </c>
      <c r="G67" s="12" t="s">
        <v>14</v>
      </c>
      <c r="H67" s="12"/>
      <c r="I67" s="14">
        <v>45558</v>
      </c>
      <c r="J67" s="12" t="s">
        <v>1431</v>
      </c>
    </row>
    <row r="68" spans="1:10" s="15" customFormat="1" x14ac:dyDescent="0.15">
      <c r="A68" s="11">
        <v>45558</v>
      </c>
      <c r="B68" s="12" t="s">
        <v>224</v>
      </c>
      <c r="C68" s="12" t="s">
        <v>224</v>
      </c>
      <c r="D68" s="13" t="str">
        <f>HYPERLINK("https://www.marklines.com/en/global/8889","General Motors Egypt S. A. E., Cairo Plant")</f>
        <v>General Motors Egypt S. A. E., Cairo Plant</v>
      </c>
      <c r="E68" s="12" t="s">
        <v>939</v>
      </c>
      <c r="F68" s="12" t="s">
        <v>114</v>
      </c>
      <c r="G68" s="12" t="s">
        <v>940</v>
      </c>
      <c r="H68" s="12"/>
      <c r="I68" s="14">
        <v>45557</v>
      </c>
      <c r="J68" s="12" t="s">
        <v>1432</v>
      </c>
    </row>
    <row r="69" spans="1:10" s="15" customFormat="1" x14ac:dyDescent="0.15">
      <c r="A69" s="11">
        <v>45558</v>
      </c>
      <c r="B69" s="12" t="s">
        <v>38</v>
      </c>
      <c r="C69" s="12" t="s">
        <v>38</v>
      </c>
      <c r="D69" s="13" t="str">
        <f>HYPERLINK("https://www.marklines.com/en/global/123","INEOS Automotive S.A.S., Hambach plant (formerly smart France S.A.S.)")</f>
        <v>INEOS Automotive S.A.S., Hambach plant (formerly smart France S.A.S.)</v>
      </c>
      <c r="E69" s="12" t="s">
        <v>1433</v>
      </c>
      <c r="F69" s="12" t="s">
        <v>13</v>
      </c>
      <c r="G69" s="12" t="s">
        <v>29</v>
      </c>
      <c r="H69" s="12"/>
      <c r="I69" s="14">
        <v>45555</v>
      </c>
      <c r="J69" s="12" t="s">
        <v>1434</v>
      </c>
    </row>
    <row r="70" spans="1:10" s="15" customFormat="1" x14ac:dyDescent="0.15">
      <c r="A70" s="11">
        <v>45558</v>
      </c>
      <c r="B70" s="12" t="s">
        <v>46</v>
      </c>
      <c r="C70" s="12" t="s">
        <v>46</v>
      </c>
      <c r="D70" s="13" t="str">
        <f>HYPERLINK("https://www.marklines.com/en/global/9485","Guangzhou Xiaopeng Motors Technology Co., Ltd. ")</f>
        <v xml:space="preserve">Guangzhou Xiaopeng Motors Technology Co., Ltd. </v>
      </c>
      <c r="E70" s="12" t="s">
        <v>350</v>
      </c>
      <c r="F70" s="12" t="s">
        <v>21</v>
      </c>
      <c r="G70" s="12" t="s">
        <v>47</v>
      </c>
      <c r="H70" s="12" t="s">
        <v>48</v>
      </c>
      <c r="I70" s="14">
        <v>45554</v>
      </c>
      <c r="J70" s="12" t="s">
        <v>1435</v>
      </c>
    </row>
    <row r="71" spans="1:10" s="15" customFormat="1" x14ac:dyDescent="0.15">
      <c r="A71" s="11">
        <v>45558</v>
      </c>
      <c r="B71" s="12" t="s">
        <v>1436</v>
      </c>
      <c r="C71" s="12" t="s">
        <v>1436</v>
      </c>
      <c r="D71" s="13" t="str">
        <f>HYPERLINK("https://www.marklines.com/en/global/3931","South East (Fujian) Motor Co., Ltd. (SEM)")</f>
        <v>South East (Fujian) Motor Co., Ltd. (SEM)</v>
      </c>
      <c r="E71" s="12" t="s">
        <v>1437</v>
      </c>
      <c r="F71" s="12" t="s">
        <v>21</v>
      </c>
      <c r="G71" s="12" t="s">
        <v>47</v>
      </c>
      <c r="H71" s="12" t="s">
        <v>832</v>
      </c>
      <c r="I71" s="14">
        <v>45553</v>
      </c>
      <c r="J71" s="12" t="s">
        <v>1438</v>
      </c>
    </row>
    <row r="72" spans="1:10" s="15" customFormat="1" x14ac:dyDescent="0.15">
      <c r="A72" s="11">
        <v>45558</v>
      </c>
      <c r="B72" s="12" t="s">
        <v>1100</v>
      </c>
      <c r="C72" s="12" t="s">
        <v>1100</v>
      </c>
      <c r="D72" s="13" t="str">
        <f>HYPERLINK("https://www.marklines.com/en/global/3931","South East (Fujian) Motor Co., Ltd. (SEM)")</f>
        <v>South East (Fujian) Motor Co., Ltd. (SEM)</v>
      </c>
      <c r="E72" s="12" t="s">
        <v>1437</v>
      </c>
      <c r="F72" s="12" t="s">
        <v>21</v>
      </c>
      <c r="G72" s="12" t="s">
        <v>47</v>
      </c>
      <c r="H72" s="12" t="s">
        <v>832</v>
      </c>
      <c r="I72" s="14">
        <v>45553</v>
      </c>
      <c r="J72" s="12" t="s">
        <v>1438</v>
      </c>
    </row>
    <row r="73" spans="1:10" s="15" customFormat="1" x14ac:dyDescent="0.15">
      <c r="A73" s="11">
        <v>45558</v>
      </c>
      <c r="B73" s="12" t="s">
        <v>287</v>
      </c>
      <c r="C73" s="12" t="s">
        <v>287</v>
      </c>
      <c r="D73" s="13" t="str">
        <f>HYPERLINK("https://www.marklines.com/en/global/4163","Chongqing Changan Automobile Co., Ltd.")</f>
        <v>Chongqing Changan Automobile Co., Ltd.</v>
      </c>
      <c r="E73" s="12" t="s">
        <v>542</v>
      </c>
      <c r="F73" s="12" t="s">
        <v>21</v>
      </c>
      <c r="G73" s="12" t="s">
        <v>47</v>
      </c>
      <c r="H73" s="12" t="s">
        <v>362</v>
      </c>
      <c r="I73" s="14">
        <v>45553</v>
      </c>
      <c r="J73" s="12" t="s">
        <v>1439</v>
      </c>
    </row>
    <row r="74" spans="1:10" s="15" customFormat="1" x14ac:dyDescent="0.15">
      <c r="A74" s="11">
        <v>45558</v>
      </c>
      <c r="B74" s="12" t="s">
        <v>11</v>
      </c>
      <c r="C74" s="12" t="s">
        <v>11</v>
      </c>
      <c r="D74" s="13" t="str">
        <f>HYPERLINK("https://www.marklines.com/en/global/1931","Stellantis, Opel Espana de Automoviles, S.A., Zaragoza (Figueruelas) Plant")</f>
        <v>Stellantis, Opel Espana de Automoviles, S.A., Zaragoza (Figueruelas) Plant</v>
      </c>
      <c r="E74" s="12" t="s">
        <v>977</v>
      </c>
      <c r="F74" s="12" t="s">
        <v>13</v>
      </c>
      <c r="G74" s="12" t="s">
        <v>14</v>
      </c>
      <c r="H74" s="12"/>
      <c r="I74" s="14">
        <v>45552</v>
      </c>
      <c r="J74" s="12" t="s">
        <v>1440</v>
      </c>
    </row>
    <row r="75" spans="1:10" s="15" customFormat="1" x14ac:dyDescent="0.15">
      <c r="A75" s="11">
        <v>45558</v>
      </c>
      <c r="B75" s="12" t="s">
        <v>11</v>
      </c>
      <c r="C75" s="12" t="s">
        <v>11</v>
      </c>
      <c r="D75" s="13" t="str">
        <f>HYPERLINK("https://www.marklines.com/en/global/1935","Stellantis, Peugeot Citroen Automoviles Espana S.A., Villaverde (Madrid) Plant")</f>
        <v>Stellantis, Peugeot Citroen Automoviles Espana S.A., Villaverde (Madrid) Plant</v>
      </c>
      <c r="E75" s="12" t="s">
        <v>911</v>
      </c>
      <c r="F75" s="12" t="s">
        <v>13</v>
      </c>
      <c r="G75" s="12" t="s">
        <v>14</v>
      </c>
      <c r="H75" s="12"/>
      <c r="I75" s="14">
        <v>45552</v>
      </c>
      <c r="J75" s="12" t="s">
        <v>1440</v>
      </c>
    </row>
    <row r="76" spans="1:10" s="15" customFormat="1" x14ac:dyDescent="0.15">
      <c r="A76" s="11">
        <v>45558</v>
      </c>
      <c r="B76" s="12" t="s">
        <v>11</v>
      </c>
      <c r="C76" s="12" t="s">
        <v>11</v>
      </c>
      <c r="D76" s="13" t="str">
        <f>HYPERLINK("https://www.marklines.com/en/global/1687","Stellantis, Opel Manufacturing Poland Sp. z.o.o., Gliwice Plant (Stellantis Gliwice) (Former General Motors Mfg. Poland Sp. zo.o., Gliwice Plant)")</f>
        <v>Stellantis, Opel Manufacturing Poland Sp. z.o.o., Gliwice Plant (Stellantis Gliwice) (Former General Motors Mfg. Poland Sp. zo.o., Gliwice Plant)</v>
      </c>
      <c r="E76" s="12" t="s">
        <v>1405</v>
      </c>
      <c r="F76" s="12" t="s">
        <v>61</v>
      </c>
      <c r="G76" s="12" t="s">
        <v>306</v>
      </c>
      <c r="H76" s="12"/>
      <c r="I76" s="14">
        <v>45552</v>
      </c>
      <c r="J76" s="12" t="s">
        <v>1441</v>
      </c>
    </row>
    <row r="77" spans="1:10" s="15" customFormat="1" x14ac:dyDescent="0.15">
      <c r="A77" s="11">
        <v>45558</v>
      </c>
      <c r="B77" s="12" t="s">
        <v>58</v>
      </c>
      <c r="C77" s="12" t="s">
        <v>58</v>
      </c>
      <c r="D77" s="13" t="str">
        <f>HYPERLINK("https://www.marklines.com/en/global/3335","FAW Jiefang Group Co., Ltd  ( Formerly FAW Car Co., Ltd. )")</f>
        <v>FAW Jiefang Group Co., Ltd  ( Formerly FAW Car Co., Ltd. )</v>
      </c>
      <c r="E77" s="12" t="s">
        <v>183</v>
      </c>
      <c r="F77" s="12" t="s">
        <v>21</v>
      </c>
      <c r="G77" s="12" t="s">
        <v>47</v>
      </c>
      <c r="H77" s="12" t="s">
        <v>57</v>
      </c>
      <c r="I77" s="14">
        <v>45551</v>
      </c>
      <c r="J77" s="12" t="s">
        <v>1442</v>
      </c>
    </row>
    <row r="78" spans="1:10" s="15" customFormat="1" x14ac:dyDescent="0.15">
      <c r="A78" s="11">
        <v>45558</v>
      </c>
      <c r="B78" s="12" t="s">
        <v>103</v>
      </c>
      <c r="C78" s="12" t="s">
        <v>103</v>
      </c>
      <c r="D78" s="13" t="str">
        <f>HYPERLINK("https://www.marklines.com/en/global/3879","Chery Automobile Co., Ltd. ")</f>
        <v xml:space="preserve">Chery Automobile Co., Ltd. </v>
      </c>
      <c r="E78" s="12" t="s">
        <v>112</v>
      </c>
      <c r="F78" s="12" t="s">
        <v>21</v>
      </c>
      <c r="G78" s="12" t="s">
        <v>47</v>
      </c>
      <c r="H78" s="12" t="s">
        <v>105</v>
      </c>
      <c r="I78" s="14">
        <v>45549</v>
      </c>
      <c r="J78" s="12" t="s">
        <v>1443</v>
      </c>
    </row>
    <row r="79" spans="1:10" s="15" customFormat="1" x14ac:dyDescent="0.15">
      <c r="A79" s="11">
        <v>45558</v>
      </c>
      <c r="B79" s="12" t="s">
        <v>52</v>
      </c>
      <c r="C79" s="12" t="s">
        <v>52</v>
      </c>
      <c r="D79" s="13" t="str">
        <f>HYPERLINK("https://www.marklines.com/en/global/4055","Zhejiang Haoqing Automotive Manufacturing Co.,Ltd. Xiangtan Branch (formerly Hunan Geely Automobile Components Company Limited)")</f>
        <v>Zhejiang Haoqing Automotive Manufacturing Co.,Ltd. Xiangtan Branch (formerly Hunan Geely Automobile Components Company Limited)</v>
      </c>
      <c r="E79" s="12" t="s">
        <v>1444</v>
      </c>
      <c r="F79" s="12" t="s">
        <v>21</v>
      </c>
      <c r="G79" s="12" t="s">
        <v>47</v>
      </c>
      <c r="H79" s="12" t="s">
        <v>700</v>
      </c>
      <c r="I79" s="14">
        <v>45549</v>
      </c>
      <c r="J79" s="12" t="s">
        <v>1445</v>
      </c>
    </row>
    <row r="80" spans="1:10" s="15" customFormat="1" x14ac:dyDescent="0.15">
      <c r="A80" s="11">
        <v>45558</v>
      </c>
      <c r="B80" s="12" t="s">
        <v>38</v>
      </c>
      <c r="C80" s="12" t="s">
        <v>1446</v>
      </c>
      <c r="D80" s="13" t="str">
        <f>HYPERLINK("https://www.marklines.com/en/global/4057","CRRC Electric Vehicle Co., Ltd.")</f>
        <v>CRRC Electric Vehicle Co., Ltd.</v>
      </c>
      <c r="E80" s="12" t="s">
        <v>1447</v>
      </c>
      <c r="F80" s="12" t="s">
        <v>21</v>
      </c>
      <c r="G80" s="12" t="s">
        <v>47</v>
      </c>
      <c r="H80" s="12" t="s">
        <v>700</v>
      </c>
      <c r="I80" s="14">
        <v>45548</v>
      </c>
      <c r="J80" s="12" t="s">
        <v>1448</v>
      </c>
    </row>
    <row r="81" spans="1:10" s="15" customFormat="1" x14ac:dyDescent="0.15">
      <c r="A81" s="11">
        <v>45558</v>
      </c>
      <c r="B81" s="12" t="s">
        <v>381</v>
      </c>
      <c r="C81" s="12" t="s">
        <v>381</v>
      </c>
      <c r="D81" s="13" t="str">
        <f>HYPERLINK("https://www.marklines.com/en/global/9578","Seres Group Co., Ltd. (formerly Chongqing Sokon Industrial Group Co., Ltd.)")</f>
        <v>Seres Group Co., Ltd. (formerly Chongqing Sokon Industrial Group Co., Ltd.)</v>
      </c>
      <c r="E81" s="12" t="s">
        <v>384</v>
      </c>
      <c r="F81" s="12" t="s">
        <v>21</v>
      </c>
      <c r="G81" s="12" t="s">
        <v>47</v>
      </c>
      <c r="H81" s="12" t="s">
        <v>362</v>
      </c>
      <c r="I81" s="14">
        <v>45546</v>
      </c>
      <c r="J81" s="12" t="s">
        <v>1449</v>
      </c>
    </row>
    <row r="82" spans="1:10" s="15" customFormat="1" x14ac:dyDescent="0.15">
      <c r="A82" s="11">
        <v>45558</v>
      </c>
      <c r="B82" s="12" t="s">
        <v>109</v>
      </c>
      <c r="C82" s="12" t="s">
        <v>110</v>
      </c>
      <c r="D82" s="13" t="str">
        <f>HYPERLINK("https://www.marklines.com/en/global/10712","Neta Zhihe New Energy Vehicle Technology (Shanghai) Co., Ltd.")</f>
        <v>Neta Zhihe New Energy Vehicle Technology (Shanghai) Co., Ltd.</v>
      </c>
      <c r="E82" s="12" t="s">
        <v>111</v>
      </c>
      <c r="F82" s="12" t="s">
        <v>21</v>
      </c>
      <c r="G82" s="12" t="s">
        <v>47</v>
      </c>
      <c r="H82" s="12" t="s">
        <v>94</v>
      </c>
      <c r="I82" s="14">
        <v>45546</v>
      </c>
      <c r="J82" s="12" t="s">
        <v>1450</v>
      </c>
    </row>
    <row r="83" spans="1:10" s="15" customFormat="1" x14ac:dyDescent="0.15">
      <c r="A83" s="11">
        <v>45556</v>
      </c>
      <c r="B83" s="12" t="s">
        <v>224</v>
      </c>
      <c r="C83" s="12" t="s">
        <v>224</v>
      </c>
      <c r="D83" s="13" t="str">
        <f>HYPERLINK("https://www.marklines.com/en/global/2849","General Motors Brazil, Gravatai Plant")</f>
        <v>General Motors Brazil, Gravatai Plant</v>
      </c>
      <c r="E83" s="12" t="s">
        <v>1451</v>
      </c>
      <c r="F83" s="12" t="s">
        <v>45</v>
      </c>
      <c r="G83" s="12" t="s">
        <v>232</v>
      </c>
      <c r="H83" s="12"/>
      <c r="I83" s="14">
        <v>45555</v>
      </c>
      <c r="J83" s="12" t="s">
        <v>1452</v>
      </c>
    </row>
    <row r="84" spans="1:10" s="15" customFormat="1" x14ac:dyDescent="0.15">
      <c r="A84" s="11">
        <v>45556</v>
      </c>
      <c r="B84" s="12" t="s">
        <v>49</v>
      </c>
      <c r="C84" s="12" t="s">
        <v>1135</v>
      </c>
      <c r="D84" s="13" t="str">
        <f>HYPERLINK("https://www.marklines.com/en/global/1777","Audi Hungaria Zrt., Győr Plant (formerly Audi Hungaria Motor Kft.)")</f>
        <v>Audi Hungaria Zrt., Győr Plant (formerly Audi Hungaria Motor Kft.)</v>
      </c>
      <c r="E84" s="12" t="s">
        <v>99</v>
      </c>
      <c r="F84" s="12" t="s">
        <v>61</v>
      </c>
      <c r="G84" s="12" t="s">
        <v>96</v>
      </c>
      <c r="H84" s="12"/>
      <c r="I84" s="14">
        <v>45555</v>
      </c>
      <c r="J84" s="12" t="s">
        <v>1453</v>
      </c>
    </row>
    <row r="85" spans="1:10" s="15" customFormat="1" x14ac:dyDescent="0.15">
      <c r="A85" s="11">
        <v>45556</v>
      </c>
      <c r="B85" s="12" t="s">
        <v>224</v>
      </c>
      <c r="C85" s="12" t="s">
        <v>224</v>
      </c>
      <c r="D85" s="13" t="str">
        <f>HYPERLINK("https://www.marklines.com/en/global/2847","General Motors Brazil, Sao Jose dos Campos Plant")</f>
        <v>General Motors Brazil, Sao Jose dos Campos Plant</v>
      </c>
      <c r="E85" s="12" t="s">
        <v>637</v>
      </c>
      <c r="F85" s="12" t="s">
        <v>45</v>
      </c>
      <c r="G85" s="12" t="s">
        <v>232</v>
      </c>
      <c r="H85" s="12"/>
      <c r="I85" s="14">
        <v>45554</v>
      </c>
      <c r="J85" s="12" t="s">
        <v>1454</v>
      </c>
    </row>
    <row r="86" spans="1:10" s="15" customFormat="1" x14ac:dyDescent="0.15">
      <c r="A86" s="11">
        <v>45556</v>
      </c>
      <c r="B86" s="12" t="s">
        <v>224</v>
      </c>
      <c r="C86" s="12" t="s">
        <v>414</v>
      </c>
      <c r="D86" s="13" t="str">
        <f>HYPERLINK("https://www.marklines.com/en/global/2519","General Motors, Fairfax Assembly &amp; Stamping Plant")</f>
        <v>General Motors, Fairfax Assembly &amp; Stamping Plant</v>
      </c>
      <c r="E86" s="12" t="s">
        <v>566</v>
      </c>
      <c r="F86" s="12" t="s">
        <v>16</v>
      </c>
      <c r="G86" s="12" t="s">
        <v>17</v>
      </c>
      <c r="H86" s="12" t="s">
        <v>567</v>
      </c>
      <c r="I86" s="14">
        <v>45554</v>
      </c>
      <c r="J86" s="12" t="s">
        <v>1455</v>
      </c>
    </row>
    <row r="87" spans="1:10" s="15" customFormat="1" x14ac:dyDescent="0.15">
      <c r="A87" s="11">
        <v>45556</v>
      </c>
      <c r="B87" s="12" t="s">
        <v>224</v>
      </c>
      <c r="C87" s="12" t="s">
        <v>737</v>
      </c>
      <c r="D87" s="13" t="str">
        <f>HYPERLINK("https://www.marklines.com/en/global/2519","General Motors, Fairfax Assembly &amp; Stamping Plant")</f>
        <v>General Motors, Fairfax Assembly &amp; Stamping Plant</v>
      </c>
      <c r="E87" s="12" t="s">
        <v>566</v>
      </c>
      <c r="F87" s="12" t="s">
        <v>16</v>
      </c>
      <c r="G87" s="12" t="s">
        <v>17</v>
      </c>
      <c r="H87" s="12" t="s">
        <v>567</v>
      </c>
      <c r="I87" s="14">
        <v>45554</v>
      </c>
      <c r="J87" s="12" t="s">
        <v>1455</v>
      </c>
    </row>
    <row r="88" spans="1:10" s="15" customFormat="1" x14ac:dyDescent="0.15">
      <c r="A88" s="11">
        <v>45556</v>
      </c>
      <c r="B88" s="12" t="s">
        <v>224</v>
      </c>
      <c r="C88" s="12" t="s">
        <v>224</v>
      </c>
      <c r="D88" s="13" t="str">
        <f>HYPERLINK("https://www.marklines.com/en/global/2519","General Motors, Fairfax Assembly &amp; Stamping Plant")</f>
        <v>General Motors, Fairfax Assembly &amp; Stamping Plant</v>
      </c>
      <c r="E88" s="12" t="s">
        <v>566</v>
      </c>
      <c r="F88" s="12" t="s">
        <v>16</v>
      </c>
      <c r="G88" s="12" t="s">
        <v>17</v>
      </c>
      <c r="H88" s="12" t="s">
        <v>567</v>
      </c>
      <c r="I88" s="14">
        <v>45554</v>
      </c>
      <c r="J88" s="12" t="s">
        <v>1455</v>
      </c>
    </row>
    <row r="89" spans="1:10" s="15" customFormat="1" x14ac:dyDescent="0.15">
      <c r="A89" s="11">
        <v>45555</v>
      </c>
      <c r="B89" s="12" t="s">
        <v>11</v>
      </c>
      <c r="C89" s="12" t="s">
        <v>11</v>
      </c>
      <c r="D89" s="13" t="str">
        <f>HYPERLINK("https://www.marklines.com/en/global/157","Stellantis, PSA, Sept-Fons Plant")</f>
        <v>Stellantis, PSA, Sept-Fons Plant</v>
      </c>
      <c r="E89" s="12" t="s">
        <v>1310</v>
      </c>
      <c r="F89" s="12" t="s">
        <v>13</v>
      </c>
      <c r="G89" s="12" t="s">
        <v>29</v>
      </c>
      <c r="H89" s="12"/>
      <c r="I89" s="14">
        <v>45554</v>
      </c>
      <c r="J89" s="12" t="s">
        <v>1311</v>
      </c>
    </row>
    <row r="90" spans="1:10" s="15" customFormat="1" x14ac:dyDescent="0.15">
      <c r="A90" s="11">
        <v>45555</v>
      </c>
      <c r="B90" s="12" t="s">
        <v>52</v>
      </c>
      <c r="C90" s="12" t="s">
        <v>378</v>
      </c>
      <c r="D90" s="13" t="str">
        <f>HYPERLINK("https://www.marklines.com/en/global/10788","Hunan Farizon New Energy Commercial Vehicle Co., Ltd.")</f>
        <v>Hunan Farizon New Energy Commercial Vehicle Co., Ltd.</v>
      </c>
      <c r="E90" s="12" t="s">
        <v>1312</v>
      </c>
      <c r="F90" s="12" t="s">
        <v>21</v>
      </c>
      <c r="G90" s="12" t="s">
        <v>47</v>
      </c>
      <c r="H90" s="12" t="s">
        <v>700</v>
      </c>
      <c r="I90" s="14">
        <v>45554</v>
      </c>
      <c r="J90" s="12" t="s">
        <v>1313</v>
      </c>
    </row>
    <row r="91" spans="1:10" s="15" customFormat="1" x14ac:dyDescent="0.15">
      <c r="A91" s="11">
        <v>45555</v>
      </c>
      <c r="B91" s="12" t="s">
        <v>38</v>
      </c>
      <c r="C91" s="12" t="s">
        <v>38</v>
      </c>
      <c r="D91" s="13" t="str">
        <f>HYPERLINK("https://www.marklines.com/en/global/1925","Barcelona Decarbonisation Hub (D-HUB) (former Nissan Motor Iberica, Barcelona Plant)")</f>
        <v>Barcelona Decarbonisation Hub (D-HUB) (former Nissan Motor Iberica, Barcelona Plant)</v>
      </c>
      <c r="E91" s="12" t="s">
        <v>507</v>
      </c>
      <c r="F91" s="12" t="s">
        <v>13</v>
      </c>
      <c r="G91" s="12" t="s">
        <v>14</v>
      </c>
      <c r="H91" s="12"/>
      <c r="I91" s="14">
        <v>45554</v>
      </c>
      <c r="J91" s="12" t="s">
        <v>1314</v>
      </c>
    </row>
    <row r="92" spans="1:10" s="15" customFormat="1" x14ac:dyDescent="0.15">
      <c r="A92" s="11">
        <v>45555</v>
      </c>
      <c r="B92" s="12" t="s">
        <v>95</v>
      </c>
      <c r="C92" s="12" t="s">
        <v>95</v>
      </c>
      <c r="D92" s="13" t="str">
        <f>HYPERLINK("https://www.marklines.com/en/global/10729","BMW, Plant Woodruff")</f>
        <v>BMW, Plant Woodruff</v>
      </c>
      <c r="E92" s="12" t="s">
        <v>684</v>
      </c>
      <c r="F92" s="12" t="s">
        <v>16</v>
      </c>
      <c r="G92" s="12" t="s">
        <v>17</v>
      </c>
      <c r="H92" s="12" t="s">
        <v>324</v>
      </c>
      <c r="I92" s="14">
        <v>45554</v>
      </c>
      <c r="J92" s="12" t="s">
        <v>1315</v>
      </c>
    </row>
    <row r="93" spans="1:10" s="15" customFormat="1" x14ac:dyDescent="0.15">
      <c r="A93" s="11">
        <v>45555</v>
      </c>
      <c r="B93" s="12" t="s">
        <v>95</v>
      </c>
      <c r="C93" s="12" t="s">
        <v>95</v>
      </c>
      <c r="D93" s="13" t="str">
        <f>HYPERLINK("https://www.marklines.com/en/global/3045","BMW Manufacturing Co., Spartanburg Plant")</f>
        <v>BMW Manufacturing Co., Spartanburg Plant</v>
      </c>
      <c r="E93" s="12" t="s">
        <v>671</v>
      </c>
      <c r="F93" s="12" t="s">
        <v>16</v>
      </c>
      <c r="G93" s="12" t="s">
        <v>17</v>
      </c>
      <c r="H93" s="12" t="s">
        <v>324</v>
      </c>
      <c r="I93" s="14">
        <v>45554</v>
      </c>
      <c r="J93" s="12" t="s">
        <v>1315</v>
      </c>
    </row>
    <row r="94" spans="1:10" s="15" customFormat="1" x14ac:dyDescent="0.15">
      <c r="A94" s="11">
        <v>45555</v>
      </c>
      <c r="B94" s="12" t="s">
        <v>1316</v>
      </c>
      <c r="C94" s="12" t="s">
        <v>1316</v>
      </c>
      <c r="D94" s="13" t="str">
        <f>HYPERLINK("https://www.marklines.com/en/global/9603","Faraday Future Intelligent Electric Inc., Hanford Plant (FF ieFactory California)")</f>
        <v>Faraday Future Intelligent Electric Inc., Hanford Plant (FF ieFactory California)</v>
      </c>
      <c r="E94" s="12" t="s">
        <v>1317</v>
      </c>
      <c r="F94" s="12" t="s">
        <v>16</v>
      </c>
      <c r="G94" s="12" t="s">
        <v>17</v>
      </c>
      <c r="H94" s="12" t="s">
        <v>445</v>
      </c>
      <c r="I94" s="14">
        <v>45554</v>
      </c>
      <c r="J94" s="12" t="s">
        <v>1318</v>
      </c>
    </row>
    <row r="95" spans="1:10" s="15" customFormat="1" x14ac:dyDescent="0.15">
      <c r="A95" s="11">
        <v>45555</v>
      </c>
      <c r="B95" s="12" t="s">
        <v>725</v>
      </c>
      <c r="C95" s="12" t="s">
        <v>850</v>
      </c>
      <c r="D95" s="13" t="str">
        <f>HYPERLINK("https://www.marklines.com/en/global/2655","Stellantis, FCA US, Toledo Assembly Complex (Toledo Supplier Park)")</f>
        <v>Stellantis, FCA US, Toledo Assembly Complex (Toledo Supplier Park)</v>
      </c>
      <c r="E95" s="12" t="s">
        <v>166</v>
      </c>
      <c r="F95" s="12" t="s">
        <v>16</v>
      </c>
      <c r="G95" s="12" t="s">
        <v>17</v>
      </c>
      <c r="H95" s="12" t="s">
        <v>18</v>
      </c>
      <c r="I95" s="14">
        <v>45553</v>
      </c>
      <c r="J95" s="12" t="s">
        <v>1319</v>
      </c>
    </row>
    <row r="96" spans="1:10" s="15" customFormat="1" x14ac:dyDescent="0.15">
      <c r="A96" s="11">
        <v>45555</v>
      </c>
      <c r="B96" s="12" t="s">
        <v>38</v>
      </c>
      <c r="C96" s="12" t="s">
        <v>38</v>
      </c>
      <c r="D96" s="13" t="str">
        <f>HYPERLINK("https://www.marklines.com/en/global/10751","Wisdom (Fujian) Motor co., Ltd. ")</f>
        <v xml:space="preserve">Wisdom (Fujian) Motor co., Ltd. </v>
      </c>
      <c r="E96" s="12" t="s">
        <v>1320</v>
      </c>
      <c r="F96" s="12" t="s">
        <v>21</v>
      </c>
      <c r="G96" s="12" t="s">
        <v>47</v>
      </c>
      <c r="H96" s="12" t="s">
        <v>832</v>
      </c>
      <c r="I96" s="14">
        <v>45552</v>
      </c>
      <c r="J96" s="12" t="s">
        <v>1321</v>
      </c>
    </row>
    <row r="97" spans="1:10" s="15" customFormat="1" x14ac:dyDescent="0.15">
      <c r="A97" s="11">
        <v>45554</v>
      </c>
      <c r="B97" s="12" t="s">
        <v>44</v>
      </c>
      <c r="C97" s="12" t="s">
        <v>44</v>
      </c>
      <c r="D97" s="13" t="str">
        <f>HYPERLINK("https://www.marklines.com/en/global/1947","Renault Spain, Valladolid Plant")</f>
        <v>Renault Spain, Valladolid Plant</v>
      </c>
      <c r="E97" s="12" t="s">
        <v>944</v>
      </c>
      <c r="F97" s="12" t="s">
        <v>13</v>
      </c>
      <c r="G97" s="12" t="s">
        <v>14</v>
      </c>
      <c r="H97" s="12"/>
      <c r="I97" s="14">
        <v>45554</v>
      </c>
      <c r="J97" s="12" t="s">
        <v>1322</v>
      </c>
    </row>
    <row r="98" spans="1:10" s="15" customFormat="1" x14ac:dyDescent="0.15">
      <c r="A98" s="11">
        <v>45554</v>
      </c>
      <c r="B98" s="12" t="s">
        <v>44</v>
      </c>
      <c r="C98" s="12" t="s">
        <v>44</v>
      </c>
      <c r="D98" s="13" t="str">
        <f>HYPERLINK("https://www.marklines.com/en/global/10884","Horse Valladolid Motores Plant - Spain (formerly Renault Spain)")</f>
        <v>Horse Valladolid Motores Plant - Spain (formerly Renault Spain)</v>
      </c>
      <c r="E98" s="12" t="s">
        <v>1323</v>
      </c>
      <c r="F98" s="12" t="s">
        <v>13</v>
      </c>
      <c r="G98" s="12" t="s">
        <v>14</v>
      </c>
      <c r="H98" s="12"/>
      <c r="I98" s="14">
        <v>45554</v>
      </c>
      <c r="J98" s="12" t="s">
        <v>1324</v>
      </c>
    </row>
    <row r="99" spans="1:10" s="15" customFormat="1" x14ac:dyDescent="0.15">
      <c r="A99" s="11">
        <v>45554</v>
      </c>
      <c r="B99" s="12" t="s">
        <v>52</v>
      </c>
      <c r="C99" s="12" t="s">
        <v>52</v>
      </c>
      <c r="D99" s="13" t="str">
        <f>HYPERLINK("https://www.marklines.com/en/global/10884","Horse Valladolid Motores Plant - Spain (formerly Renault Spain)")</f>
        <v>Horse Valladolid Motores Plant - Spain (formerly Renault Spain)</v>
      </c>
      <c r="E99" s="12" t="s">
        <v>1323</v>
      </c>
      <c r="F99" s="12" t="s">
        <v>13</v>
      </c>
      <c r="G99" s="12" t="s">
        <v>14</v>
      </c>
      <c r="H99" s="12"/>
      <c r="I99" s="14">
        <v>45554</v>
      </c>
      <c r="J99" s="12" t="s">
        <v>1324</v>
      </c>
    </row>
    <row r="100" spans="1:10" s="15" customFormat="1" x14ac:dyDescent="0.15">
      <c r="A100" s="11">
        <v>45554</v>
      </c>
      <c r="B100" s="12" t="s">
        <v>11</v>
      </c>
      <c r="C100" s="12" t="s">
        <v>11</v>
      </c>
      <c r="D100" s="13" t="str">
        <f>HYPERLINK("https://www.marklines.com/en/global/1375","Stellantis Europe SpA, Atessa Plant (formerly Sevel S.p.A., Val di Sangro (Atessa) Plant)")</f>
        <v>Stellantis Europe SpA, Atessa Plant (formerly Sevel S.p.A., Val di Sangro (Atessa) Plant)</v>
      </c>
      <c r="E100" s="12" t="s">
        <v>330</v>
      </c>
      <c r="F100" s="12" t="s">
        <v>13</v>
      </c>
      <c r="G100" s="12" t="s">
        <v>216</v>
      </c>
      <c r="H100" s="12"/>
      <c r="I100" s="14">
        <v>45553</v>
      </c>
      <c r="J100" s="12" t="s">
        <v>1325</v>
      </c>
    </row>
    <row r="101" spans="1:10" s="15" customFormat="1" x14ac:dyDescent="0.15">
      <c r="A101" s="11">
        <v>45554</v>
      </c>
      <c r="B101" s="12" t="s">
        <v>11</v>
      </c>
      <c r="C101" s="12" t="s">
        <v>11</v>
      </c>
      <c r="D101" s="13" t="str">
        <f>HYPERLINK("https://www.marklines.com/en/global/1343","Stellantis, Fiat Powertrain Technologies, Termoli Plant / Automotive Cell Company (ACC), Termoli Plant")</f>
        <v>Stellantis, Fiat Powertrain Technologies, Termoli Plant / Automotive Cell Company (ACC), Termoli Plant</v>
      </c>
      <c r="E101" s="12" t="s">
        <v>491</v>
      </c>
      <c r="F101" s="12" t="s">
        <v>13</v>
      </c>
      <c r="G101" s="12" t="s">
        <v>216</v>
      </c>
      <c r="H101" s="12"/>
      <c r="I101" s="14">
        <v>45553</v>
      </c>
      <c r="J101" s="12" t="s">
        <v>1325</v>
      </c>
    </row>
    <row r="102" spans="1:10" s="15" customFormat="1" x14ac:dyDescent="0.15">
      <c r="A102" s="11">
        <v>45554</v>
      </c>
      <c r="B102" s="12" t="s">
        <v>15</v>
      </c>
      <c r="C102" s="12" t="s">
        <v>15</v>
      </c>
      <c r="D102" s="13" t="str">
        <f>HYPERLINK("https://www.marklines.com/en/global/1901","Ford Motor Spain, Valencia (Almussafes) Plant")</f>
        <v>Ford Motor Spain, Valencia (Almussafes) Plant</v>
      </c>
      <c r="E102" s="12" t="s">
        <v>91</v>
      </c>
      <c r="F102" s="12" t="s">
        <v>13</v>
      </c>
      <c r="G102" s="12" t="s">
        <v>14</v>
      </c>
      <c r="H102" s="12"/>
      <c r="I102" s="14">
        <v>45553</v>
      </c>
      <c r="J102" s="12" t="s">
        <v>1326</v>
      </c>
    </row>
    <row r="103" spans="1:10" s="15" customFormat="1" x14ac:dyDescent="0.15">
      <c r="A103" s="11">
        <v>45554</v>
      </c>
      <c r="B103" s="12" t="s">
        <v>11</v>
      </c>
      <c r="C103" s="12" t="s">
        <v>874</v>
      </c>
      <c r="D103" s="13" t="str">
        <f>HYPERLINK("https://www.marklines.com/en/global/2903","Stellantis, Peugeot-Citroen do Brasil S.A., Porto Real Plant")</f>
        <v>Stellantis, Peugeot-Citroen do Brasil S.A., Porto Real Plant</v>
      </c>
      <c r="E103" s="12" t="s">
        <v>1193</v>
      </c>
      <c r="F103" s="12" t="s">
        <v>45</v>
      </c>
      <c r="G103" s="12" t="s">
        <v>232</v>
      </c>
      <c r="H103" s="12"/>
      <c r="I103" s="14">
        <v>45553</v>
      </c>
      <c r="J103" s="12" t="s">
        <v>1327</v>
      </c>
    </row>
    <row r="104" spans="1:10" s="15" customFormat="1" x14ac:dyDescent="0.15">
      <c r="A104" s="11">
        <v>45554</v>
      </c>
      <c r="B104" s="12" t="s">
        <v>95</v>
      </c>
      <c r="C104" s="12" t="s">
        <v>95</v>
      </c>
      <c r="D104" s="13" t="str">
        <f>HYPERLINK("https://www.marklines.com/en/global/1801","BMW Motoren GmbH, Steyr Plant")</f>
        <v>BMW Motoren GmbH, Steyr Plant</v>
      </c>
      <c r="E104" s="12" t="s">
        <v>662</v>
      </c>
      <c r="F104" s="12" t="s">
        <v>13</v>
      </c>
      <c r="G104" s="12" t="s">
        <v>372</v>
      </c>
      <c r="H104" s="12"/>
      <c r="I104" s="14">
        <v>45553</v>
      </c>
      <c r="J104" s="12" t="s">
        <v>1328</v>
      </c>
    </row>
    <row r="105" spans="1:10" s="15" customFormat="1" x14ac:dyDescent="0.15">
      <c r="A105" s="11">
        <v>45554</v>
      </c>
      <c r="B105" s="12" t="s">
        <v>49</v>
      </c>
      <c r="C105" s="12" t="s">
        <v>227</v>
      </c>
      <c r="D105" s="13" t="str">
        <f>HYPERLINK("https://www.marklines.com/en/global/3309","Volkswagen Group of America Chattanooga Operations, LLC, Chattanooga Plant")</f>
        <v>Volkswagen Group of America Chattanooga Operations, LLC, Chattanooga Plant</v>
      </c>
      <c r="E105" s="12" t="s">
        <v>1329</v>
      </c>
      <c r="F105" s="12" t="s">
        <v>16</v>
      </c>
      <c r="G105" s="12" t="s">
        <v>17</v>
      </c>
      <c r="H105" s="12" t="s">
        <v>481</v>
      </c>
      <c r="I105" s="14">
        <v>45553</v>
      </c>
      <c r="J105" s="12" t="s">
        <v>1330</v>
      </c>
    </row>
    <row r="106" spans="1:10" s="15" customFormat="1" x14ac:dyDescent="0.15">
      <c r="A106" s="11">
        <v>45554</v>
      </c>
      <c r="B106" s="12" t="s">
        <v>224</v>
      </c>
      <c r="C106" s="12" t="s">
        <v>224</v>
      </c>
      <c r="D106" s="13" t="str">
        <f>HYPERLINK("https://www.marklines.com/en/global/2541","General Motors Canada, Ingersoll Plant")</f>
        <v>General Motors Canada, Ingersoll Plant</v>
      </c>
      <c r="E106" s="12" t="s">
        <v>240</v>
      </c>
      <c r="F106" s="12" t="s">
        <v>16</v>
      </c>
      <c r="G106" s="12" t="s">
        <v>241</v>
      </c>
      <c r="H106" s="12"/>
      <c r="I106" s="14">
        <v>45553</v>
      </c>
      <c r="J106" s="12" t="s">
        <v>1331</v>
      </c>
    </row>
    <row r="107" spans="1:10" s="15" customFormat="1" x14ac:dyDescent="0.15">
      <c r="A107" s="11">
        <v>45554</v>
      </c>
      <c r="B107" s="12" t="s">
        <v>44</v>
      </c>
      <c r="C107" s="12" t="s">
        <v>44</v>
      </c>
      <c r="D107" s="13" t="str">
        <f>HYPERLINK("https://www.marklines.com/en/global/2803","Renault Argentina S.A., Cordoba Plant")</f>
        <v>Renault Argentina S.A., Cordoba Plant</v>
      </c>
      <c r="E107" s="12" t="s">
        <v>138</v>
      </c>
      <c r="F107" s="12" t="s">
        <v>45</v>
      </c>
      <c r="G107" s="12" t="s">
        <v>79</v>
      </c>
      <c r="H107" s="12"/>
      <c r="I107" s="14">
        <v>45552</v>
      </c>
      <c r="J107" s="12" t="s">
        <v>1332</v>
      </c>
    </row>
    <row r="108" spans="1:10" s="15" customFormat="1" x14ac:dyDescent="0.15">
      <c r="A108" s="11">
        <v>45554</v>
      </c>
      <c r="B108" s="12" t="s">
        <v>128</v>
      </c>
      <c r="C108" s="12" t="s">
        <v>129</v>
      </c>
      <c r="D108" s="13" t="str">
        <f>HYPERLINK("https://www.marklines.com/en/global/1201","Mahindra, Chakan Plant")</f>
        <v>Mahindra, Chakan Plant</v>
      </c>
      <c r="E108" s="12" t="s">
        <v>1333</v>
      </c>
      <c r="F108" s="12" t="s">
        <v>36</v>
      </c>
      <c r="G108" s="12" t="s">
        <v>37</v>
      </c>
      <c r="H108" s="12" t="s">
        <v>67</v>
      </c>
      <c r="I108" s="14">
        <v>45551</v>
      </c>
      <c r="J108" s="12" t="s">
        <v>1334</v>
      </c>
    </row>
    <row r="109" spans="1:10" s="15" customFormat="1" x14ac:dyDescent="0.15">
      <c r="A109" s="11">
        <v>45554</v>
      </c>
      <c r="B109" s="12" t="s">
        <v>381</v>
      </c>
      <c r="C109" s="12" t="s">
        <v>381</v>
      </c>
      <c r="D109" s="13" t="str">
        <f>HYPERLINK("https://www.marklines.com/en/global/9540","SERES Automobile Co., Ltd. (formerly Chongqing Jinkang New Energy Automobile Co., Ltd.)")</f>
        <v>SERES Automobile Co., Ltd. (formerly Chongqing Jinkang New Energy Automobile Co., Ltd.)</v>
      </c>
      <c r="E109" s="12" t="s">
        <v>382</v>
      </c>
      <c r="F109" s="12" t="s">
        <v>21</v>
      </c>
      <c r="G109" s="12" t="s">
        <v>47</v>
      </c>
      <c r="H109" s="12" t="s">
        <v>362</v>
      </c>
      <c r="I109" s="14">
        <v>45549</v>
      </c>
      <c r="J109" s="12" t="s">
        <v>1335</v>
      </c>
    </row>
    <row r="110" spans="1:10" s="15" customFormat="1" x14ac:dyDescent="0.15">
      <c r="A110" s="11">
        <v>45554</v>
      </c>
      <c r="B110" s="12" t="s">
        <v>381</v>
      </c>
      <c r="C110" s="12" t="s">
        <v>381</v>
      </c>
      <c r="D110" s="13" t="str">
        <f>HYPERLINK("https://www.marklines.com/en/global/9578","Seres Group Co., Ltd. (formerly Chongqing Sokon Industrial Group Co., Ltd.)")</f>
        <v>Seres Group Co., Ltd. (formerly Chongqing Sokon Industrial Group Co., Ltd.)</v>
      </c>
      <c r="E110" s="12" t="s">
        <v>384</v>
      </c>
      <c r="F110" s="12" t="s">
        <v>21</v>
      </c>
      <c r="G110" s="12" t="s">
        <v>47</v>
      </c>
      <c r="H110" s="12" t="s">
        <v>362</v>
      </c>
      <c r="I110" s="14">
        <v>45549</v>
      </c>
      <c r="J110" s="12" t="s">
        <v>1335</v>
      </c>
    </row>
    <row r="111" spans="1:10" s="15" customFormat="1" x14ac:dyDescent="0.15">
      <c r="A111" s="11">
        <v>45554</v>
      </c>
      <c r="B111" s="12" t="s">
        <v>35</v>
      </c>
      <c r="C111" s="12" t="s">
        <v>1213</v>
      </c>
      <c r="D111" s="13" t="str">
        <f>HYPERLINK("https://www.marklines.com/en/global/3637","Shanghai Hino Engine Co., Ltd. ")</f>
        <v xml:space="preserve">Shanghai Hino Engine Co., Ltd. </v>
      </c>
      <c r="E111" s="12" t="s">
        <v>1336</v>
      </c>
      <c r="F111" s="12" t="s">
        <v>21</v>
      </c>
      <c r="G111" s="12" t="s">
        <v>47</v>
      </c>
      <c r="H111" s="12" t="s">
        <v>94</v>
      </c>
      <c r="I111" s="14">
        <v>45548</v>
      </c>
      <c r="J111" s="12" t="s">
        <v>1337</v>
      </c>
    </row>
    <row r="112" spans="1:10" s="15" customFormat="1" x14ac:dyDescent="0.15">
      <c r="A112" s="11">
        <v>45553</v>
      </c>
      <c r="B112" s="12" t="s">
        <v>11</v>
      </c>
      <c r="C112" s="12" t="s">
        <v>11</v>
      </c>
      <c r="D112" s="13" t="str">
        <f>HYPERLINK("https://www.marklines.com/en/global/1939","Stellantis, Peugeot Citroen Automoviles Espana S.A., Vigo Plant")</f>
        <v>Stellantis, Peugeot Citroen Automoviles Espana S.A., Vigo Plant</v>
      </c>
      <c r="E112" s="12" t="s">
        <v>12</v>
      </c>
      <c r="F112" s="12" t="s">
        <v>13</v>
      </c>
      <c r="G112" s="12" t="s">
        <v>14</v>
      </c>
      <c r="H112" s="12"/>
      <c r="I112" s="14">
        <v>45552</v>
      </c>
      <c r="J112" s="12" t="s">
        <v>1338</v>
      </c>
    </row>
    <row r="113" spans="1:10" s="15" customFormat="1" x14ac:dyDescent="0.15">
      <c r="A113" s="11">
        <v>45553</v>
      </c>
      <c r="B113" s="12" t="s">
        <v>224</v>
      </c>
      <c r="C113" s="12" t="s">
        <v>224</v>
      </c>
      <c r="D113" s="13" t="str">
        <f>HYPERLINK("https://www.marklines.com/en/global/2847","General Motors Brazil, Sao Jose dos Campos Plant")</f>
        <v>General Motors Brazil, Sao Jose dos Campos Plant</v>
      </c>
      <c r="E113" s="12" t="s">
        <v>637</v>
      </c>
      <c r="F113" s="12" t="s">
        <v>45</v>
      </c>
      <c r="G113" s="12" t="s">
        <v>232</v>
      </c>
      <c r="H113" s="12"/>
      <c r="I113" s="14">
        <v>45551</v>
      </c>
      <c r="J113" s="12" t="s">
        <v>1339</v>
      </c>
    </row>
    <row r="114" spans="1:10" s="15" customFormat="1" x14ac:dyDescent="0.15">
      <c r="A114" s="11">
        <v>45553</v>
      </c>
      <c r="B114" s="12" t="s">
        <v>11</v>
      </c>
      <c r="C114" s="12" t="s">
        <v>11</v>
      </c>
      <c r="D114" s="13" t="str">
        <f>HYPERLINK("https://www.marklines.com/en/global/2627","Stellantis, FCA US, Detroit Assembly Complex - Jefferson (formerly Jefferson North Assembly Plant)")</f>
        <v>Stellantis, FCA US, Detroit Assembly Complex - Jefferson (formerly Jefferson North Assembly Plant)</v>
      </c>
      <c r="E114" s="12" t="s">
        <v>1340</v>
      </c>
      <c r="F114" s="12" t="s">
        <v>16</v>
      </c>
      <c r="G114" s="12" t="s">
        <v>17</v>
      </c>
      <c r="H114" s="12" t="s">
        <v>19</v>
      </c>
      <c r="I114" s="14">
        <v>45551</v>
      </c>
      <c r="J114" s="12" t="s">
        <v>1341</v>
      </c>
    </row>
    <row r="115" spans="1:10" s="15" customFormat="1" x14ac:dyDescent="0.15">
      <c r="A115" s="11">
        <v>45553</v>
      </c>
      <c r="B115" s="12" t="s">
        <v>35</v>
      </c>
      <c r="C115" s="12" t="s">
        <v>1213</v>
      </c>
      <c r="D115" s="13" t="str">
        <f>HYPERLINK("https://www.marklines.com/en/global/4105","GAC Hino Motors Co., Ltd.")</f>
        <v>GAC Hino Motors Co., Ltd.</v>
      </c>
      <c r="E115" s="12" t="s">
        <v>1342</v>
      </c>
      <c r="F115" s="12" t="s">
        <v>21</v>
      </c>
      <c r="G115" s="12" t="s">
        <v>47</v>
      </c>
      <c r="H115" s="12" t="s">
        <v>48</v>
      </c>
      <c r="I115" s="14">
        <v>45547</v>
      </c>
      <c r="J115" s="12" t="s">
        <v>1343</v>
      </c>
    </row>
    <row r="116" spans="1:10" s="15" customFormat="1" x14ac:dyDescent="0.15">
      <c r="A116" s="11">
        <v>45552</v>
      </c>
      <c r="B116" s="12" t="s">
        <v>11</v>
      </c>
      <c r="C116" s="12" t="s">
        <v>11</v>
      </c>
      <c r="D116" s="13" t="str">
        <f>HYPERLINK("https://www.marklines.com/en/global/1343","Stellantis, Fiat Powertrain Technologies, Termoli Plant / Automotive Cell Company (ACC), Termoli Plant")</f>
        <v>Stellantis, Fiat Powertrain Technologies, Termoli Plant / Automotive Cell Company (ACC), Termoli Plant</v>
      </c>
      <c r="E116" s="12" t="s">
        <v>491</v>
      </c>
      <c r="F116" s="12" t="s">
        <v>13</v>
      </c>
      <c r="G116" s="12" t="s">
        <v>216</v>
      </c>
      <c r="H116" s="12"/>
      <c r="I116" s="14">
        <v>45552</v>
      </c>
      <c r="J116" s="12" t="s">
        <v>1344</v>
      </c>
    </row>
    <row r="117" spans="1:10" s="15" customFormat="1" x14ac:dyDescent="0.15">
      <c r="A117" s="11">
        <v>45552</v>
      </c>
      <c r="B117" s="12" t="s">
        <v>49</v>
      </c>
      <c r="C117" s="12" t="s">
        <v>98</v>
      </c>
      <c r="D117" s="13" t="str">
        <f>HYPERLINK("https://www.marklines.com/en/global/9858","Audi AG, Audi Sport GmbH, Böllinger Höfe Plant")</f>
        <v>Audi AG, Audi Sport GmbH, Böllinger Höfe Plant</v>
      </c>
      <c r="E117" s="12" t="s">
        <v>1345</v>
      </c>
      <c r="F117" s="12" t="s">
        <v>13</v>
      </c>
      <c r="G117" s="12" t="s">
        <v>25</v>
      </c>
      <c r="H117" s="12" t="s">
        <v>1165</v>
      </c>
      <c r="I117" s="14">
        <v>45552</v>
      </c>
      <c r="J117" s="12" t="s">
        <v>1346</v>
      </c>
    </row>
    <row r="118" spans="1:10" s="15" customFormat="1" x14ac:dyDescent="0.15">
      <c r="A118" s="11">
        <v>45552</v>
      </c>
      <c r="B118" s="12" t="s">
        <v>49</v>
      </c>
      <c r="C118" s="12" t="s">
        <v>586</v>
      </c>
      <c r="D118" s="13" t="str">
        <f>HYPERLINK("https://www.marklines.com/en/global/1378","Bentley Motors Ltd., Crewe Plant")</f>
        <v>Bentley Motors Ltd., Crewe Plant</v>
      </c>
      <c r="E118" s="12" t="s">
        <v>587</v>
      </c>
      <c r="F118" s="12" t="s">
        <v>13</v>
      </c>
      <c r="G118" s="12" t="s">
        <v>588</v>
      </c>
      <c r="H118" s="12"/>
      <c r="I118" s="14">
        <v>45551</v>
      </c>
      <c r="J118" s="12" t="s">
        <v>1347</v>
      </c>
    </row>
    <row r="119" spans="1:10" s="15" customFormat="1" x14ac:dyDescent="0.15">
      <c r="A119" s="11">
        <v>45552</v>
      </c>
      <c r="B119" s="12" t="s">
        <v>38</v>
      </c>
      <c r="C119" s="12" t="s">
        <v>38</v>
      </c>
      <c r="D119" s="13" t="str">
        <f>HYPERLINK("https://www.marklines.com/en/global/1815","Steyr Automotive GmbH, Steyr Plant (formerly MAN Truck &amp; Bus Oesterreich GmbH)")</f>
        <v>Steyr Automotive GmbH, Steyr Plant (formerly MAN Truck &amp; Bus Oesterreich GmbH)</v>
      </c>
      <c r="E119" s="12" t="s">
        <v>1348</v>
      </c>
      <c r="F119" s="12" t="s">
        <v>13</v>
      </c>
      <c r="G119" s="12" t="s">
        <v>372</v>
      </c>
      <c r="H119" s="12"/>
      <c r="I119" s="14">
        <v>45551</v>
      </c>
      <c r="J119" s="12" t="s">
        <v>1349</v>
      </c>
    </row>
    <row r="120" spans="1:10" s="15" customFormat="1" x14ac:dyDescent="0.15">
      <c r="A120" s="11">
        <v>45552</v>
      </c>
      <c r="B120" s="12" t="s">
        <v>33</v>
      </c>
      <c r="C120" s="12" t="s">
        <v>34</v>
      </c>
      <c r="D120" s="13" t="str">
        <f>HYPERLINK("https://www.marklines.com/en/global/1129","Mercedes-Benz India, Chakan Plant")</f>
        <v>Mercedes-Benz India, Chakan Plant</v>
      </c>
      <c r="E120" s="12" t="s">
        <v>1350</v>
      </c>
      <c r="F120" s="12" t="s">
        <v>36</v>
      </c>
      <c r="G120" s="12" t="s">
        <v>37</v>
      </c>
      <c r="H120" s="12" t="s">
        <v>67</v>
      </c>
      <c r="I120" s="14">
        <v>45551</v>
      </c>
      <c r="J120" s="12" t="s">
        <v>1351</v>
      </c>
    </row>
    <row r="121" spans="1:10" s="15" customFormat="1" x14ac:dyDescent="0.15">
      <c r="A121" s="11">
        <v>45552</v>
      </c>
      <c r="B121" s="12" t="s">
        <v>725</v>
      </c>
      <c r="C121" s="12" t="s">
        <v>729</v>
      </c>
      <c r="D121" s="13" t="str">
        <f>HYPERLINK("https://www.marklines.com/en/global/2675","Stellantis, FCA Canada, Windsor Assembly Plant")</f>
        <v>Stellantis, FCA Canada, Windsor Assembly Plant</v>
      </c>
      <c r="E121" s="12" t="s">
        <v>727</v>
      </c>
      <c r="F121" s="12" t="s">
        <v>16</v>
      </c>
      <c r="G121" s="12" t="s">
        <v>241</v>
      </c>
      <c r="H121" s="12"/>
      <c r="I121" s="14">
        <v>45551</v>
      </c>
      <c r="J121" s="12" t="s">
        <v>1352</v>
      </c>
    </row>
    <row r="122" spans="1:10" s="15" customFormat="1" x14ac:dyDescent="0.15">
      <c r="A122" s="11">
        <v>45552</v>
      </c>
      <c r="B122" s="12" t="s">
        <v>23</v>
      </c>
      <c r="C122" s="12" t="s">
        <v>23</v>
      </c>
      <c r="D122" s="13" t="str">
        <f>HYPERLINK("https://www.marklines.com/en/global/10321","Tesla Gigafactory Texas")</f>
        <v>Tesla Gigafactory Texas</v>
      </c>
      <c r="E122" s="12" t="s">
        <v>573</v>
      </c>
      <c r="F122" s="12" t="s">
        <v>16</v>
      </c>
      <c r="G122" s="12" t="s">
        <v>17</v>
      </c>
      <c r="H122" s="12" t="s">
        <v>574</v>
      </c>
      <c r="I122" s="14">
        <v>45549</v>
      </c>
      <c r="J122" s="12" t="s">
        <v>1353</v>
      </c>
    </row>
    <row r="123" spans="1:10" s="15" customFormat="1" x14ac:dyDescent="0.15">
      <c r="A123" s="11">
        <v>45552</v>
      </c>
      <c r="B123" s="12" t="s">
        <v>23</v>
      </c>
      <c r="C123" s="12" t="s">
        <v>23</v>
      </c>
      <c r="D123" s="13" t="str">
        <f>HYPERLINK("https://www.marklines.com/en/global/4512","Tesla Gigafactory Nevada")</f>
        <v>Tesla Gigafactory Nevada</v>
      </c>
      <c r="E123" s="12" t="s">
        <v>347</v>
      </c>
      <c r="F123" s="12" t="s">
        <v>16</v>
      </c>
      <c r="G123" s="12" t="s">
        <v>17</v>
      </c>
      <c r="H123" s="12" t="s">
        <v>348</v>
      </c>
      <c r="I123" s="14">
        <v>45547</v>
      </c>
      <c r="J123" s="12" t="s">
        <v>1354</v>
      </c>
    </row>
    <row r="124" spans="1:10" s="15" customFormat="1" x14ac:dyDescent="0.15">
      <c r="A124" s="11">
        <v>45552</v>
      </c>
      <c r="B124" s="12" t="s">
        <v>55</v>
      </c>
      <c r="C124" s="12" t="s">
        <v>74</v>
      </c>
      <c r="D124" s="13" t="str">
        <f>HYPERLINK("https://www.marklines.com/en/global/10887","Dewan Farooque Motors, Sindh plant")</f>
        <v>Dewan Farooque Motors, Sindh plant</v>
      </c>
      <c r="E124" s="12" t="s">
        <v>1355</v>
      </c>
      <c r="F124" s="12" t="s">
        <v>36</v>
      </c>
      <c r="G124" s="12" t="s">
        <v>510</v>
      </c>
      <c r="H124" s="12"/>
      <c r="I124" s="14">
        <v>45545</v>
      </c>
      <c r="J124" s="12" t="s">
        <v>1356</v>
      </c>
    </row>
    <row r="125" spans="1:10" s="15" customFormat="1" x14ac:dyDescent="0.15">
      <c r="A125" s="11">
        <v>45551</v>
      </c>
      <c r="B125" s="12" t="s">
        <v>44</v>
      </c>
      <c r="C125" s="12" t="s">
        <v>44</v>
      </c>
      <c r="D125" s="13" t="str">
        <f>HYPERLINK("https://www.marklines.com/en/global/165","SOVAB, Batilly Plant")</f>
        <v>SOVAB, Batilly Plant</v>
      </c>
      <c r="E125" s="12" t="s">
        <v>658</v>
      </c>
      <c r="F125" s="12" t="s">
        <v>13</v>
      </c>
      <c r="G125" s="12" t="s">
        <v>29</v>
      </c>
      <c r="H125" s="12"/>
      <c r="I125" s="14">
        <v>45551</v>
      </c>
      <c r="J125" s="12" t="s">
        <v>1357</v>
      </c>
    </row>
    <row r="126" spans="1:10" s="15" customFormat="1" x14ac:dyDescent="0.15">
      <c r="A126" s="11">
        <v>45551</v>
      </c>
      <c r="B126" s="12" t="s">
        <v>44</v>
      </c>
      <c r="C126" s="12" t="s">
        <v>44</v>
      </c>
      <c r="D126" s="13" t="str">
        <f>HYPERLINK("https://www.marklines.com/en/global/171","Renault S.A., Flins Plant - Refactory")</f>
        <v>Renault S.A., Flins Plant - Refactory</v>
      </c>
      <c r="E126" s="12" t="s">
        <v>1358</v>
      </c>
      <c r="F126" s="12" t="s">
        <v>13</v>
      </c>
      <c r="G126" s="12" t="s">
        <v>29</v>
      </c>
      <c r="H126" s="12"/>
      <c r="I126" s="14">
        <v>45551</v>
      </c>
      <c r="J126" s="12" t="s">
        <v>1357</v>
      </c>
    </row>
    <row r="127" spans="1:10" s="15" customFormat="1" x14ac:dyDescent="0.15">
      <c r="A127" s="11">
        <v>45551</v>
      </c>
      <c r="B127" s="12" t="s">
        <v>381</v>
      </c>
      <c r="C127" s="12" t="s">
        <v>1359</v>
      </c>
      <c r="D127" s="13" t="str">
        <f>HYPERLINK("https://www.marklines.com/en/global/9602","OOO Motorinvest, Lipetsk Plant (formerly Changan Automobile, Lipetsk Plant)")</f>
        <v>OOO Motorinvest, Lipetsk Plant (formerly Changan Automobile, Lipetsk Plant)</v>
      </c>
      <c r="E127" s="12" t="s">
        <v>633</v>
      </c>
      <c r="F127" s="12" t="s">
        <v>61</v>
      </c>
      <c r="G127" s="12" t="s">
        <v>235</v>
      </c>
      <c r="H127" s="12"/>
      <c r="I127" s="14">
        <v>45548</v>
      </c>
      <c r="J127" s="12" t="s">
        <v>1360</v>
      </c>
    </row>
    <row r="128" spans="1:10" s="15" customFormat="1" x14ac:dyDescent="0.15">
      <c r="A128" s="11">
        <v>45551</v>
      </c>
      <c r="B128" s="12" t="s">
        <v>95</v>
      </c>
      <c r="C128" s="12" t="s">
        <v>95</v>
      </c>
      <c r="D128" s="13" t="str">
        <f>HYPERLINK("https://www.marklines.com/en/global/2207","BMW AG, Dingolfing Plant")</f>
        <v>BMW AG, Dingolfing Plant</v>
      </c>
      <c r="E128" s="12" t="s">
        <v>198</v>
      </c>
      <c r="F128" s="12" t="s">
        <v>13</v>
      </c>
      <c r="G128" s="12" t="s">
        <v>25</v>
      </c>
      <c r="H128" s="12" t="s">
        <v>1157</v>
      </c>
      <c r="I128" s="14">
        <v>45548</v>
      </c>
      <c r="J128" s="12" t="s">
        <v>1361</v>
      </c>
    </row>
    <row r="129" spans="1:10" s="15" customFormat="1" x14ac:dyDescent="0.15">
      <c r="A129" s="11">
        <v>45549</v>
      </c>
      <c r="B129" s="12" t="s">
        <v>224</v>
      </c>
      <c r="C129" s="12" t="s">
        <v>224</v>
      </c>
      <c r="D129" s="13" t="str">
        <f>HYPERLINK("https://www.marklines.com/en/global/2509","General Motors, Fort Wayne Plant")</f>
        <v>General Motors, Fort Wayne Plant</v>
      </c>
      <c r="E129" s="12" t="s">
        <v>817</v>
      </c>
      <c r="F129" s="12" t="s">
        <v>16</v>
      </c>
      <c r="G129" s="12" t="s">
        <v>17</v>
      </c>
      <c r="H129" s="12" t="s">
        <v>263</v>
      </c>
      <c r="I129" s="14">
        <v>45548</v>
      </c>
      <c r="J129" s="12" t="s">
        <v>1362</v>
      </c>
    </row>
    <row r="130" spans="1:10" s="15" customFormat="1" x14ac:dyDescent="0.15">
      <c r="A130" s="11">
        <v>45549</v>
      </c>
      <c r="B130" s="12" t="s">
        <v>35</v>
      </c>
      <c r="C130" s="12" t="s">
        <v>35</v>
      </c>
      <c r="D130" s="13" t="str">
        <f>HYPERLINK("https://www.marklines.com/en/global/3237","Toyota Motor Manufacturing, Indiana,  Inc. (TMMI), Princeton Plant")</f>
        <v>Toyota Motor Manufacturing, Indiana,  Inc. (TMMI), Princeton Plant</v>
      </c>
      <c r="E130" s="12" t="s">
        <v>262</v>
      </c>
      <c r="F130" s="12" t="s">
        <v>16</v>
      </c>
      <c r="G130" s="12" t="s">
        <v>17</v>
      </c>
      <c r="H130" s="12" t="s">
        <v>263</v>
      </c>
      <c r="I130" s="14">
        <v>45548</v>
      </c>
      <c r="J130" s="12" t="s">
        <v>1363</v>
      </c>
    </row>
    <row r="131" spans="1:10" s="15" customFormat="1" x14ac:dyDescent="0.15">
      <c r="A131" s="11">
        <v>45549</v>
      </c>
      <c r="B131" s="12" t="s">
        <v>77</v>
      </c>
      <c r="C131" s="12" t="s">
        <v>77</v>
      </c>
      <c r="D131" s="13" t="str">
        <f>HYPERLINK("https://www.marklines.com/en/global/893","Nissan Mexico, Aguascalientes Plant 1")</f>
        <v>Nissan Mexico, Aguascalientes Plant 1</v>
      </c>
      <c r="E131" s="12" t="s">
        <v>837</v>
      </c>
      <c r="F131" s="12" t="s">
        <v>16</v>
      </c>
      <c r="G131" s="12" t="s">
        <v>229</v>
      </c>
      <c r="H131" s="12" t="s">
        <v>1364</v>
      </c>
      <c r="I131" s="14">
        <v>45547</v>
      </c>
      <c r="J131" s="12" t="s">
        <v>1365</v>
      </c>
    </row>
    <row r="132" spans="1:10" s="15" customFormat="1" x14ac:dyDescent="0.15">
      <c r="A132" s="11">
        <v>45549</v>
      </c>
      <c r="B132" s="12" t="s">
        <v>287</v>
      </c>
      <c r="C132" s="12" t="s">
        <v>287</v>
      </c>
      <c r="D132" s="13" t="str">
        <f>HYPERLINK("https://www.marklines.com/en/global/3449","China Changan Automobile Group Co., Ltd. ")</f>
        <v xml:space="preserve">China Changan Automobile Group Co., Ltd. </v>
      </c>
      <c r="E132" s="12" t="s">
        <v>288</v>
      </c>
      <c r="F132" s="12" t="s">
        <v>21</v>
      </c>
      <c r="G132" s="12" t="s">
        <v>47</v>
      </c>
      <c r="H132" s="12" t="s">
        <v>56</v>
      </c>
      <c r="I132" s="14">
        <v>45546</v>
      </c>
      <c r="J132" s="12" t="s">
        <v>1366</v>
      </c>
    </row>
    <row r="133" spans="1:10" s="15" customFormat="1" x14ac:dyDescent="0.15">
      <c r="A133" s="11">
        <v>45549</v>
      </c>
      <c r="B133" s="12" t="s">
        <v>287</v>
      </c>
      <c r="C133" s="12" t="s">
        <v>287</v>
      </c>
      <c r="D133" s="13" t="str">
        <f>HYPERLINK("https://www.marklines.com/en/global/4163","Chongqing Changan Automobile Co., Ltd.")</f>
        <v>Chongqing Changan Automobile Co., Ltd.</v>
      </c>
      <c r="E133" s="12" t="s">
        <v>542</v>
      </c>
      <c r="F133" s="12" t="s">
        <v>21</v>
      </c>
      <c r="G133" s="12" t="s">
        <v>47</v>
      </c>
      <c r="H133" s="12" t="s">
        <v>362</v>
      </c>
      <c r="I133" s="14">
        <v>45546</v>
      </c>
      <c r="J133" s="12" t="s">
        <v>1366</v>
      </c>
    </row>
    <row r="134" spans="1:10" s="15" customFormat="1" x14ac:dyDescent="0.15">
      <c r="A134" s="11">
        <v>45549</v>
      </c>
      <c r="B134" s="12" t="s">
        <v>49</v>
      </c>
      <c r="C134" s="12" t="s">
        <v>227</v>
      </c>
      <c r="D134" s="13" t="str">
        <f>HYPERLINK("https://www.marklines.com/en/global/3731","SAIC Volkswagen Automotive Co., Ltd. Nanjing Branch")</f>
        <v>SAIC Volkswagen Automotive Co., Ltd. Nanjing Branch</v>
      </c>
      <c r="E134" s="12" t="s">
        <v>1367</v>
      </c>
      <c r="F134" s="12" t="s">
        <v>21</v>
      </c>
      <c r="G134" s="12" t="s">
        <v>47</v>
      </c>
      <c r="H134" s="12" t="s">
        <v>354</v>
      </c>
      <c r="I134" s="14">
        <v>45545</v>
      </c>
      <c r="J134" s="12" t="s">
        <v>1368</v>
      </c>
    </row>
    <row r="135" spans="1:10" s="15" customFormat="1" x14ac:dyDescent="0.15">
      <c r="A135" s="11">
        <v>45549</v>
      </c>
      <c r="B135" s="12" t="s">
        <v>290</v>
      </c>
      <c r="C135" s="12" t="s">
        <v>290</v>
      </c>
      <c r="D135" s="13" t="str">
        <f>HYPERLINK("https://www.marklines.com/en/global/4011","Dongfeng Commercial Vehicle Co., Ltd.")</f>
        <v>Dongfeng Commercial Vehicle Co., Ltd.</v>
      </c>
      <c r="E135" s="12" t="s">
        <v>1369</v>
      </c>
      <c r="F135" s="12" t="s">
        <v>21</v>
      </c>
      <c r="G135" s="12" t="s">
        <v>47</v>
      </c>
      <c r="H135" s="12" t="s">
        <v>294</v>
      </c>
      <c r="I135" s="14">
        <v>45544</v>
      </c>
      <c r="J135" s="12" t="s">
        <v>1370</v>
      </c>
    </row>
    <row r="136" spans="1:10" s="15" customFormat="1" x14ac:dyDescent="0.15">
      <c r="A136" s="11">
        <v>45549</v>
      </c>
      <c r="B136" s="12" t="s">
        <v>23</v>
      </c>
      <c r="C136" s="12" t="s">
        <v>23</v>
      </c>
      <c r="D136" s="13" t="str">
        <f>HYPERLINK("https://www.marklines.com/en/global/10321","Tesla Gigafactory Texas")</f>
        <v>Tesla Gigafactory Texas</v>
      </c>
      <c r="E136" s="12" t="s">
        <v>573</v>
      </c>
      <c r="F136" s="12" t="s">
        <v>16</v>
      </c>
      <c r="G136" s="12" t="s">
        <v>17</v>
      </c>
      <c r="H136" s="12" t="s">
        <v>574</v>
      </c>
      <c r="I136" s="14">
        <v>45541</v>
      </c>
      <c r="J136" s="12" t="s">
        <v>1371</v>
      </c>
    </row>
    <row r="137" spans="1:10" s="15" customFormat="1" x14ac:dyDescent="0.15">
      <c r="A137" s="11">
        <v>45548</v>
      </c>
      <c r="B137" s="12" t="s">
        <v>15</v>
      </c>
      <c r="C137" s="12" t="s">
        <v>15</v>
      </c>
      <c r="D137" s="13" t="str">
        <f>HYPERLINK("https://www.marklines.com/en/global/1156","Tata Passenger Electric Mobility Limited (TPEML), Sanand Plant (formerly Ford India, Sanand Plant)")</f>
        <v>Tata Passenger Electric Mobility Limited (TPEML), Sanand Plant (formerly Ford India, Sanand Plant)</v>
      </c>
      <c r="E137" s="12" t="s">
        <v>1232</v>
      </c>
      <c r="F137" s="12" t="s">
        <v>36</v>
      </c>
      <c r="G137" s="12" t="s">
        <v>37</v>
      </c>
      <c r="H137" s="12" t="s">
        <v>248</v>
      </c>
      <c r="I137" s="14">
        <v>45548</v>
      </c>
      <c r="J137" s="12" t="s">
        <v>1233</v>
      </c>
    </row>
    <row r="138" spans="1:10" s="15" customFormat="1" x14ac:dyDescent="0.15">
      <c r="A138" s="11">
        <v>45548</v>
      </c>
      <c r="B138" s="12" t="s">
        <v>15</v>
      </c>
      <c r="C138" s="12" t="s">
        <v>15</v>
      </c>
      <c r="D138" s="13" t="str">
        <f>HYPERLINK("https://www.marklines.com/en/global/1155","Ford India, Chennai (Maraimalai Nagar) Plant")</f>
        <v>Ford India, Chennai (Maraimalai Nagar) Plant</v>
      </c>
      <c r="E138" s="12" t="s">
        <v>1234</v>
      </c>
      <c r="F138" s="12" t="s">
        <v>36</v>
      </c>
      <c r="G138" s="12" t="s">
        <v>37</v>
      </c>
      <c r="H138" s="12" t="s">
        <v>84</v>
      </c>
      <c r="I138" s="14">
        <v>45548</v>
      </c>
      <c r="J138" s="12" t="s">
        <v>1233</v>
      </c>
    </row>
    <row r="139" spans="1:10" s="15" customFormat="1" x14ac:dyDescent="0.15">
      <c r="A139" s="11">
        <v>45548</v>
      </c>
      <c r="B139" s="12" t="s">
        <v>11</v>
      </c>
      <c r="C139" s="12" t="s">
        <v>214</v>
      </c>
      <c r="D139" s="13" t="str">
        <f>HYPERLINK("https://www.marklines.com/en/global/1327","Stellantis, FCA Italy, Mirafiori (Turin) Plant")</f>
        <v>Stellantis, FCA Italy, Mirafiori (Turin) Plant</v>
      </c>
      <c r="E139" s="12" t="s">
        <v>218</v>
      </c>
      <c r="F139" s="12" t="s">
        <v>13</v>
      </c>
      <c r="G139" s="12" t="s">
        <v>216</v>
      </c>
      <c r="H139" s="12"/>
      <c r="I139" s="14">
        <v>45547</v>
      </c>
      <c r="J139" s="12" t="s">
        <v>1235</v>
      </c>
    </row>
    <row r="140" spans="1:10" s="15" customFormat="1" x14ac:dyDescent="0.15">
      <c r="A140" s="11">
        <v>45548</v>
      </c>
      <c r="B140" s="12" t="s">
        <v>43</v>
      </c>
      <c r="C140" s="12" t="s">
        <v>43</v>
      </c>
      <c r="D140" s="13" t="str">
        <f>HYPERLINK("https://www.marklines.com/en/global/3473","Honda Motor (China) Investment Co., Ltd. ")</f>
        <v xml:space="preserve">Honda Motor (China) Investment Co., Ltd. </v>
      </c>
      <c r="E140" s="12" t="s">
        <v>1236</v>
      </c>
      <c r="F140" s="12" t="s">
        <v>21</v>
      </c>
      <c r="G140" s="12" t="s">
        <v>47</v>
      </c>
      <c r="H140" s="12" t="s">
        <v>56</v>
      </c>
      <c r="I140" s="14">
        <v>45545</v>
      </c>
      <c r="J140" s="12" t="s">
        <v>1237</v>
      </c>
    </row>
    <row r="141" spans="1:10" s="15" customFormat="1" x14ac:dyDescent="0.15">
      <c r="A141" s="11">
        <v>45548</v>
      </c>
      <c r="B141" s="12" t="s">
        <v>43</v>
      </c>
      <c r="C141" s="12" t="s">
        <v>43</v>
      </c>
      <c r="D141" s="13" t="str">
        <f>HYPERLINK("https://www.marklines.com/en/global/3981","Dongfeng Honda Automobile Co., Ltd. ")</f>
        <v xml:space="preserve">Dongfeng Honda Automobile Co., Ltd. </v>
      </c>
      <c r="E141" s="12" t="s">
        <v>550</v>
      </c>
      <c r="F141" s="12" t="s">
        <v>21</v>
      </c>
      <c r="G141" s="12" t="s">
        <v>47</v>
      </c>
      <c r="H141" s="12" t="s">
        <v>294</v>
      </c>
      <c r="I141" s="14">
        <v>45545</v>
      </c>
      <c r="J141" s="12" t="s">
        <v>1237</v>
      </c>
    </row>
    <row r="142" spans="1:10" s="15" customFormat="1" x14ac:dyDescent="0.15">
      <c r="A142" s="11">
        <v>45548</v>
      </c>
      <c r="B142" s="12" t="s">
        <v>52</v>
      </c>
      <c r="C142" s="12" t="s">
        <v>1238</v>
      </c>
      <c r="D142" s="13" t="str">
        <f>HYPERLINK("https://www.marklines.com/en/global/10391","Zhejiang Geely Automobile Co., Ltd. Meishan Plant")</f>
        <v>Zhejiang Geely Automobile Co., Ltd. Meishan Plant</v>
      </c>
      <c r="E142" s="12" t="s">
        <v>957</v>
      </c>
      <c r="F142" s="12" t="s">
        <v>21</v>
      </c>
      <c r="G142" s="12" t="s">
        <v>47</v>
      </c>
      <c r="H142" s="12" t="s">
        <v>54</v>
      </c>
      <c r="I142" s="14">
        <v>45545</v>
      </c>
      <c r="J142" s="12" t="s">
        <v>1239</v>
      </c>
    </row>
    <row r="143" spans="1:10" s="15" customFormat="1" x14ac:dyDescent="0.15">
      <c r="A143" s="11">
        <v>45548</v>
      </c>
      <c r="B143" s="12" t="s">
        <v>290</v>
      </c>
      <c r="C143" s="12" t="s">
        <v>290</v>
      </c>
      <c r="D143" s="13" t="str">
        <f>HYPERLINK("https://www.marklines.com/en/global/3973","Dongfeng Motor Group Co., Ltd.")</f>
        <v>Dongfeng Motor Group Co., Ltd.</v>
      </c>
      <c r="E143" s="12" t="s">
        <v>1240</v>
      </c>
      <c r="F143" s="12" t="s">
        <v>21</v>
      </c>
      <c r="G143" s="12" t="s">
        <v>47</v>
      </c>
      <c r="H143" s="12" t="s">
        <v>294</v>
      </c>
      <c r="I143" s="14">
        <v>45544</v>
      </c>
      <c r="J143" s="12" t="s">
        <v>1241</v>
      </c>
    </row>
    <row r="144" spans="1:10" s="15" customFormat="1" x14ac:dyDescent="0.15">
      <c r="A144" s="11">
        <v>45548</v>
      </c>
      <c r="B144" s="12" t="s">
        <v>290</v>
      </c>
      <c r="C144" s="12" t="s">
        <v>290</v>
      </c>
      <c r="D144" s="13" t="str">
        <f>HYPERLINK("https://www.marklines.com/en/global/3971","Dongfeng Motor Corporation ")</f>
        <v xml:space="preserve">Dongfeng Motor Corporation </v>
      </c>
      <c r="E144" s="12" t="s">
        <v>295</v>
      </c>
      <c r="F144" s="12" t="s">
        <v>21</v>
      </c>
      <c r="G144" s="12" t="s">
        <v>47</v>
      </c>
      <c r="H144" s="12" t="s">
        <v>294</v>
      </c>
      <c r="I144" s="14">
        <v>45544</v>
      </c>
      <c r="J144" s="12" t="s">
        <v>1241</v>
      </c>
    </row>
    <row r="145" spans="1:10" s="15" customFormat="1" x14ac:dyDescent="0.15">
      <c r="A145" s="11">
        <v>45547</v>
      </c>
      <c r="B145" s="12" t="s">
        <v>95</v>
      </c>
      <c r="C145" s="12" t="s">
        <v>95</v>
      </c>
      <c r="D145" s="13" t="str">
        <f>HYPERLINK("https://www.marklines.com/en/global/10203","BMW Group Battery Cell Competence Centre (BCCC) (Munich)")</f>
        <v>BMW Group Battery Cell Competence Centre (BCCC) (Munich)</v>
      </c>
      <c r="E145" s="12" t="s">
        <v>1242</v>
      </c>
      <c r="F145" s="12" t="s">
        <v>13</v>
      </c>
      <c r="G145" s="12" t="s">
        <v>25</v>
      </c>
      <c r="H145" s="12" t="s">
        <v>1157</v>
      </c>
      <c r="I145" s="14">
        <v>45547</v>
      </c>
      <c r="J145" s="12" t="s">
        <v>1243</v>
      </c>
    </row>
    <row r="146" spans="1:10" s="15" customFormat="1" x14ac:dyDescent="0.15">
      <c r="A146" s="11">
        <v>45547</v>
      </c>
      <c r="B146" s="12" t="s">
        <v>95</v>
      </c>
      <c r="C146" s="12" t="s">
        <v>95</v>
      </c>
      <c r="D146" s="13" t="str">
        <f>HYPERLINK("https://www.marklines.com/en/global/10316","BMW Cell Manufacturing Competence Center (CMCC), Parsdorf")</f>
        <v>BMW Cell Manufacturing Competence Center (CMCC), Parsdorf</v>
      </c>
      <c r="E146" s="12" t="s">
        <v>683</v>
      </c>
      <c r="F146" s="12" t="s">
        <v>13</v>
      </c>
      <c r="G146" s="12" t="s">
        <v>25</v>
      </c>
      <c r="H146" s="12" t="s">
        <v>1157</v>
      </c>
      <c r="I146" s="14">
        <v>45547</v>
      </c>
      <c r="J146" s="12" t="s">
        <v>1243</v>
      </c>
    </row>
    <row r="147" spans="1:10" s="15" customFormat="1" x14ac:dyDescent="0.15">
      <c r="A147" s="11">
        <v>45547</v>
      </c>
      <c r="B147" s="12" t="s">
        <v>49</v>
      </c>
      <c r="C147" s="12" t="s">
        <v>86</v>
      </c>
      <c r="D147" s="13" t="str">
        <f>HYPERLINK("https://www.marklines.com/en/global/2271","Volkswagen AG, Salzgitter Plant / Power Co SE, Salzgitter Gigafactory")</f>
        <v>Volkswagen AG, Salzgitter Plant / Power Co SE, Salzgitter Gigafactory</v>
      </c>
      <c r="E147" s="12" t="s">
        <v>1244</v>
      </c>
      <c r="F147" s="12" t="s">
        <v>13</v>
      </c>
      <c r="G147" s="12" t="s">
        <v>25</v>
      </c>
      <c r="H147" s="12" t="s">
        <v>1143</v>
      </c>
      <c r="I147" s="14">
        <v>45546</v>
      </c>
      <c r="J147" s="12" t="s">
        <v>1245</v>
      </c>
    </row>
    <row r="148" spans="1:10" s="15" customFormat="1" x14ac:dyDescent="0.15">
      <c r="A148" s="11">
        <v>45547</v>
      </c>
      <c r="B148" s="12" t="s">
        <v>11</v>
      </c>
      <c r="C148" s="12" t="s">
        <v>11</v>
      </c>
      <c r="D148" s="13" t="str">
        <f>HYPERLINK("https://www.marklines.com/en/global/2637","Stellantis, FCA US, Dundee Engine Plant")</f>
        <v>Stellantis, FCA US, Dundee Engine Plant</v>
      </c>
      <c r="E148" s="12" t="s">
        <v>1246</v>
      </c>
      <c r="F148" s="12" t="s">
        <v>16</v>
      </c>
      <c r="G148" s="12" t="s">
        <v>17</v>
      </c>
      <c r="H148" s="12" t="s">
        <v>19</v>
      </c>
      <c r="I148" s="14">
        <v>45546</v>
      </c>
      <c r="J148" s="12" t="s">
        <v>1247</v>
      </c>
    </row>
    <row r="149" spans="1:10" s="15" customFormat="1" x14ac:dyDescent="0.15">
      <c r="A149" s="11">
        <v>45547</v>
      </c>
      <c r="B149" s="12" t="s">
        <v>11</v>
      </c>
      <c r="C149" s="12" t="s">
        <v>11</v>
      </c>
      <c r="D149" s="13" t="str">
        <f>HYPERLINK("https://www.marklines.com/en/global/2641","Stellantis, FCA US, Sterling Heights Assembly Plant")</f>
        <v>Stellantis, FCA US, Sterling Heights Assembly Plant</v>
      </c>
      <c r="E149" s="12" t="s">
        <v>907</v>
      </c>
      <c r="F149" s="12" t="s">
        <v>16</v>
      </c>
      <c r="G149" s="12" t="s">
        <v>17</v>
      </c>
      <c r="H149" s="12" t="s">
        <v>19</v>
      </c>
      <c r="I149" s="14">
        <v>45546</v>
      </c>
      <c r="J149" s="12" t="s">
        <v>1247</v>
      </c>
    </row>
    <row r="150" spans="1:10" s="15" customFormat="1" x14ac:dyDescent="0.15">
      <c r="A150" s="11">
        <v>45547</v>
      </c>
      <c r="B150" s="12" t="s">
        <v>11</v>
      </c>
      <c r="C150" s="12" t="s">
        <v>11</v>
      </c>
      <c r="D150" s="13" t="str">
        <f>HYPERLINK("https://www.marklines.com/en/global/2647","Stellantis, FCA US, Warren Truck Assembly Plant")</f>
        <v>Stellantis, FCA US, Warren Truck Assembly Plant</v>
      </c>
      <c r="E150" s="12" t="s">
        <v>164</v>
      </c>
      <c r="F150" s="12" t="s">
        <v>16</v>
      </c>
      <c r="G150" s="12" t="s">
        <v>17</v>
      </c>
      <c r="H150" s="12" t="s">
        <v>19</v>
      </c>
      <c r="I150" s="14">
        <v>45546</v>
      </c>
      <c r="J150" s="12" t="s">
        <v>1247</v>
      </c>
    </row>
    <row r="151" spans="1:10" s="15" customFormat="1" x14ac:dyDescent="0.15">
      <c r="A151" s="11">
        <v>45547</v>
      </c>
      <c r="B151" s="12" t="s">
        <v>55</v>
      </c>
      <c r="C151" s="12" t="s">
        <v>74</v>
      </c>
      <c r="D151" s="13" t="str">
        <f>HYPERLINK("https://www.marklines.com/en/global/1621","Truong Hai Auto Company Ltd. (Thaco), Chu Lai Plant")</f>
        <v>Truong Hai Auto Company Ltd. (Thaco), Chu Lai Plant</v>
      </c>
      <c r="E151" s="12" t="s">
        <v>1248</v>
      </c>
      <c r="F151" s="12" t="s">
        <v>60</v>
      </c>
      <c r="G151" s="12" t="s">
        <v>376</v>
      </c>
      <c r="H151" s="12"/>
      <c r="I151" s="14">
        <v>45545</v>
      </c>
      <c r="J151" s="12" t="s">
        <v>1249</v>
      </c>
    </row>
    <row r="152" spans="1:10" s="15" customFormat="1" x14ac:dyDescent="0.15">
      <c r="A152" s="11">
        <v>45547</v>
      </c>
      <c r="B152" s="12" t="s">
        <v>38</v>
      </c>
      <c r="C152" s="12" t="s">
        <v>1250</v>
      </c>
      <c r="D152" s="13" t="str">
        <f>HYPERLINK("https://www.marklines.com/en/global/1621","Truong Hai Auto Company Ltd. (Thaco), Chu Lai Plant")</f>
        <v>Truong Hai Auto Company Ltd. (Thaco), Chu Lai Plant</v>
      </c>
      <c r="E152" s="12" t="s">
        <v>1248</v>
      </c>
      <c r="F152" s="12" t="s">
        <v>60</v>
      </c>
      <c r="G152" s="12" t="s">
        <v>376</v>
      </c>
      <c r="H152" s="12"/>
      <c r="I152" s="14">
        <v>45545</v>
      </c>
      <c r="J152" s="12" t="s">
        <v>1249</v>
      </c>
    </row>
    <row r="153" spans="1:10" s="15" customFormat="1" x14ac:dyDescent="0.15">
      <c r="A153" s="11">
        <v>45547</v>
      </c>
      <c r="B153" s="12" t="s">
        <v>725</v>
      </c>
      <c r="C153" s="12" t="s">
        <v>850</v>
      </c>
      <c r="D153" s="13" t="str">
        <f>HYPERLINK("https://www.marklines.com/en/global/843","Stellantis, FCA Mexico, Toluca Assembly Plant")</f>
        <v>Stellantis, FCA Mexico, Toluca Assembly Plant</v>
      </c>
      <c r="E153" s="12" t="s">
        <v>931</v>
      </c>
      <c r="F153" s="12" t="s">
        <v>16</v>
      </c>
      <c r="G153" s="12" t="s">
        <v>229</v>
      </c>
      <c r="H153" s="12" t="s">
        <v>1251</v>
      </c>
      <c r="I153" s="14">
        <v>45545</v>
      </c>
      <c r="J153" s="12" t="s">
        <v>1252</v>
      </c>
    </row>
    <row r="154" spans="1:10" s="15" customFormat="1" x14ac:dyDescent="0.15">
      <c r="A154" s="11">
        <v>45547</v>
      </c>
      <c r="B154" s="12" t="s">
        <v>30</v>
      </c>
      <c r="C154" s="12" t="s">
        <v>30</v>
      </c>
      <c r="D154" s="13" t="str">
        <f>HYPERLINK("https://www.marklines.com/en/global/3153","Rivian, Normal Plant (former Mitsubishi Motors North America, Normal Plant)")</f>
        <v>Rivian, Normal Plant (former Mitsubishi Motors North America, Normal Plant)</v>
      </c>
      <c r="E154" s="12" t="s">
        <v>31</v>
      </c>
      <c r="F154" s="12" t="s">
        <v>16</v>
      </c>
      <c r="G154" s="12" t="s">
        <v>17</v>
      </c>
      <c r="H154" s="12" t="s">
        <v>32</v>
      </c>
      <c r="I154" s="14">
        <v>45544</v>
      </c>
      <c r="J154" s="12" t="s">
        <v>1253</v>
      </c>
    </row>
    <row r="155" spans="1:10" s="15" customFormat="1" x14ac:dyDescent="0.15">
      <c r="A155" s="11">
        <v>45547</v>
      </c>
      <c r="B155" s="12" t="s">
        <v>224</v>
      </c>
      <c r="C155" s="12" t="s">
        <v>414</v>
      </c>
      <c r="D155" s="13" t="str">
        <f>HYPERLINK("https://www.marklines.com/en/global/2541","General Motors Canada, Ingersoll Plant")</f>
        <v>General Motors Canada, Ingersoll Plant</v>
      </c>
      <c r="E155" s="12" t="s">
        <v>240</v>
      </c>
      <c r="F155" s="12" t="s">
        <v>16</v>
      </c>
      <c r="G155" s="12" t="s">
        <v>241</v>
      </c>
      <c r="H155" s="12"/>
      <c r="I155" s="14">
        <v>45544</v>
      </c>
      <c r="J155" s="12" t="s">
        <v>1254</v>
      </c>
    </row>
    <row r="156" spans="1:10" s="15" customFormat="1" x14ac:dyDescent="0.15">
      <c r="A156" s="11">
        <v>45547</v>
      </c>
      <c r="B156" s="12" t="s">
        <v>51</v>
      </c>
      <c r="C156" s="12" t="s">
        <v>458</v>
      </c>
      <c r="D156" s="13" t="str">
        <f>HYPERLINK("https://www.marklines.com/en/global/3687","SAIC GM Wuling Automobile Co., Ltd. Qingdao Branch (SGMW Qingdao Branch)")</f>
        <v>SAIC GM Wuling Automobile Co., Ltd. Qingdao Branch (SGMW Qingdao Branch)</v>
      </c>
      <c r="E156" s="12" t="s">
        <v>1255</v>
      </c>
      <c r="F156" s="12" t="s">
        <v>21</v>
      </c>
      <c r="G156" s="12" t="s">
        <v>47</v>
      </c>
      <c r="H156" s="12" t="s">
        <v>116</v>
      </c>
      <c r="I156" s="14">
        <v>45541</v>
      </c>
      <c r="J156" s="12" t="s">
        <v>1256</v>
      </c>
    </row>
    <row r="157" spans="1:10" s="15" customFormat="1" x14ac:dyDescent="0.15">
      <c r="A157" s="11">
        <v>45547</v>
      </c>
      <c r="B157" s="12" t="s">
        <v>51</v>
      </c>
      <c r="C157" s="12" t="s">
        <v>458</v>
      </c>
      <c r="D157" s="13" t="str">
        <f>HYPERLINK("https://www.marklines.com/en/global/9039","SAIC GM Wuling Automobile Co., Ltd. Chongqing Branch (SGMW Chongqing Branch)")</f>
        <v>SAIC GM Wuling Automobile Co., Ltd. Chongqing Branch (SGMW Chongqing Branch)</v>
      </c>
      <c r="E157" s="12" t="s">
        <v>766</v>
      </c>
      <c r="F157" s="12" t="s">
        <v>21</v>
      </c>
      <c r="G157" s="12" t="s">
        <v>47</v>
      </c>
      <c r="H157" s="12" t="s">
        <v>362</v>
      </c>
      <c r="I157" s="14">
        <v>45541</v>
      </c>
      <c r="J157" s="12" t="s">
        <v>1256</v>
      </c>
    </row>
    <row r="158" spans="1:10" s="15" customFormat="1" x14ac:dyDescent="0.15">
      <c r="A158" s="11">
        <v>45547</v>
      </c>
      <c r="B158" s="12" t="s">
        <v>51</v>
      </c>
      <c r="C158" s="12" t="s">
        <v>458</v>
      </c>
      <c r="D158" s="13" t="str">
        <f>HYPERLINK("https://www.marklines.com/en/global/4153","SAIC-GM-Wuling Automobile Co., Ltd. (SGMW)　")</f>
        <v>SAIC-GM-Wuling Automobile Co., Ltd. (SGMW)　</v>
      </c>
      <c r="E158" s="12" t="s">
        <v>459</v>
      </c>
      <c r="F158" s="12" t="s">
        <v>21</v>
      </c>
      <c r="G158" s="12" t="s">
        <v>47</v>
      </c>
      <c r="H158" s="12" t="s">
        <v>460</v>
      </c>
      <c r="I158" s="14">
        <v>45541</v>
      </c>
      <c r="J158" s="12" t="s">
        <v>1256</v>
      </c>
    </row>
    <row r="159" spans="1:10" s="15" customFormat="1" x14ac:dyDescent="0.15">
      <c r="A159" s="11">
        <v>45546</v>
      </c>
      <c r="B159" s="12" t="s">
        <v>15</v>
      </c>
      <c r="C159" s="12" t="s">
        <v>15</v>
      </c>
      <c r="D159" s="13" t="str">
        <f>HYPERLINK("https://www.marklines.com/en/global/3909","Jiangling Motors Co., Ltd. Xiaolan Branch")</f>
        <v>Jiangling Motors Co., Ltd. Xiaolan Branch</v>
      </c>
      <c r="E159" s="12" t="s">
        <v>1257</v>
      </c>
      <c r="F159" s="12" t="s">
        <v>21</v>
      </c>
      <c r="G159" s="12" t="s">
        <v>47</v>
      </c>
      <c r="H159" s="12" t="s">
        <v>824</v>
      </c>
      <c r="I159" s="14">
        <v>45545</v>
      </c>
      <c r="J159" s="12" t="s">
        <v>1258</v>
      </c>
    </row>
    <row r="160" spans="1:10" s="15" customFormat="1" x14ac:dyDescent="0.15">
      <c r="A160" s="11">
        <v>45546</v>
      </c>
      <c r="B160" s="12" t="s">
        <v>15</v>
      </c>
      <c r="C160" s="12" t="s">
        <v>15</v>
      </c>
      <c r="D160" s="13" t="str">
        <f>HYPERLINK("https://www.marklines.com/en/global/1901","Ford Motor Spain, Valencia (Almussafes) Plant")</f>
        <v>Ford Motor Spain, Valencia (Almussafes) Plant</v>
      </c>
      <c r="E160" s="12" t="s">
        <v>91</v>
      </c>
      <c r="F160" s="12" t="s">
        <v>13</v>
      </c>
      <c r="G160" s="12" t="s">
        <v>14</v>
      </c>
      <c r="H160" s="12"/>
      <c r="I160" s="14">
        <v>45545</v>
      </c>
      <c r="J160" s="12" t="s">
        <v>1259</v>
      </c>
    </row>
    <row r="161" spans="1:10" s="15" customFormat="1" x14ac:dyDescent="0.15">
      <c r="A161" s="11">
        <v>45546</v>
      </c>
      <c r="B161" s="12" t="s">
        <v>103</v>
      </c>
      <c r="C161" s="12" t="s">
        <v>506</v>
      </c>
      <c r="D161" s="13" t="str">
        <f>HYPERLINK("https://www.marklines.com/en/global/1925","Barcelona Decarbonisation Hub (D-HUB) (former Nissan Motor Iberica, Barcelona Plant)")</f>
        <v>Barcelona Decarbonisation Hub (D-HUB) (former Nissan Motor Iberica, Barcelona Plant)</v>
      </c>
      <c r="E161" s="12" t="s">
        <v>507</v>
      </c>
      <c r="F161" s="12" t="s">
        <v>13</v>
      </c>
      <c r="G161" s="12" t="s">
        <v>14</v>
      </c>
      <c r="H161" s="12"/>
      <c r="I161" s="14">
        <v>45545</v>
      </c>
      <c r="J161" s="12" t="s">
        <v>1260</v>
      </c>
    </row>
    <row r="162" spans="1:10" s="15" customFormat="1" x14ac:dyDescent="0.15">
      <c r="A162" s="11">
        <v>45546</v>
      </c>
      <c r="B162" s="12" t="s">
        <v>43</v>
      </c>
      <c r="C162" s="12" t="s">
        <v>43</v>
      </c>
      <c r="D162" s="13" t="str">
        <f>HYPERLINK("https://www.marklines.com/en/global/10661","L-H Battery Company, Inc., Ohio Plant (tentative name)")</f>
        <v>L-H Battery Company, Inc., Ohio Plant (tentative name)</v>
      </c>
      <c r="E162" s="12" t="s">
        <v>808</v>
      </c>
      <c r="F162" s="12" t="s">
        <v>16</v>
      </c>
      <c r="G162" s="12" t="s">
        <v>17</v>
      </c>
      <c r="H162" s="12" t="s">
        <v>18</v>
      </c>
      <c r="I162" s="14">
        <v>45545</v>
      </c>
      <c r="J162" s="12" t="s">
        <v>1261</v>
      </c>
    </row>
    <row r="163" spans="1:10" s="15" customFormat="1" x14ac:dyDescent="0.15">
      <c r="A163" s="11">
        <v>45546</v>
      </c>
      <c r="B163" s="12" t="s">
        <v>43</v>
      </c>
      <c r="C163" s="12" t="s">
        <v>43</v>
      </c>
      <c r="D163" s="13" t="str">
        <f>HYPERLINK("https://www.marklines.com/en/global/3111","Honda Development &amp; Manufacturing of America, LLC (HDMA), East Liberty Auto Plant")</f>
        <v>Honda Development &amp; Manufacturing of America, LLC (HDMA), East Liberty Auto Plant</v>
      </c>
      <c r="E163" s="12" t="s">
        <v>733</v>
      </c>
      <c r="F163" s="12" t="s">
        <v>16</v>
      </c>
      <c r="G163" s="12" t="s">
        <v>17</v>
      </c>
      <c r="H163" s="12" t="s">
        <v>18</v>
      </c>
      <c r="I163" s="14">
        <v>45545</v>
      </c>
      <c r="J163" s="12" t="s">
        <v>1261</v>
      </c>
    </row>
    <row r="164" spans="1:10" s="15" customFormat="1" x14ac:dyDescent="0.15">
      <c r="A164" s="11">
        <v>45546</v>
      </c>
      <c r="B164" s="12" t="s">
        <v>43</v>
      </c>
      <c r="C164" s="12" t="s">
        <v>43</v>
      </c>
      <c r="D164" s="13" t="str">
        <f>HYPERLINK("https://www.marklines.com/en/global/3113","Honda Development &amp; Manufacturing of America, LLC (HDMA), Anna Engine Plant")</f>
        <v>Honda Development &amp; Manufacturing of America, LLC (HDMA), Anna Engine Plant</v>
      </c>
      <c r="E164" s="12" t="s">
        <v>583</v>
      </c>
      <c r="F164" s="12" t="s">
        <v>16</v>
      </c>
      <c r="G164" s="12" t="s">
        <v>17</v>
      </c>
      <c r="H164" s="12" t="s">
        <v>18</v>
      </c>
      <c r="I164" s="14">
        <v>45545</v>
      </c>
      <c r="J164" s="12" t="s">
        <v>1261</v>
      </c>
    </row>
    <row r="165" spans="1:10" s="15" customFormat="1" x14ac:dyDescent="0.15">
      <c r="A165" s="11">
        <v>45546</v>
      </c>
      <c r="B165" s="12" t="s">
        <v>43</v>
      </c>
      <c r="C165" s="12" t="s">
        <v>43</v>
      </c>
      <c r="D165" s="13" t="str">
        <f>HYPERLINK("https://www.marklines.com/en/global/3109","Honda Development &amp; Manufacturing of America, LLC (HDMA), Marysville Auto Plant")</f>
        <v>Honda Development &amp; Manufacturing of America, LLC (HDMA), Marysville Auto Plant</v>
      </c>
      <c r="E165" s="12" t="s">
        <v>810</v>
      </c>
      <c r="F165" s="12" t="s">
        <v>16</v>
      </c>
      <c r="G165" s="12" t="s">
        <v>17</v>
      </c>
      <c r="H165" s="12" t="s">
        <v>18</v>
      </c>
      <c r="I165" s="14">
        <v>45545</v>
      </c>
      <c r="J165" s="12" t="s">
        <v>1261</v>
      </c>
    </row>
    <row r="166" spans="1:10" s="15" customFormat="1" x14ac:dyDescent="0.15">
      <c r="A166" s="11">
        <v>45546</v>
      </c>
      <c r="B166" s="12" t="s">
        <v>49</v>
      </c>
      <c r="C166" s="12" t="s">
        <v>227</v>
      </c>
      <c r="D166" s="13" t="str">
        <f>HYPERLINK("https://www.marklines.com/en/global/911","Volkswagen Mexico, Puebla Plant")</f>
        <v>Volkswagen Mexico, Puebla Plant</v>
      </c>
      <c r="E166" s="12" t="s">
        <v>228</v>
      </c>
      <c r="F166" s="12" t="s">
        <v>16</v>
      </c>
      <c r="G166" s="12" t="s">
        <v>229</v>
      </c>
      <c r="H166" s="12" t="s">
        <v>1172</v>
      </c>
      <c r="I166" s="14">
        <v>45543</v>
      </c>
      <c r="J166" s="12" t="s">
        <v>1262</v>
      </c>
    </row>
    <row r="167" spans="1:10" s="15" customFormat="1" x14ac:dyDescent="0.15">
      <c r="A167" s="11">
        <v>45546</v>
      </c>
      <c r="B167" s="12" t="s">
        <v>49</v>
      </c>
      <c r="C167" s="12" t="s">
        <v>98</v>
      </c>
      <c r="D167" s="13" t="str">
        <f>HYPERLINK("https://www.marklines.com/en/global/10485","Audi FAW New Energy Vehicle Co., Ltd.")</f>
        <v>Audi FAW New Energy Vehicle Co., Ltd.</v>
      </c>
      <c r="E167" s="12" t="s">
        <v>1263</v>
      </c>
      <c r="F167" s="12" t="s">
        <v>21</v>
      </c>
      <c r="G167" s="12" t="s">
        <v>47</v>
      </c>
      <c r="H167" s="12" t="s">
        <v>57</v>
      </c>
      <c r="I167" s="14">
        <v>45540</v>
      </c>
      <c r="J167" s="12" t="s">
        <v>1264</v>
      </c>
    </row>
    <row r="168" spans="1:10" s="15" customFormat="1" x14ac:dyDescent="0.15">
      <c r="A168" s="11">
        <v>45546</v>
      </c>
      <c r="B168" s="12" t="s">
        <v>49</v>
      </c>
      <c r="C168" s="12" t="s">
        <v>86</v>
      </c>
      <c r="D168" s="13" t="str">
        <f>HYPERLINK("https://www.marklines.com/en/global/3615","SAIC Volkswagen Automotive Co., Ltd.")</f>
        <v>SAIC Volkswagen Automotive Co., Ltd.</v>
      </c>
      <c r="E168" s="12" t="s">
        <v>144</v>
      </c>
      <c r="F168" s="12" t="s">
        <v>21</v>
      </c>
      <c r="G168" s="12" t="s">
        <v>47</v>
      </c>
      <c r="H168" s="12" t="s">
        <v>94</v>
      </c>
      <c r="I168" s="14">
        <v>45540</v>
      </c>
      <c r="J168" s="12" t="s">
        <v>1264</v>
      </c>
    </row>
    <row r="169" spans="1:10" s="15" customFormat="1" x14ac:dyDescent="0.15">
      <c r="A169" s="11">
        <v>45546</v>
      </c>
      <c r="B169" s="12" t="s">
        <v>51</v>
      </c>
      <c r="C169" s="12" t="s">
        <v>51</v>
      </c>
      <c r="D169" s="13" t="str">
        <f>HYPERLINK("https://www.marklines.com/en/global/3609","SAIC Motor Corporation Limited")</f>
        <v>SAIC Motor Corporation Limited</v>
      </c>
      <c r="E169" s="12" t="s">
        <v>137</v>
      </c>
      <c r="F169" s="12" t="s">
        <v>21</v>
      </c>
      <c r="G169" s="12" t="s">
        <v>47</v>
      </c>
      <c r="H169" s="12" t="s">
        <v>94</v>
      </c>
      <c r="I169" s="14">
        <v>45540</v>
      </c>
      <c r="J169" s="12" t="s">
        <v>1264</v>
      </c>
    </row>
    <row r="170" spans="1:10" s="15" customFormat="1" x14ac:dyDescent="0.15">
      <c r="A170" s="11">
        <v>45546</v>
      </c>
      <c r="B170" s="12" t="s">
        <v>51</v>
      </c>
      <c r="C170" s="12" t="s">
        <v>51</v>
      </c>
      <c r="D170" s="13" t="str">
        <f>HYPERLINK("https://www.marklines.com/en/global/3615","SAIC Volkswagen Automotive Co., Ltd.")</f>
        <v>SAIC Volkswagen Automotive Co., Ltd.</v>
      </c>
      <c r="E170" s="12" t="s">
        <v>144</v>
      </c>
      <c r="F170" s="12" t="s">
        <v>21</v>
      </c>
      <c r="G170" s="12" t="s">
        <v>47</v>
      </c>
      <c r="H170" s="12" t="s">
        <v>94</v>
      </c>
      <c r="I170" s="14">
        <v>45540</v>
      </c>
      <c r="J170" s="12" t="s">
        <v>1264</v>
      </c>
    </row>
    <row r="171" spans="1:10" s="15" customFormat="1" x14ac:dyDescent="0.15">
      <c r="A171" s="11">
        <v>45546</v>
      </c>
      <c r="B171" s="12" t="s">
        <v>58</v>
      </c>
      <c r="C171" s="12" t="s">
        <v>58</v>
      </c>
      <c r="D171" s="13" t="str">
        <f>HYPERLINK("https://www.marklines.com/en/global/10485","Audi FAW New Energy Vehicle Co., Ltd.")</f>
        <v>Audi FAW New Energy Vehicle Co., Ltd.</v>
      </c>
      <c r="E171" s="12" t="s">
        <v>1263</v>
      </c>
      <c r="F171" s="12" t="s">
        <v>21</v>
      </c>
      <c r="G171" s="12" t="s">
        <v>47</v>
      </c>
      <c r="H171" s="12" t="s">
        <v>57</v>
      </c>
      <c r="I171" s="14">
        <v>45540</v>
      </c>
      <c r="J171" s="12" t="s">
        <v>1264</v>
      </c>
    </row>
    <row r="172" spans="1:10" s="15" customFormat="1" x14ac:dyDescent="0.15">
      <c r="A172" s="11">
        <v>45546</v>
      </c>
      <c r="B172" s="12" t="s">
        <v>58</v>
      </c>
      <c r="C172" s="12" t="s">
        <v>58</v>
      </c>
      <c r="D172" s="13" t="str">
        <f>HYPERLINK("https://www.marklines.com/en/global/3333","China FAW Group Co., Ltd.  (Formerly China FAW Group Corporation)")</f>
        <v>China FAW Group Co., Ltd.  (Formerly China FAW Group Corporation)</v>
      </c>
      <c r="E172" s="12" t="s">
        <v>123</v>
      </c>
      <c r="F172" s="12" t="s">
        <v>21</v>
      </c>
      <c r="G172" s="12" t="s">
        <v>47</v>
      </c>
      <c r="H172" s="12" t="s">
        <v>57</v>
      </c>
      <c r="I172" s="14">
        <v>45540</v>
      </c>
      <c r="J172" s="12" t="s">
        <v>1264</v>
      </c>
    </row>
    <row r="173" spans="1:10" s="15" customFormat="1" x14ac:dyDescent="0.15">
      <c r="A173" s="11">
        <v>45546</v>
      </c>
      <c r="B173" s="12" t="s">
        <v>38</v>
      </c>
      <c r="C173" s="12" t="s">
        <v>673</v>
      </c>
      <c r="D173" s="13" t="str">
        <f>HYPERLINK("https://www.marklines.com/en/global/10317","China Evergrande New Energy Vehicle Group Limited")</f>
        <v>China Evergrande New Energy Vehicle Group Limited</v>
      </c>
      <c r="E173" s="12" t="s">
        <v>674</v>
      </c>
      <c r="F173" s="12" t="s">
        <v>21</v>
      </c>
      <c r="G173" s="12" t="s">
        <v>47</v>
      </c>
      <c r="H173" s="12" t="s">
        <v>48</v>
      </c>
      <c r="I173" s="14">
        <v>45540</v>
      </c>
      <c r="J173" s="12" t="s">
        <v>1265</v>
      </c>
    </row>
    <row r="174" spans="1:10" s="15" customFormat="1" x14ac:dyDescent="0.15">
      <c r="A174" s="11">
        <v>45546</v>
      </c>
      <c r="B174" s="12" t="s">
        <v>38</v>
      </c>
      <c r="C174" s="12" t="s">
        <v>673</v>
      </c>
      <c r="D174" s="13" t="str">
        <f>HYPERLINK("https://www.marklines.com/en/global/9973","Evergrande New Energy Automobile Investment Holdings Group Co., Ltd.")</f>
        <v>Evergrande New Energy Automobile Investment Holdings Group Co., Ltd.</v>
      </c>
      <c r="E174" s="12" t="s">
        <v>1266</v>
      </c>
      <c r="F174" s="12" t="s">
        <v>21</v>
      </c>
      <c r="G174" s="12" t="s">
        <v>47</v>
      </c>
      <c r="H174" s="12" t="s">
        <v>48</v>
      </c>
      <c r="I174" s="14">
        <v>45540</v>
      </c>
      <c r="J174" s="12" t="s">
        <v>1265</v>
      </c>
    </row>
    <row r="175" spans="1:10" s="15" customFormat="1" x14ac:dyDescent="0.15">
      <c r="A175" s="11">
        <v>45546</v>
      </c>
      <c r="B175" s="12" t="s">
        <v>38</v>
      </c>
      <c r="C175" s="12" t="s">
        <v>673</v>
      </c>
      <c r="D175" s="13" t="str">
        <f>HYPERLINK("https://www.marklines.com/en/global/9817","Evergrande Hengchi New Energy Vehicle (Shanghai) Co., Ltd.  (formerly Evergrande NEVS (Shanghai) Co., Ltd.)")</f>
        <v>Evergrande Hengchi New Energy Vehicle (Shanghai) Co., Ltd.  (formerly Evergrande NEVS (Shanghai) Co., Ltd.)</v>
      </c>
      <c r="E175" s="12" t="s">
        <v>1267</v>
      </c>
      <c r="F175" s="12" t="s">
        <v>21</v>
      </c>
      <c r="G175" s="12" t="s">
        <v>47</v>
      </c>
      <c r="H175" s="12" t="s">
        <v>94</v>
      </c>
      <c r="I175" s="14">
        <v>45540</v>
      </c>
      <c r="J175" s="12" t="s">
        <v>1265</v>
      </c>
    </row>
    <row r="176" spans="1:10" s="15" customFormat="1" x14ac:dyDescent="0.15">
      <c r="A176" s="11">
        <v>45546</v>
      </c>
      <c r="B176" s="12" t="s">
        <v>70</v>
      </c>
      <c r="C176" s="12" t="s">
        <v>70</v>
      </c>
      <c r="D176" s="13" t="str">
        <f>HYPERLINK("https://www.marklines.com/en/global/10914","BYD Global R&amp;D Center")</f>
        <v>BYD Global R&amp;D Center</v>
      </c>
      <c r="E176" s="12" t="s">
        <v>1268</v>
      </c>
      <c r="F176" s="12" t="s">
        <v>21</v>
      </c>
      <c r="G176" s="12" t="s">
        <v>47</v>
      </c>
      <c r="H176" s="12" t="s">
        <v>48</v>
      </c>
      <c r="I176" s="14">
        <v>45539</v>
      </c>
      <c r="J176" s="12" t="s">
        <v>1269</v>
      </c>
    </row>
    <row r="177" spans="1:10" s="15" customFormat="1" x14ac:dyDescent="0.15">
      <c r="A177" s="11">
        <v>45546</v>
      </c>
      <c r="B177" s="12" t="s">
        <v>35</v>
      </c>
      <c r="C177" s="12" t="s">
        <v>1213</v>
      </c>
      <c r="D177" s="13" t="str">
        <f>HYPERLINK("https://www.marklines.com/en/global/2971","Hino Motors Manufacturing Colombia, S.A. (HMMC), Cota Plant")</f>
        <v>Hino Motors Manufacturing Colombia, S.A. (HMMC), Cota Plant</v>
      </c>
      <c r="E177" s="12" t="s">
        <v>1270</v>
      </c>
      <c r="F177" s="12" t="s">
        <v>45</v>
      </c>
      <c r="G177" s="12" t="s">
        <v>1271</v>
      </c>
      <c r="H177" s="12"/>
      <c r="I177" s="14">
        <v>45535</v>
      </c>
      <c r="J177" s="12" t="s">
        <v>1272</v>
      </c>
    </row>
    <row r="178" spans="1:10" s="15" customFormat="1" x14ac:dyDescent="0.15">
      <c r="A178" s="11">
        <v>45546</v>
      </c>
      <c r="B178" s="12" t="s">
        <v>70</v>
      </c>
      <c r="C178" s="12" t="s">
        <v>70</v>
      </c>
      <c r="D178" s="13" t="str">
        <f>HYPERLINK("https://www.marklines.com/en/global/2971","Hino Motors Manufacturing Colombia, S.A. (HMMC), Cota Plant")</f>
        <v>Hino Motors Manufacturing Colombia, S.A. (HMMC), Cota Plant</v>
      </c>
      <c r="E178" s="12" t="s">
        <v>1270</v>
      </c>
      <c r="F178" s="12" t="s">
        <v>45</v>
      </c>
      <c r="G178" s="12" t="s">
        <v>1271</v>
      </c>
      <c r="H178" s="12"/>
      <c r="I178" s="14">
        <v>45535</v>
      </c>
      <c r="J178" s="12" t="s">
        <v>1272</v>
      </c>
    </row>
    <row r="179" spans="1:10" s="15" customFormat="1" x14ac:dyDescent="0.15">
      <c r="A179" s="11">
        <v>45546</v>
      </c>
      <c r="B179" s="12" t="s">
        <v>55</v>
      </c>
      <c r="C179" s="12" t="s">
        <v>55</v>
      </c>
      <c r="D179" s="13" t="str">
        <f>HYPERLINK("https://www.marklines.com/en/global/2865","Hyundai Motor Brasil (HMB), Piracicaba Plant")</f>
        <v>Hyundai Motor Brasil (HMB), Piracicaba Plant</v>
      </c>
      <c r="E179" s="12" t="s">
        <v>1273</v>
      </c>
      <c r="F179" s="12" t="s">
        <v>45</v>
      </c>
      <c r="G179" s="12" t="s">
        <v>232</v>
      </c>
      <c r="H179" s="12"/>
      <c r="I179" s="14">
        <v>45530</v>
      </c>
      <c r="J179" s="12" t="s">
        <v>1274</v>
      </c>
    </row>
    <row r="180" spans="1:10" s="15" customFormat="1" x14ac:dyDescent="0.15">
      <c r="A180" s="11">
        <v>45545</v>
      </c>
      <c r="B180" s="12" t="s">
        <v>44</v>
      </c>
      <c r="C180" s="12" t="s">
        <v>44</v>
      </c>
      <c r="D180" s="13" t="str">
        <f>HYPERLINK("https://www.marklines.com/en/global/1947","Renault Spain, Valladolid Plant")</f>
        <v>Renault Spain, Valladolid Plant</v>
      </c>
      <c r="E180" s="12" t="s">
        <v>944</v>
      </c>
      <c r="F180" s="12" t="s">
        <v>13</v>
      </c>
      <c r="G180" s="12" t="s">
        <v>14</v>
      </c>
      <c r="H180" s="12"/>
      <c r="I180" s="14">
        <v>45545</v>
      </c>
      <c r="J180" s="12" t="s">
        <v>1275</v>
      </c>
    </row>
    <row r="181" spans="1:10" s="15" customFormat="1" x14ac:dyDescent="0.15">
      <c r="A181" s="11">
        <v>45545</v>
      </c>
      <c r="B181" s="12" t="s">
        <v>725</v>
      </c>
      <c r="C181" s="12" t="s">
        <v>850</v>
      </c>
      <c r="D181" s="13" t="str">
        <f>HYPERLINK("https://www.marklines.com/en/global/2653","Stellantis, FCA US, Toledo Assembly Complex (Toledo North)")</f>
        <v>Stellantis, FCA US, Toledo Assembly Complex (Toledo North)</v>
      </c>
      <c r="E181" s="12" t="s">
        <v>130</v>
      </c>
      <c r="F181" s="12" t="s">
        <v>16</v>
      </c>
      <c r="G181" s="12" t="s">
        <v>17</v>
      </c>
      <c r="H181" s="12" t="s">
        <v>18</v>
      </c>
      <c r="I181" s="14">
        <v>45544</v>
      </c>
      <c r="J181" s="12" t="s">
        <v>1276</v>
      </c>
    </row>
    <row r="182" spans="1:10" s="15" customFormat="1" x14ac:dyDescent="0.15">
      <c r="A182" s="11">
        <v>45545</v>
      </c>
      <c r="B182" s="12" t="s">
        <v>725</v>
      </c>
      <c r="C182" s="12" t="s">
        <v>850</v>
      </c>
      <c r="D182" s="13" t="str">
        <f>HYPERLINK("https://www.marklines.com/en/global/2655","Stellantis, FCA US, Toledo Assembly Complex (Toledo Supplier Park)")</f>
        <v>Stellantis, FCA US, Toledo Assembly Complex (Toledo Supplier Park)</v>
      </c>
      <c r="E182" s="12" t="s">
        <v>166</v>
      </c>
      <c r="F182" s="12" t="s">
        <v>16</v>
      </c>
      <c r="G182" s="12" t="s">
        <v>17</v>
      </c>
      <c r="H182" s="12" t="s">
        <v>18</v>
      </c>
      <c r="I182" s="14">
        <v>45544</v>
      </c>
      <c r="J182" s="12" t="s">
        <v>1276</v>
      </c>
    </row>
    <row r="183" spans="1:10" s="15" customFormat="1" x14ac:dyDescent="0.15">
      <c r="A183" s="11">
        <v>45545</v>
      </c>
      <c r="B183" s="12" t="s">
        <v>23</v>
      </c>
      <c r="C183" s="12" t="s">
        <v>23</v>
      </c>
      <c r="D183" s="13" t="str">
        <f>HYPERLINK("https://www.marklines.com/en/global/4512","Tesla Gigafactory Nevada")</f>
        <v>Tesla Gigafactory Nevada</v>
      </c>
      <c r="E183" s="12" t="s">
        <v>347</v>
      </c>
      <c r="F183" s="12" t="s">
        <v>16</v>
      </c>
      <c r="G183" s="12" t="s">
        <v>17</v>
      </c>
      <c r="H183" s="12" t="s">
        <v>348</v>
      </c>
      <c r="I183" s="14">
        <v>45541</v>
      </c>
      <c r="J183" s="12" t="s">
        <v>1277</v>
      </c>
    </row>
    <row r="184" spans="1:10" s="15" customFormat="1" x14ac:dyDescent="0.15">
      <c r="A184" s="11">
        <v>45545</v>
      </c>
      <c r="B184" s="12" t="s">
        <v>51</v>
      </c>
      <c r="C184" s="12" t="s">
        <v>458</v>
      </c>
      <c r="D184" s="13" t="str">
        <f>HYPERLINK("https://www.marklines.com/en/global/4153","SAIC-GM-Wuling Automobile Co., Ltd. (SGMW)　")</f>
        <v>SAIC-GM-Wuling Automobile Co., Ltd. (SGMW)　</v>
      </c>
      <c r="E184" s="12" t="s">
        <v>459</v>
      </c>
      <c r="F184" s="12" t="s">
        <v>21</v>
      </c>
      <c r="G184" s="12" t="s">
        <v>47</v>
      </c>
      <c r="H184" s="12" t="s">
        <v>460</v>
      </c>
      <c r="I184" s="14">
        <v>45540</v>
      </c>
      <c r="J184" s="12" t="s">
        <v>1278</v>
      </c>
    </row>
    <row r="185" spans="1:10" s="15" customFormat="1" x14ac:dyDescent="0.15">
      <c r="A185" s="11">
        <v>45545</v>
      </c>
      <c r="B185" s="12" t="s">
        <v>33</v>
      </c>
      <c r="C185" s="12" t="s">
        <v>33</v>
      </c>
      <c r="D185" s="13" t="str">
        <f>HYPERLINK("https://www.marklines.com/en/global/3933","Fujian Benz Automotive Co., Ltd. (FBAC)")</f>
        <v>Fujian Benz Automotive Co., Ltd. (FBAC)</v>
      </c>
      <c r="E185" s="12" t="s">
        <v>831</v>
      </c>
      <c r="F185" s="12" t="s">
        <v>21</v>
      </c>
      <c r="G185" s="12" t="s">
        <v>47</v>
      </c>
      <c r="H185" s="12" t="s">
        <v>832</v>
      </c>
      <c r="I185" s="14">
        <v>45539</v>
      </c>
      <c r="J185" s="12" t="s">
        <v>1279</v>
      </c>
    </row>
    <row r="186" spans="1:10" s="15" customFormat="1" x14ac:dyDescent="0.15">
      <c r="A186" s="11">
        <v>45545</v>
      </c>
      <c r="B186" s="12" t="s">
        <v>33</v>
      </c>
      <c r="C186" s="12" t="s">
        <v>33</v>
      </c>
      <c r="D186" s="13" t="str">
        <f>HYPERLINK("https://www.marklines.com/en/global/3483","Mercedes-Benz Group China Ltd. (formerly Daimler Greater China Ltd.)")</f>
        <v>Mercedes-Benz Group China Ltd. (formerly Daimler Greater China Ltd.)</v>
      </c>
      <c r="E186" s="12" t="s">
        <v>971</v>
      </c>
      <c r="F186" s="12" t="s">
        <v>21</v>
      </c>
      <c r="G186" s="12" t="s">
        <v>47</v>
      </c>
      <c r="H186" s="12" t="s">
        <v>56</v>
      </c>
      <c r="I186" s="14">
        <v>45539</v>
      </c>
      <c r="J186" s="12" t="s">
        <v>1279</v>
      </c>
    </row>
    <row r="187" spans="1:10" s="15" customFormat="1" x14ac:dyDescent="0.15">
      <c r="A187" s="11">
        <v>45545</v>
      </c>
      <c r="B187" s="12" t="s">
        <v>33</v>
      </c>
      <c r="C187" s="12" t="s">
        <v>33</v>
      </c>
      <c r="D187" s="13" t="str">
        <f>HYPERLINK("https://www.marklines.com/en/global/3427","Beijing Benz Automotive Co., Ltd. (BBAC)")</f>
        <v>Beijing Benz Automotive Co., Ltd. (BBAC)</v>
      </c>
      <c r="E187" s="12" t="s">
        <v>1280</v>
      </c>
      <c r="F187" s="12" t="s">
        <v>21</v>
      </c>
      <c r="G187" s="12" t="s">
        <v>47</v>
      </c>
      <c r="H187" s="12" t="s">
        <v>56</v>
      </c>
      <c r="I187" s="14">
        <v>45539</v>
      </c>
      <c r="J187" s="12" t="s">
        <v>1279</v>
      </c>
    </row>
    <row r="188" spans="1:10" s="15" customFormat="1" x14ac:dyDescent="0.15">
      <c r="A188" s="11">
        <v>45545</v>
      </c>
      <c r="B188" s="12" t="s">
        <v>52</v>
      </c>
      <c r="C188" s="12" t="s">
        <v>378</v>
      </c>
      <c r="D188" s="13" t="str">
        <f>HYPERLINK("https://www.marklines.com/en/global/9345","Geely Sichuan Commercial Vehicle Co., Ltd.")</f>
        <v>Geely Sichuan Commercial Vehicle Co., Ltd.</v>
      </c>
      <c r="E188" s="12" t="s">
        <v>719</v>
      </c>
      <c r="F188" s="12" t="s">
        <v>21</v>
      </c>
      <c r="G188" s="12" t="s">
        <v>47</v>
      </c>
      <c r="H188" s="12" t="s">
        <v>547</v>
      </c>
      <c r="I188" s="14">
        <v>45538</v>
      </c>
      <c r="J188" s="12" t="s">
        <v>1281</v>
      </c>
    </row>
    <row r="189" spans="1:10" s="15" customFormat="1" x14ac:dyDescent="0.15">
      <c r="A189" s="11">
        <v>45545</v>
      </c>
      <c r="B189" s="12" t="s">
        <v>1282</v>
      </c>
      <c r="C189" s="12" t="s">
        <v>1282</v>
      </c>
      <c r="D189" s="13" t="str">
        <f>HYPERLINK("https://www.marklines.com/en/global/9273","Yibin Kaiyi Automobile Co., Ltd. (Formerly Wuhu Cowin Automobile Co., Ltd.)")</f>
        <v>Yibin Kaiyi Automobile Co., Ltd. (Formerly Wuhu Cowin Automobile Co., Ltd.)</v>
      </c>
      <c r="E189" s="12" t="s">
        <v>1283</v>
      </c>
      <c r="F189" s="12" t="s">
        <v>21</v>
      </c>
      <c r="G189" s="12" t="s">
        <v>47</v>
      </c>
      <c r="H189" s="12" t="s">
        <v>547</v>
      </c>
      <c r="I189" s="14">
        <v>45537</v>
      </c>
      <c r="J189" s="12" t="s">
        <v>1284</v>
      </c>
    </row>
    <row r="190" spans="1:10" s="15" customFormat="1" x14ac:dyDescent="0.15">
      <c r="A190" s="11">
        <v>45545</v>
      </c>
      <c r="B190" s="12" t="s">
        <v>103</v>
      </c>
      <c r="C190" s="12" t="s">
        <v>1285</v>
      </c>
      <c r="D190" s="13" t="str">
        <f>HYPERLINK("https://www.marklines.com/en/global/9390","Chery New Energy Automobile Co., Ltd. (Formerly Chery New Energy Technology Automotive Co., Ltd.)")</f>
        <v>Chery New Energy Automobile Co., Ltd. (Formerly Chery New Energy Technology Automotive Co., Ltd.)</v>
      </c>
      <c r="E190" s="12" t="s">
        <v>1080</v>
      </c>
      <c r="F190" s="12" t="s">
        <v>21</v>
      </c>
      <c r="G190" s="12" t="s">
        <v>47</v>
      </c>
      <c r="H190" s="12" t="s">
        <v>105</v>
      </c>
      <c r="I190" s="14">
        <v>45534</v>
      </c>
      <c r="J190" s="12" t="s">
        <v>1286</v>
      </c>
    </row>
    <row r="191" spans="1:10" s="15" customFormat="1" x14ac:dyDescent="0.15">
      <c r="A191" s="11">
        <v>45545</v>
      </c>
      <c r="B191" s="12" t="s">
        <v>121</v>
      </c>
      <c r="C191" s="12" t="s">
        <v>1287</v>
      </c>
      <c r="D191" s="13" t="str">
        <f>HYPERLINK("https://www.marklines.com/en/global/10420","Great Wall Motor Co., Ltd. Jingmen Branch")</f>
        <v>Great Wall Motor Co., Ltd. Jingmen Branch</v>
      </c>
      <c r="E191" s="12" t="s">
        <v>1086</v>
      </c>
      <c r="F191" s="12" t="s">
        <v>21</v>
      </c>
      <c r="G191" s="12" t="s">
        <v>47</v>
      </c>
      <c r="H191" s="12" t="s">
        <v>294</v>
      </c>
      <c r="I191" s="14">
        <v>45534</v>
      </c>
      <c r="J191" s="12" t="s">
        <v>1288</v>
      </c>
    </row>
    <row r="192" spans="1:10" s="15" customFormat="1" x14ac:dyDescent="0.15">
      <c r="A192" s="11">
        <v>45545</v>
      </c>
      <c r="B192" s="12" t="s">
        <v>121</v>
      </c>
      <c r="C192" s="12" t="s">
        <v>1287</v>
      </c>
      <c r="D192" s="13" t="str">
        <f>HYPERLINK("https://www.marklines.com/en/global/9836","Great Wall Motor Co., Ltd. Xushui Branch")</f>
        <v>Great Wall Motor Co., Ltd. Xushui Branch</v>
      </c>
      <c r="E192" s="12" t="s">
        <v>1051</v>
      </c>
      <c r="F192" s="12" t="s">
        <v>21</v>
      </c>
      <c r="G192" s="12" t="s">
        <v>47</v>
      </c>
      <c r="H192" s="12" t="s">
        <v>294</v>
      </c>
      <c r="I192" s="14">
        <v>45534</v>
      </c>
      <c r="J192" s="12" t="s">
        <v>1288</v>
      </c>
    </row>
    <row r="193" spans="1:10" s="15" customFormat="1" x14ac:dyDescent="0.15">
      <c r="A193" s="11">
        <v>45545</v>
      </c>
      <c r="B193" s="12" t="s">
        <v>121</v>
      </c>
      <c r="C193" s="12" t="s">
        <v>1287</v>
      </c>
      <c r="D193" s="13" t="str">
        <f>HYPERLINK("https://www.marklines.com/en/global/9570","Great Wall Motor Company Limited Chongqing Branch")</f>
        <v>Great Wall Motor Company Limited Chongqing Branch</v>
      </c>
      <c r="E193" s="12" t="s">
        <v>1289</v>
      </c>
      <c r="F193" s="12" t="s">
        <v>21</v>
      </c>
      <c r="G193" s="12" t="s">
        <v>47</v>
      </c>
      <c r="H193" s="12" t="s">
        <v>362</v>
      </c>
      <c r="I193" s="14">
        <v>45534</v>
      </c>
      <c r="J193" s="12" t="s">
        <v>1288</v>
      </c>
    </row>
    <row r="194" spans="1:10" s="15" customFormat="1" x14ac:dyDescent="0.15">
      <c r="A194" s="11">
        <v>45545</v>
      </c>
      <c r="B194" s="12" t="s">
        <v>70</v>
      </c>
      <c r="C194" s="12" t="s">
        <v>70</v>
      </c>
      <c r="D194" s="13" t="str">
        <f>HYPERLINK("https://www.marklines.com/en/global/10526","BYD Automobile Industry Co., Ltd., Hefei Branch")</f>
        <v>BYD Automobile Industry Co., Ltd., Hefei Branch</v>
      </c>
      <c r="E194" s="12" t="s">
        <v>702</v>
      </c>
      <c r="F194" s="12" t="s">
        <v>21</v>
      </c>
      <c r="G194" s="12" t="s">
        <v>47</v>
      </c>
      <c r="H194" s="12" t="s">
        <v>105</v>
      </c>
      <c r="I194" s="14">
        <v>45534</v>
      </c>
      <c r="J194" s="12" t="s">
        <v>1290</v>
      </c>
    </row>
    <row r="195" spans="1:10" s="15" customFormat="1" x14ac:dyDescent="0.15">
      <c r="A195" s="11">
        <v>45544</v>
      </c>
      <c r="B195" s="12" t="s">
        <v>11</v>
      </c>
      <c r="C195" s="12" t="s">
        <v>11</v>
      </c>
      <c r="D195" s="13" t="str">
        <f>HYPERLINK("https://www.marklines.com/en/global/1327","Stellantis, FCA Italy, Mirafiori (Turin) Plant")</f>
        <v>Stellantis, FCA Italy, Mirafiori (Turin) Plant</v>
      </c>
      <c r="E195" s="12" t="s">
        <v>218</v>
      </c>
      <c r="F195" s="12" t="s">
        <v>13</v>
      </c>
      <c r="G195" s="12" t="s">
        <v>216</v>
      </c>
      <c r="H195" s="12"/>
      <c r="I195" s="14">
        <v>45541</v>
      </c>
      <c r="J195" s="12" t="s">
        <v>1291</v>
      </c>
    </row>
    <row r="196" spans="1:10" s="15" customFormat="1" x14ac:dyDescent="0.15">
      <c r="A196" s="11">
        <v>45544</v>
      </c>
      <c r="B196" s="12" t="s">
        <v>44</v>
      </c>
      <c r="C196" s="12" t="s">
        <v>803</v>
      </c>
      <c r="D196" s="13" t="str">
        <f>HYPERLINK("https://www.marklines.com/en/global/167","Manufacture Alpine Dieppe Jean Rédélé (formerly Renault S.A., Dieppe (Renault Alpine) Plant)")</f>
        <v>Manufacture Alpine Dieppe Jean Rédélé (formerly Renault S.A., Dieppe (Renault Alpine) Plant)</v>
      </c>
      <c r="E196" s="12" t="s">
        <v>1292</v>
      </c>
      <c r="F196" s="12" t="s">
        <v>13</v>
      </c>
      <c r="G196" s="12" t="s">
        <v>29</v>
      </c>
      <c r="H196" s="12"/>
      <c r="I196" s="14">
        <v>45541</v>
      </c>
      <c r="J196" s="12" t="s">
        <v>1293</v>
      </c>
    </row>
    <row r="197" spans="1:10" s="15" customFormat="1" x14ac:dyDescent="0.15">
      <c r="A197" s="11">
        <v>45544</v>
      </c>
      <c r="B197" s="12" t="s">
        <v>35</v>
      </c>
      <c r="C197" s="12" t="s">
        <v>35</v>
      </c>
      <c r="D197" s="13" t="str">
        <f>HYPERLINK("https://www.marklines.com/en/global/420","Toyota Motor East Japan, Miyagi Ohira Plant")</f>
        <v>Toyota Motor East Japan, Miyagi Ohira Plant</v>
      </c>
      <c r="E197" s="12" t="s">
        <v>593</v>
      </c>
      <c r="F197" s="12" t="s">
        <v>21</v>
      </c>
      <c r="G197" s="12" t="s">
        <v>22</v>
      </c>
      <c r="H197" s="12" t="s">
        <v>594</v>
      </c>
      <c r="I197" s="14">
        <v>45540</v>
      </c>
      <c r="J197" s="12" t="s">
        <v>1294</v>
      </c>
    </row>
    <row r="198" spans="1:10" s="15" customFormat="1" x14ac:dyDescent="0.15">
      <c r="A198" s="11">
        <v>45544</v>
      </c>
      <c r="B198" s="12" t="s">
        <v>35</v>
      </c>
      <c r="C198" s="12" t="s">
        <v>35</v>
      </c>
      <c r="D198" s="13" t="str">
        <f>HYPERLINK("https://www.marklines.com/en/global/424","Toyota Motor East Japan, Iwate Plant")</f>
        <v>Toyota Motor East Japan, Iwate Plant</v>
      </c>
      <c r="E198" s="12" t="s">
        <v>399</v>
      </c>
      <c r="F198" s="12" t="s">
        <v>21</v>
      </c>
      <c r="G198" s="12" t="s">
        <v>22</v>
      </c>
      <c r="H198" s="12" t="s">
        <v>400</v>
      </c>
      <c r="I198" s="14">
        <v>45540</v>
      </c>
      <c r="J198" s="12" t="s">
        <v>1294</v>
      </c>
    </row>
    <row r="199" spans="1:10" s="15" customFormat="1" x14ac:dyDescent="0.15">
      <c r="A199" s="11">
        <v>45544</v>
      </c>
      <c r="B199" s="12" t="s">
        <v>224</v>
      </c>
      <c r="C199" s="12" t="s">
        <v>224</v>
      </c>
      <c r="D199" s="13" t="str">
        <f>HYPERLINK("https://www.marklines.com/en/global/2407","GM Korea, Bupyeong Plant")</f>
        <v>GM Korea, Bupyeong Plant</v>
      </c>
      <c r="E199" s="12" t="s">
        <v>1043</v>
      </c>
      <c r="F199" s="12" t="s">
        <v>21</v>
      </c>
      <c r="G199" s="12" t="s">
        <v>85</v>
      </c>
      <c r="H199" s="12"/>
      <c r="I199" s="14">
        <v>45539</v>
      </c>
      <c r="J199" s="12" t="s">
        <v>1295</v>
      </c>
    </row>
    <row r="200" spans="1:10" s="15" customFormat="1" x14ac:dyDescent="0.15">
      <c r="A200" s="11">
        <v>45544</v>
      </c>
      <c r="B200" s="12" t="s">
        <v>224</v>
      </c>
      <c r="C200" s="12" t="s">
        <v>224</v>
      </c>
      <c r="D200" s="13" t="str">
        <f>HYPERLINK("https://www.marklines.com/en/global/2403","GM Korea, Changwon Plant")</f>
        <v>GM Korea, Changwon Plant</v>
      </c>
      <c r="E200" s="12" t="s">
        <v>1041</v>
      </c>
      <c r="F200" s="12" t="s">
        <v>21</v>
      </c>
      <c r="G200" s="12" t="s">
        <v>85</v>
      </c>
      <c r="H200" s="12"/>
      <c r="I200" s="14">
        <v>45539</v>
      </c>
      <c r="J200" s="12" t="s">
        <v>1295</v>
      </c>
    </row>
    <row r="201" spans="1:10" s="15" customFormat="1" x14ac:dyDescent="0.15">
      <c r="A201" s="11">
        <v>45544</v>
      </c>
      <c r="B201" s="12" t="s">
        <v>77</v>
      </c>
      <c r="C201" s="12" t="s">
        <v>77</v>
      </c>
      <c r="D201" s="13" t="str">
        <f>HYPERLINK("https://www.marklines.com/en/global/475","Nissan Shatai Kyushu Co., Ltd.")</f>
        <v>Nissan Shatai Kyushu Co., Ltd.</v>
      </c>
      <c r="E201" s="12" t="s">
        <v>141</v>
      </c>
      <c r="F201" s="12" t="s">
        <v>21</v>
      </c>
      <c r="G201" s="12" t="s">
        <v>22</v>
      </c>
      <c r="H201" s="12" t="s">
        <v>142</v>
      </c>
      <c r="I201" s="14">
        <v>45538</v>
      </c>
      <c r="J201" s="12" t="s">
        <v>1296</v>
      </c>
    </row>
    <row r="202" spans="1:10" s="15" customFormat="1" x14ac:dyDescent="0.15">
      <c r="A202" s="11">
        <v>45544</v>
      </c>
      <c r="B202" s="12" t="s">
        <v>35</v>
      </c>
      <c r="C202" s="12" t="s">
        <v>35</v>
      </c>
      <c r="D202" s="13" t="str">
        <f>HYPERLINK("https://www.marklines.com/en/global/393","Toyota Motor Kyushu, Miyata Plant")</f>
        <v>Toyota Motor Kyushu, Miyata Plant</v>
      </c>
      <c r="E202" s="12" t="s">
        <v>891</v>
      </c>
      <c r="F202" s="12" t="s">
        <v>21</v>
      </c>
      <c r="G202" s="12" t="s">
        <v>22</v>
      </c>
      <c r="H202" s="12" t="s">
        <v>142</v>
      </c>
      <c r="I202" s="14">
        <v>45537</v>
      </c>
      <c r="J202" s="12" t="s">
        <v>1297</v>
      </c>
    </row>
    <row r="203" spans="1:10" s="15" customFormat="1" x14ac:dyDescent="0.15">
      <c r="A203" s="11">
        <v>45544</v>
      </c>
      <c r="B203" s="12" t="s">
        <v>35</v>
      </c>
      <c r="C203" s="12" t="s">
        <v>35</v>
      </c>
      <c r="D203" s="13" t="str">
        <f>HYPERLINK("https://www.marklines.com/en/global/395","Toyota Motor Kyushu, Kanda Plant")</f>
        <v>Toyota Motor Kyushu, Kanda Plant</v>
      </c>
      <c r="E203" s="12" t="s">
        <v>1210</v>
      </c>
      <c r="F203" s="12" t="s">
        <v>21</v>
      </c>
      <c r="G203" s="12" t="s">
        <v>22</v>
      </c>
      <c r="H203" s="12" t="s">
        <v>142</v>
      </c>
      <c r="I203" s="14">
        <v>45537</v>
      </c>
      <c r="J203" s="12" t="s">
        <v>1297</v>
      </c>
    </row>
    <row r="204" spans="1:10" s="15" customFormat="1" x14ac:dyDescent="0.15">
      <c r="A204" s="11">
        <v>45544</v>
      </c>
      <c r="B204" s="12" t="s">
        <v>35</v>
      </c>
      <c r="C204" s="12" t="s">
        <v>35</v>
      </c>
      <c r="D204" s="13" t="str">
        <f>HYPERLINK("https://www.marklines.com/en/global/397","Toyota Motor Kyushu, Kokura Plant")</f>
        <v>Toyota Motor Kyushu, Kokura Plant</v>
      </c>
      <c r="E204" s="12" t="s">
        <v>1211</v>
      </c>
      <c r="F204" s="12" t="s">
        <v>21</v>
      </c>
      <c r="G204" s="12" t="s">
        <v>22</v>
      </c>
      <c r="H204" s="12" t="s">
        <v>142</v>
      </c>
      <c r="I204" s="14">
        <v>45537</v>
      </c>
      <c r="J204" s="12" t="s">
        <v>1297</v>
      </c>
    </row>
    <row r="205" spans="1:10" s="15" customFormat="1" x14ac:dyDescent="0.15">
      <c r="A205" s="11">
        <v>45544</v>
      </c>
      <c r="B205" s="12" t="s">
        <v>35</v>
      </c>
      <c r="C205" s="12" t="s">
        <v>35</v>
      </c>
      <c r="D205" s="13" t="str">
        <f>HYPERLINK("https://www.marklines.com/en/global/409","Toyota Auto Body, Fujimatsu Plant")</f>
        <v>Toyota Auto Body, Fujimatsu Plant</v>
      </c>
      <c r="E205" s="12" t="s">
        <v>127</v>
      </c>
      <c r="F205" s="12" t="s">
        <v>21</v>
      </c>
      <c r="G205" s="12" t="s">
        <v>22</v>
      </c>
      <c r="H205" s="12" t="s">
        <v>92</v>
      </c>
      <c r="I205" s="14">
        <v>45537</v>
      </c>
      <c r="J205" s="12" t="s">
        <v>1298</v>
      </c>
    </row>
    <row r="206" spans="1:10" s="15" customFormat="1" x14ac:dyDescent="0.15">
      <c r="A206" s="11">
        <v>45544</v>
      </c>
      <c r="B206" s="12" t="s">
        <v>35</v>
      </c>
      <c r="C206" s="12" t="s">
        <v>35</v>
      </c>
      <c r="D206" s="13" t="str">
        <f>HYPERLINK("https://www.marklines.com/en/global/411","Toyota Auto Body, Yoshiwara Plant")</f>
        <v>Toyota Auto Body, Yoshiwara Plant</v>
      </c>
      <c r="E206" s="12" t="s">
        <v>211</v>
      </c>
      <c r="F206" s="12" t="s">
        <v>21</v>
      </c>
      <c r="G206" s="12" t="s">
        <v>22</v>
      </c>
      <c r="H206" s="12" t="s">
        <v>92</v>
      </c>
      <c r="I206" s="14">
        <v>45537</v>
      </c>
      <c r="J206" s="12" t="s">
        <v>1298</v>
      </c>
    </row>
    <row r="207" spans="1:10" s="15" customFormat="1" x14ac:dyDescent="0.15">
      <c r="A207" s="11">
        <v>45544</v>
      </c>
      <c r="B207" s="12" t="s">
        <v>35</v>
      </c>
      <c r="C207" s="12" t="s">
        <v>35</v>
      </c>
      <c r="D207" s="13" t="str">
        <f>HYPERLINK("https://www.marklines.com/en/global/433","Toyota Industries Corporation, Nagakusa Plant")</f>
        <v>Toyota Industries Corporation, Nagakusa Plant</v>
      </c>
      <c r="E207" s="12" t="s">
        <v>893</v>
      </c>
      <c r="F207" s="12" t="s">
        <v>21</v>
      </c>
      <c r="G207" s="12" t="s">
        <v>22</v>
      </c>
      <c r="H207" s="12" t="s">
        <v>92</v>
      </c>
      <c r="I207" s="14">
        <v>45537</v>
      </c>
      <c r="J207" s="12" t="s">
        <v>1298</v>
      </c>
    </row>
    <row r="208" spans="1:10" s="15" customFormat="1" x14ac:dyDescent="0.15">
      <c r="A208" s="11">
        <v>45544</v>
      </c>
      <c r="B208" s="12" t="s">
        <v>35</v>
      </c>
      <c r="C208" s="12" t="s">
        <v>35</v>
      </c>
      <c r="D208" s="13" t="str">
        <f>HYPERLINK("https://www.marklines.com/en/global/417","Gifu Auto Body Co., Ltd., Honsha Plant")</f>
        <v>Gifu Auto Body Co., Ltd., Honsha Plant</v>
      </c>
      <c r="E208" s="12" t="s">
        <v>212</v>
      </c>
      <c r="F208" s="12" t="s">
        <v>21</v>
      </c>
      <c r="G208" s="12" t="s">
        <v>22</v>
      </c>
      <c r="H208" s="12" t="s">
        <v>213</v>
      </c>
      <c r="I208" s="14">
        <v>45537</v>
      </c>
      <c r="J208" s="12" t="s">
        <v>1298</v>
      </c>
    </row>
    <row r="209" spans="1:10" s="15" customFormat="1" x14ac:dyDescent="0.15">
      <c r="A209" s="11">
        <v>45544</v>
      </c>
      <c r="B209" s="12" t="s">
        <v>35</v>
      </c>
      <c r="C209" s="12" t="s">
        <v>35</v>
      </c>
      <c r="D209" s="13" t="str">
        <f>HYPERLINK("https://www.marklines.com/en/global/420","Toyota Motor East Japan, Miyagi Ohira Plant")</f>
        <v>Toyota Motor East Japan, Miyagi Ohira Plant</v>
      </c>
      <c r="E209" s="12" t="s">
        <v>593</v>
      </c>
      <c r="F209" s="12" t="s">
        <v>21</v>
      </c>
      <c r="G209" s="12" t="s">
        <v>22</v>
      </c>
      <c r="H209" s="12" t="s">
        <v>594</v>
      </c>
      <c r="I209" s="14">
        <v>45537</v>
      </c>
      <c r="J209" s="12" t="s">
        <v>1298</v>
      </c>
    </row>
    <row r="210" spans="1:10" s="15" customFormat="1" x14ac:dyDescent="0.15">
      <c r="A210" s="11">
        <v>45544</v>
      </c>
      <c r="B210" s="12" t="s">
        <v>35</v>
      </c>
      <c r="C210" s="12" t="s">
        <v>35</v>
      </c>
      <c r="D210" s="13" t="str">
        <f>HYPERLINK("https://www.marklines.com/en/global/375","Toyota Motor, Takaoka Plant")</f>
        <v>Toyota Motor, Takaoka Plant</v>
      </c>
      <c r="E210" s="12" t="s">
        <v>894</v>
      </c>
      <c r="F210" s="12" t="s">
        <v>21</v>
      </c>
      <c r="G210" s="12" t="s">
        <v>22</v>
      </c>
      <c r="H210" s="12" t="s">
        <v>92</v>
      </c>
      <c r="I210" s="14">
        <v>45537</v>
      </c>
      <c r="J210" s="12" t="s">
        <v>1298</v>
      </c>
    </row>
    <row r="211" spans="1:10" s="15" customFormat="1" x14ac:dyDescent="0.15">
      <c r="A211" s="11">
        <v>45544</v>
      </c>
      <c r="B211" s="12" t="s">
        <v>35</v>
      </c>
      <c r="C211" s="12" t="s">
        <v>35</v>
      </c>
      <c r="D211" s="13" t="str">
        <f>HYPERLINK("https://www.marklines.com/en/global/413","Toyota Auto Body, Inabe Plant")</f>
        <v>Toyota Auto Body, Inabe Plant</v>
      </c>
      <c r="E211" s="12" t="s">
        <v>743</v>
      </c>
      <c r="F211" s="12" t="s">
        <v>21</v>
      </c>
      <c r="G211" s="12" t="s">
        <v>22</v>
      </c>
      <c r="H211" s="12" t="s">
        <v>405</v>
      </c>
      <c r="I211" s="14">
        <v>45537</v>
      </c>
      <c r="J211" s="12" t="s">
        <v>1298</v>
      </c>
    </row>
    <row r="212" spans="1:10" s="15" customFormat="1" x14ac:dyDescent="0.15">
      <c r="A212" s="11">
        <v>45544</v>
      </c>
      <c r="B212" s="12" t="s">
        <v>35</v>
      </c>
      <c r="C212" s="12" t="s">
        <v>35</v>
      </c>
      <c r="D212" s="13" t="str">
        <f>HYPERLINK("https://www.marklines.com/en/global/379","Toyota Motor, Tsutsumi Plant")</f>
        <v>Toyota Motor, Tsutsumi Plant</v>
      </c>
      <c r="E212" s="12" t="s">
        <v>895</v>
      </c>
      <c r="F212" s="12" t="s">
        <v>21</v>
      </c>
      <c r="G212" s="12" t="s">
        <v>22</v>
      </c>
      <c r="H212" s="12" t="s">
        <v>92</v>
      </c>
      <c r="I212" s="14">
        <v>45537</v>
      </c>
      <c r="J212" s="12" t="s">
        <v>1298</v>
      </c>
    </row>
    <row r="213" spans="1:10" s="15" customFormat="1" x14ac:dyDescent="0.15">
      <c r="A213" s="11">
        <v>45544</v>
      </c>
      <c r="B213" s="12" t="s">
        <v>35</v>
      </c>
      <c r="C213" s="12" t="s">
        <v>35</v>
      </c>
      <c r="D213" s="13" t="str">
        <f>HYPERLINK("https://www.marklines.com/en/global/424","Toyota Motor East Japan, Iwate Plant")</f>
        <v>Toyota Motor East Japan, Iwate Plant</v>
      </c>
      <c r="E213" s="12" t="s">
        <v>399</v>
      </c>
      <c r="F213" s="12" t="s">
        <v>21</v>
      </c>
      <c r="G213" s="12" t="s">
        <v>22</v>
      </c>
      <c r="H213" s="12" t="s">
        <v>400</v>
      </c>
      <c r="I213" s="14">
        <v>45537</v>
      </c>
      <c r="J213" s="12" t="s">
        <v>1298</v>
      </c>
    </row>
    <row r="214" spans="1:10" s="15" customFormat="1" x14ac:dyDescent="0.15">
      <c r="A214" s="11">
        <v>45544</v>
      </c>
      <c r="B214" s="12" t="s">
        <v>35</v>
      </c>
      <c r="C214" s="12" t="s">
        <v>35</v>
      </c>
      <c r="D214" s="13" t="str">
        <f>HYPERLINK("https://www.marklines.com/en/global/567","Hino Motors, Hamura Plant")</f>
        <v>Hino Motors, Hamura Plant</v>
      </c>
      <c r="E214" s="12" t="s">
        <v>125</v>
      </c>
      <c r="F214" s="12" t="s">
        <v>21</v>
      </c>
      <c r="G214" s="12" t="s">
        <v>22</v>
      </c>
      <c r="H214" s="12" t="s">
        <v>126</v>
      </c>
      <c r="I214" s="14">
        <v>45537</v>
      </c>
      <c r="J214" s="12" t="s">
        <v>1298</v>
      </c>
    </row>
    <row r="215" spans="1:10" s="15" customFormat="1" x14ac:dyDescent="0.15">
      <c r="A215" s="11">
        <v>45544</v>
      </c>
      <c r="B215" s="12" t="s">
        <v>35</v>
      </c>
      <c r="C215" s="12" t="s">
        <v>35</v>
      </c>
      <c r="D215" s="13" t="str">
        <f>HYPERLINK("https://www.marklines.com/en/global/381","Toyota Motor, Tahara Plant")</f>
        <v>Toyota Motor, Tahara Plant</v>
      </c>
      <c r="E215" s="12" t="s">
        <v>93</v>
      </c>
      <c r="F215" s="12" t="s">
        <v>21</v>
      </c>
      <c r="G215" s="12" t="s">
        <v>22</v>
      </c>
      <c r="H215" s="12" t="s">
        <v>92</v>
      </c>
      <c r="I215" s="14">
        <v>45537</v>
      </c>
      <c r="J215" s="12" t="s">
        <v>1298</v>
      </c>
    </row>
    <row r="216" spans="1:10" s="15" customFormat="1" x14ac:dyDescent="0.15">
      <c r="A216" s="11">
        <v>45544</v>
      </c>
      <c r="B216" s="12" t="s">
        <v>35</v>
      </c>
      <c r="C216" s="12" t="s">
        <v>35</v>
      </c>
      <c r="D216" s="13" t="str">
        <f>HYPERLINK("https://www.marklines.com/en/global/373","Toyota Motor, Motomachi Plant")</f>
        <v>Toyota Motor, Motomachi Plant</v>
      </c>
      <c r="E216" s="12" t="s">
        <v>597</v>
      </c>
      <c r="F216" s="12" t="s">
        <v>21</v>
      </c>
      <c r="G216" s="12" t="s">
        <v>22</v>
      </c>
      <c r="H216" s="12" t="s">
        <v>92</v>
      </c>
      <c r="I216" s="14">
        <v>45537</v>
      </c>
      <c r="J216" s="12" t="s">
        <v>1298</v>
      </c>
    </row>
    <row r="217" spans="1:10" s="15" customFormat="1" x14ac:dyDescent="0.15">
      <c r="A217" s="11">
        <v>45544</v>
      </c>
      <c r="B217" s="12" t="s">
        <v>35</v>
      </c>
      <c r="C217" s="12" t="s">
        <v>1213</v>
      </c>
      <c r="D217" s="13" t="str">
        <f>HYPERLINK("https://www.marklines.com/en/global/567","Hino Motors, Hamura Plant")</f>
        <v>Hino Motors, Hamura Plant</v>
      </c>
      <c r="E217" s="12" t="s">
        <v>125</v>
      </c>
      <c r="F217" s="12" t="s">
        <v>21</v>
      </c>
      <c r="G217" s="12" t="s">
        <v>22</v>
      </c>
      <c r="H217" s="12" t="s">
        <v>126</v>
      </c>
      <c r="I217" s="14">
        <v>45537</v>
      </c>
      <c r="J217" s="12" t="s">
        <v>1298</v>
      </c>
    </row>
    <row r="218" spans="1:10" s="15" customFormat="1" x14ac:dyDescent="0.15">
      <c r="A218" s="11">
        <v>45544</v>
      </c>
      <c r="B218" s="12" t="s">
        <v>35</v>
      </c>
      <c r="C218" s="12" t="s">
        <v>62</v>
      </c>
      <c r="D218" s="13" t="str">
        <f>HYPERLINK("https://www.marklines.com/en/global/539","Daihatsu Motor, Head (Ikeda) Plant")</f>
        <v>Daihatsu Motor, Head (Ikeda) Plant</v>
      </c>
      <c r="E218" s="12" t="s">
        <v>63</v>
      </c>
      <c r="F218" s="12" t="s">
        <v>21</v>
      </c>
      <c r="G218" s="12" t="s">
        <v>22</v>
      </c>
      <c r="H218" s="12" t="s">
        <v>64</v>
      </c>
      <c r="I218" s="14">
        <v>45537</v>
      </c>
      <c r="J218" s="12" t="s">
        <v>1299</v>
      </c>
    </row>
    <row r="219" spans="1:10" s="15" customFormat="1" x14ac:dyDescent="0.15">
      <c r="A219" s="11">
        <v>45544</v>
      </c>
      <c r="B219" s="12" t="s">
        <v>35</v>
      </c>
      <c r="C219" s="12" t="s">
        <v>62</v>
      </c>
      <c r="D219" s="13" t="str">
        <f>HYPERLINK("https://www.marklines.com/en/global/541","Daihatsu Motor, Kyoto (Oyamazaki) Plant")</f>
        <v>Daihatsu Motor, Kyoto (Oyamazaki) Plant</v>
      </c>
      <c r="E219" s="12" t="s">
        <v>68</v>
      </c>
      <c r="F219" s="12" t="s">
        <v>21</v>
      </c>
      <c r="G219" s="12" t="s">
        <v>22</v>
      </c>
      <c r="H219" s="12" t="s">
        <v>69</v>
      </c>
      <c r="I219" s="14">
        <v>45537</v>
      </c>
      <c r="J219" s="12" t="s">
        <v>1299</v>
      </c>
    </row>
    <row r="220" spans="1:10" s="15" customFormat="1" x14ac:dyDescent="0.15">
      <c r="A220" s="11">
        <v>45544</v>
      </c>
      <c r="B220" s="12" t="s">
        <v>35</v>
      </c>
      <c r="C220" s="12" t="s">
        <v>62</v>
      </c>
      <c r="D220" s="13" t="str">
        <f>HYPERLINK("https://www.marklines.com/en/global/543","Daihatsu Motor, Shiga (Ryuo) Plant")</f>
        <v>Daihatsu Motor, Shiga (Ryuo) Plant</v>
      </c>
      <c r="E220" s="12" t="s">
        <v>89</v>
      </c>
      <c r="F220" s="12" t="s">
        <v>21</v>
      </c>
      <c r="G220" s="12" t="s">
        <v>22</v>
      </c>
      <c r="H220" s="12" t="s">
        <v>90</v>
      </c>
      <c r="I220" s="14">
        <v>45537</v>
      </c>
      <c r="J220" s="12" t="s">
        <v>1299</v>
      </c>
    </row>
    <row r="221" spans="1:10" s="15" customFormat="1" x14ac:dyDescent="0.15">
      <c r="A221" s="11">
        <v>45544</v>
      </c>
      <c r="B221" s="12" t="s">
        <v>35</v>
      </c>
      <c r="C221" s="12" t="s">
        <v>62</v>
      </c>
      <c r="D221" s="13" t="str">
        <f>HYPERLINK("https://www.marklines.com/en/global/547","Daihatsu Motor Kyushu, Oita (Nakatsu) Plant")</f>
        <v>Daihatsu Motor Kyushu, Oita (Nakatsu) Plant</v>
      </c>
      <c r="E221" s="12" t="s">
        <v>65</v>
      </c>
      <c r="F221" s="12" t="s">
        <v>21</v>
      </c>
      <c r="G221" s="12" t="s">
        <v>22</v>
      </c>
      <c r="H221" s="12" t="s">
        <v>66</v>
      </c>
      <c r="I221" s="14">
        <v>45537</v>
      </c>
      <c r="J221" s="12" t="s">
        <v>1299</v>
      </c>
    </row>
    <row r="222" spans="1:10" s="15" customFormat="1" x14ac:dyDescent="0.15">
      <c r="A222" s="11">
        <v>45544</v>
      </c>
      <c r="B222" s="12" t="s">
        <v>785</v>
      </c>
      <c r="C222" s="12" t="s">
        <v>785</v>
      </c>
      <c r="D222" s="13" t="str">
        <f>HYPERLINK("https://www.marklines.com/en/global/2427","KG Mobility Co., Ltd. (formerly Ssangyong Motor Company)")</f>
        <v>KG Mobility Co., Ltd. (formerly Ssangyong Motor Company)</v>
      </c>
      <c r="E222" s="12" t="s">
        <v>954</v>
      </c>
      <c r="F222" s="12" t="s">
        <v>21</v>
      </c>
      <c r="G222" s="12" t="s">
        <v>85</v>
      </c>
      <c r="H222" s="12"/>
      <c r="I222" s="14">
        <v>45524</v>
      </c>
      <c r="J222" s="12" t="s">
        <v>1300</v>
      </c>
    </row>
    <row r="223" spans="1:10" s="15" customFormat="1" x14ac:dyDescent="0.15">
      <c r="A223" s="11">
        <v>45544</v>
      </c>
      <c r="B223" s="12" t="s">
        <v>785</v>
      </c>
      <c r="C223" s="12" t="s">
        <v>785</v>
      </c>
      <c r="D223" s="13" t="str">
        <f>HYPERLINK("https://www.marklines.com/en/global/2431","KG Mobility (formerly Ssangyong Motor), Changwon Plant")</f>
        <v>KG Mobility (formerly Ssangyong Motor), Changwon Plant</v>
      </c>
      <c r="E223" s="12" t="s">
        <v>1301</v>
      </c>
      <c r="F223" s="12" t="s">
        <v>21</v>
      </c>
      <c r="G223" s="12" t="s">
        <v>85</v>
      </c>
      <c r="H223" s="12"/>
      <c r="I223" s="14">
        <v>45524</v>
      </c>
      <c r="J223" s="12" t="s">
        <v>1300</v>
      </c>
    </row>
    <row r="224" spans="1:10" s="15" customFormat="1" x14ac:dyDescent="0.15">
      <c r="A224" s="11">
        <v>45542</v>
      </c>
      <c r="B224" s="12" t="s">
        <v>55</v>
      </c>
      <c r="C224" s="12" t="s">
        <v>55</v>
      </c>
      <c r="D224" s="13" t="str">
        <f>HYPERLINK("https://www.marklines.com/en/global/10587","Hyundai Motor Group Metaplant America (HMGMA) LLC")</f>
        <v>Hyundai Motor Group Metaplant America (HMGMA) LLC</v>
      </c>
      <c r="E224" s="12" t="s">
        <v>1070</v>
      </c>
      <c r="F224" s="12" t="s">
        <v>16</v>
      </c>
      <c r="G224" s="12" t="s">
        <v>17</v>
      </c>
      <c r="H224" s="12" t="s">
        <v>76</v>
      </c>
      <c r="I224" s="14">
        <v>45541</v>
      </c>
      <c r="J224" s="12" t="s">
        <v>1302</v>
      </c>
    </row>
    <row r="225" spans="1:10" s="15" customFormat="1" x14ac:dyDescent="0.15">
      <c r="A225" s="11">
        <v>45542</v>
      </c>
      <c r="B225" s="12" t="s">
        <v>55</v>
      </c>
      <c r="C225" s="12" t="s">
        <v>55</v>
      </c>
      <c r="D225" s="13" t="str">
        <f>HYPERLINK("https://www.marklines.com/en/global/3141","Hyundai Motor Manufacturing Alabama, LLC, Montgomery Plant")</f>
        <v>Hyundai Motor Manufacturing Alabama, LLC, Montgomery Plant</v>
      </c>
      <c r="E225" s="12" t="s">
        <v>924</v>
      </c>
      <c r="F225" s="12" t="s">
        <v>16</v>
      </c>
      <c r="G225" s="12" t="s">
        <v>17</v>
      </c>
      <c r="H225" s="12" t="s">
        <v>310</v>
      </c>
      <c r="I225" s="14">
        <v>45541</v>
      </c>
      <c r="J225" s="12" t="s">
        <v>1302</v>
      </c>
    </row>
    <row r="226" spans="1:10" s="15" customFormat="1" x14ac:dyDescent="0.15">
      <c r="A226" s="11">
        <v>45542</v>
      </c>
      <c r="B226" s="12" t="s">
        <v>55</v>
      </c>
      <c r="C226" s="12" t="s">
        <v>74</v>
      </c>
      <c r="D226" s="13" t="str">
        <f>HYPERLINK("https://www.marklines.com/en/global/3145","Kia Georgia, Inc. (KMMG), West Point Plant")</f>
        <v>Kia Georgia, Inc. (KMMG), West Point Plant</v>
      </c>
      <c r="E226" s="12" t="s">
        <v>75</v>
      </c>
      <c r="F226" s="12" t="s">
        <v>16</v>
      </c>
      <c r="G226" s="12" t="s">
        <v>17</v>
      </c>
      <c r="H226" s="12" t="s">
        <v>76</v>
      </c>
      <c r="I226" s="14">
        <v>45541</v>
      </c>
      <c r="J226" s="12" t="s">
        <v>1302</v>
      </c>
    </row>
    <row r="227" spans="1:10" s="15" customFormat="1" x14ac:dyDescent="0.15">
      <c r="A227" s="11">
        <v>45542</v>
      </c>
      <c r="B227" s="12" t="s">
        <v>224</v>
      </c>
      <c r="C227" s="12" t="s">
        <v>224</v>
      </c>
      <c r="D227" s="13" t="str">
        <f>HYPERLINK("https://www.marklines.com/en/global/2987","General Motors-OBB del Ecuador")</f>
        <v>General Motors-OBB del Ecuador</v>
      </c>
      <c r="E227" s="12" t="s">
        <v>1303</v>
      </c>
      <c r="F227" s="12" t="s">
        <v>45</v>
      </c>
      <c r="G227" s="12" t="s">
        <v>1304</v>
      </c>
      <c r="H227" s="12"/>
      <c r="I227" s="14">
        <v>45540</v>
      </c>
      <c r="J227" s="12" t="s">
        <v>1305</v>
      </c>
    </row>
    <row r="228" spans="1:10" s="15" customFormat="1" x14ac:dyDescent="0.15">
      <c r="A228" s="11">
        <v>45542</v>
      </c>
      <c r="B228" s="12" t="s">
        <v>651</v>
      </c>
      <c r="C228" s="12" t="s">
        <v>651</v>
      </c>
      <c r="D228" s="13" t="str">
        <f>HYPERLINK("https://www.marklines.com/en/global/10596","Lion Electric, Joliet plant")</f>
        <v>Lion Electric, Joliet plant</v>
      </c>
      <c r="E228" s="12" t="s">
        <v>652</v>
      </c>
      <c r="F228" s="12" t="s">
        <v>16</v>
      </c>
      <c r="G228" s="12" t="s">
        <v>17</v>
      </c>
      <c r="H228" s="12" t="s">
        <v>32</v>
      </c>
      <c r="I228" s="14">
        <v>45540</v>
      </c>
      <c r="J228" s="12" t="s">
        <v>1306</v>
      </c>
    </row>
    <row r="229" spans="1:10" s="15" customFormat="1" x14ac:dyDescent="0.15">
      <c r="A229" s="11">
        <v>45542</v>
      </c>
      <c r="B229" s="12" t="s">
        <v>651</v>
      </c>
      <c r="C229" s="12" t="s">
        <v>651</v>
      </c>
      <c r="D229" s="13" t="str">
        <f>HYPERLINK("https://www.marklines.com/en/global/10597","Lion Electric, Canada Plant")</f>
        <v>Lion Electric, Canada Plant</v>
      </c>
      <c r="E229" s="12" t="s">
        <v>1307</v>
      </c>
      <c r="F229" s="12" t="s">
        <v>16</v>
      </c>
      <c r="G229" s="12" t="s">
        <v>241</v>
      </c>
      <c r="H229" s="12"/>
      <c r="I229" s="14">
        <v>45540</v>
      </c>
      <c r="J229" s="12" t="s">
        <v>1306</v>
      </c>
    </row>
    <row r="230" spans="1:10" s="15" customFormat="1" x14ac:dyDescent="0.15">
      <c r="A230" s="11">
        <v>45542</v>
      </c>
      <c r="B230" s="12" t="s">
        <v>43</v>
      </c>
      <c r="C230" s="12" t="s">
        <v>43</v>
      </c>
      <c r="D230" s="13" t="str">
        <f>HYPERLINK("https://www.marklines.com/en/global/867","General Motors Mexico, Ramos Arizpe Plant")</f>
        <v>General Motors Mexico, Ramos Arizpe Plant</v>
      </c>
      <c r="E230" s="12" t="s">
        <v>415</v>
      </c>
      <c r="F230" s="12" t="s">
        <v>16</v>
      </c>
      <c r="G230" s="12" t="s">
        <v>229</v>
      </c>
      <c r="H230" s="12" t="s">
        <v>1308</v>
      </c>
      <c r="I230" s="14">
        <v>45539</v>
      </c>
      <c r="J230" s="12" t="s">
        <v>1309</v>
      </c>
    </row>
    <row r="231" spans="1:10" s="15" customFormat="1" x14ac:dyDescent="0.15">
      <c r="A231" s="11">
        <v>45542</v>
      </c>
      <c r="B231" s="12" t="s">
        <v>43</v>
      </c>
      <c r="C231" s="12" t="s">
        <v>732</v>
      </c>
      <c r="D231" s="13" t="str">
        <f>HYPERLINK("https://www.marklines.com/en/global/2523","General Motors, Spring Hill Manufacturing (formerly Spring Hill Assembly)")</f>
        <v>General Motors, Spring Hill Manufacturing (formerly Spring Hill Assembly)</v>
      </c>
      <c r="E231" s="12" t="s">
        <v>697</v>
      </c>
      <c r="F231" s="12" t="s">
        <v>16</v>
      </c>
      <c r="G231" s="12" t="s">
        <v>17</v>
      </c>
      <c r="H231" s="12" t="s">
        <v>481</v>
      </c>
      <c r="I231" s="14">
        <v>45539</v>
      </c>
      <c r="J231" s="12" t="s">
        <v>1309</v>
      </c>
    </row>
    <row r="232" spans="1:10" s="15" customFormat="1" x14ac:dyDescent="0.15">
      <c r="A232" s="11">
        <v>45541</v>
      </c>
      <c r="B232" s="12" t="s">
        <v>11</v>
      </c>
      <c r="C232" s="12" t="s">
        <v>11</v>
      </c>
      <c r="D232" s="13" t="str">
        <f>HYPERLINK("https://www.marklines.com/en/global/2773","Stellantis, Fiat Auto Argentina S.A., Cordoba (Ferreyra) Plant")</f>
        <v>Stellantis, Fiat Auto Argentina S.A., Cordoba (Ferreyra) Plant</v>
      </c>
      <c r="E232" s="12" t="s">
        <v>135</v>
      </c>
      <c r="F232" s="12" t="s">
        <v>45</v>
      </c>
      <c r="G232" s="12" t="s">
        <v>79</v>
      </c>
      <c r="H232" s="12"/>
      <c r="I232" s="14">
        <v>45540</v>
      </c>
      <c r="J232" s="12" t="s">
        <v>1118</v>
      </c>
    </row>
    <row r="233" spans="1:10" s="15" customFormat="1" x14ac:dyDescent="0.15">
      <c r="A233" s="11">
        <v>45541</v>
      </c>
      <c r="B233" s="12" t="s">
        <v>1119</v>
      </c>
      <c r="C233" s="12" t="s">
        <v>1119</v>
      </c>
      <c r="D233" s="13" t="str">
        <f>HYPERLINK("https://www.marklines.com/en/global/6437","Shyft Group, Builtmore Contract Mfg., Charlotte Plant")</f>
        <v>Shyft Group, Builtmore Contract Mfg., Charlotte Plant</v>
      </c>
      <c r="E233" s="12" t="s">
        <v>655</v>
      </c>
      <c r="F233" s="12" t="s">
        <v>16</v>
      </c>
      <c r="G233" s="12" t="s">
        <v>17</v>
      </c>
      <c r="H233" s="12" t="s">
        <v>19</v>
      </c>
      <c r="I233" s="14">
        <v>45540</v>
      </c>
      <c r="J233" s="12" t="s">
        <v>1120</v>
      </c>
    </row>
    <row r="234" spans="1:10" s="15" customFormat="1" x14ac:dyDescent="0.15">
      <c r="A234" s="11">
        <v>45541</v>
      </c>
      <c r="B234" s="12" t="s">
        <v>11</v>
      </c>
      <c r="C234" s="12" t="s">
        <v>221</v>
      </c>
      <c r="D234" s="13" t="str">
        <f>HYPERLINK("https://www.marklines.com/en/global/2797","Stellantis, PSA Argentina, Buenos Aires (El Palomar) Plant")</f>
        <v>Stellantis, PSA Argentina, Buenos Aires (El Palomar) Plant</v>
      </c>
      <c r="E234" s="12" t="s">
        <v>222</v>
      </c>
      <c r="F234" s="12" t="s">
        <v>45</v>
      </c>
      <c r="G234" s="12" t="s">
        <v>79</v>
      </c>
      <c r="H234" s="12"/>
      <c r="I234" s="14">
        <v>45539</v>
      </c>
      <c r="J234" s="12" t="s">
        <v>1121</v>
      </c>
    </row>
    <row r="235" spans="1:10" s="15" customFormat="1" x14ac:dyDescent="0.15">
      <c r="A235" s="11">
        <v>45541</v>
      </c>
      <c r="B235" s="12" t="s">
        <v>11</v>
      </c>
      <c r="C235" s="12" t="s">
        <v>874</v>
      </c>
      <c r="D235" s="13" t="str">
        <f>HYPERLINK("https://www.marklines.com/en/global/2797","Stellantis, PSA Argentina, Buenos Aires (El Palomar) Plant")</f>
        <v>Stellantis, PSA Argentina, Buenos Aires (El Palomar) Plant</v>
      </c>
      <c r="E235" s="12" t="s">
        <v>222</v>
      </c>
      <c r="F235" s="12" t="s">
        <v>45</v>
      </c>
      <c r="G235" s="12" t="s">
        <v>79</v>
      </c>
      <c r="H235" s="12"/>
      <c r="I235" s="14">
        <v>45539</v>
      </c>
      <c r="J235" s="12" t="s">
        <v>1121</v>
      </c>
    </row>
    <row r="236" spans="1:10" s="15" customFormat="1" x14ac:dyDescent="0.15">
      <c r="A236" s="11">
        <v>45541</v>
      </c>
      <c r="B236" s="12" t="s">
        <v>224</v>
      </c>
      <c r="C236" s="12" t="s">
        <v>414</v>
      </c>
      <c r="D236" s="13" t="str">
        <f>HYPERLINK("https://www.marklines.com/en/global/10451","General Motors Proving Ground (CPCA - Cruz Alta)")</f>
        <v>General Motors Proving Ground (CPCA - Cruz Alta)</v>
      </c>
      <c r="E236" s="12" t="s">
        <v>1122</v>
      </c>
      <c r="F236" s="12" t="s">
        <v>45</v>
      </c>
      <c r="G236" s="12" t="s">
        <v>232</v>
      </c>
      <c r="H236" s="12"/>
      <c r="I236" s="14">
        <v>45539</v>
      </c>
      <c r="J236" s="12" t="s">
        <v>1123</v>
      </c>
    </row>
    <row r="237" spans="1:10" s="15" customFormat="1" x14ac:dyDescent="0.15">
      <c r="A237" s="11">
        <v>45541</v>
      </c>
      <c r="B237" s="12" t="s">
        <v>224</v>
      </c>
      <c r="C237" s="12" t="s">
        <v>224</v>
      </c>
      <c r="D237" s="13" t="str">
        <f>HYPERLINK("https://www.marklines.com/en/global/2847","General Motors Brazil, Sao Jose dos Campos Plant")</f>
        <v>General Motors Brazil, Sao Jose dos Campos Plant</v>
      </c>
      <c r="E237" s="12" t="s">
        <v>637</v>
      </c>
      <c r="F237" s="12" t="s">
        <v>45</v>
      </c>
      <c r="G237" s="12" t="s">
        <v>232</v>
      </c>
      <c r="H237" s="12"/>
      <c r="I237" s="14">
        <v>45539</v>
      </c>
      <c r="J237" s="12" t="s">
        <v>1123</v>
      </c>
    </row>
    <row r="238" spans="1:10" s="15" customFormat="1" x14ac:dyDescent="0.15">
      <c r="A238" s="11">
        <v>45541</v>
      </c>
      <c r="B238" s="12" t="s">
        <v>224</v>
      </c>
      <c r="C238" s="12" t="s">
        <v>224</v>
      </c>
      <c r="D238" s="13" t="str">
        <f>HYPERLINK("https://www.marklines.com/en/global/2851","General Motors Brazil, Mogi das Cruzes Plant")</f>
        <v>General Motors Brazil, Mogi das Cruzes Plant</v>
      </c>
      <c r="E238" s="12" t="s">
        <v>1124</v>
      </c>
      <c r="F238" s="12" t="s">
        <v>45</v>
      </c>
      <c r="G238" s="12" t="s">
        <v>232</v>
      </c>
      <c r="H238" s="12"/>
      <c r="I238" s="14">
        <v>45539</v>
      </c>
      <c r="J238" s="12" t="s">
        <v>1123</v>
      </c>
    </row>
    <row r="239" spans="1:10" s="15" customFormat="1" x14ac:dyDescent="0.15">
      <c r="A239" s="11">
        <v>45541</v>
      </c>
      <c r="B239" s="12" t="s">
        <v>224</v>
      </c>
      <c r="C239" s="12" t="s">
        <v>224</v>
      </c>
      <c r="D239" s="13" t="str">
        <f>HYPERLINK("https://www.marklines.com/en/global/2845","General Motors Brazil, Sao Caetano do Sul Plant")</f>
        <v>General Motors Brazil, Sao Caetano do Sul Plant</v>
      </c>
      <c r="E239" s="12" t="s">
        <v>1125</v>
      </c>
      <c r="F239" s="12" t="s">
        <v>45</v>
      </c>
      <c r="G239" s="12" t="s">
        <v>232</v>
      </c>
      <c r="H239" s="12"/>
      <c r="I239" s="14">
        <v>45539</v>
      </c>
      <c r="J239" s="12" t="s">
        <v>1123</v>
      </c>
    </row>
    <row r="240" spans="1:10" s="15" customFormat="1" x14ac:dyDescent="0.15">
      <c r="A240" s="11">
        <v>45541</v>
      </c>
      <c r="B240" s="12" t="s">
        <v>77</v>
      </c>
      <c r="C240" s="12" t="s">
        <v>77</v>
      </c>
      <c r="D240" s="13" t="str">
        <f>HYPERLINK("https://www.marklines.com/en/global/3187","Nissan North America, Canton Plant")</f>
        <v>Nissan North America, Canton Plant</v>
      </c>
      <c r="E240" s="12" t="s">
        <v>773</v>
      </c>
      <c r="F240" s="12" t="s">
        <v>16</v>
      </c>
      <c r="G240" s="12" t="s">
        <v>17</v>
      </c>
      <c r="H240" s="12" t="s">
        <v>143</v>
      </c>
      <c r="I240" s="14">
        <v>45539</v>
      </c>
      <c r="J240" s="12" t="s">
        <v>1126</v>
      </c>
    </row>
    <row r="241" spans="1:10" s="15" customFormat="1" x14ac:dyDescent="0.15">
      <c r="A241" s="11">
        <v>45541</v>
      </c>
      <c r="B241" s="12" t="s">
        <v>224</v>
      </c>
      <c r="C241" s="12" t="s">
        <v>224</v>
      </c>
      <c r="D241" s="13" t="str">
        <f>HYPERLINK("https://www.marklines.com/en/global/9976","Ultium Cells LLC, Warren Plant ")</f>
        <v xml:space="preserve">Ultium Cells LLC, Warren Plant </v>
      </c>
      <c r="E241" s="12" t="s">
        <v>1127</v>
      </c>
      <c r="F241" s="12" t="s">
        <v>16</v>
      </c>
      <c r="G241" s="12" t="s">
        <v>17</v>
      </c>
      <c r="H241" s="12" t="s">
        <v>18</v>
      </c>
      <c r="I241" s="14">
        <v>45539</v>
      </c>
      <c r="J241" s="12" t="s">
        <v>1128</v>
      </c>
    </row>
    <row r="242" spans="1:10" s="15" customFormat="1" x14ac:dyDescent="0.15">
      <c r="A242" s="11">
        <v>45541</v>
      </c>
      <c r="B242" s="12" t="s">
        <v>224</v>
      </c>
      <c r="C242" s="12" t="s">
        <v>224</v>
      </c>
      <c r="D242" s="13" t="str">
        <f>HYPERLINK("https://www.marklines.com/en/global/10475","Ultium Cells LLC, Spring Hill Plant ")</f>
        <v xml:space="preserve">Ultium Cells LLC, Spring Hill Plant </v>
      </c>
      <c r="E242" s="12" t="s">
        <v>1129</v>
      </c>
      <c r="F242" s="12" t="s">
        <v>16</v>
      </c>
      <c r="G242" s="12" t="s">
        <v>17</v>
      </c>
      <c r="H242" s="12" t="s">
        <v>481</v>
      </c>
      <c r="I242" s="14">
        <v>45539</v>
      </c>
      <c r="J242" s="12" t="s">
        <v>1128</v>
      </c>
    </row>
    <row r="243" spans="1:10" s="15" customFormat="1" x14ac:dyDescent="0.15">
      <c r="A243" s="11">
        <v>45541</v>
      </c>
      <c r="B243" s="12" t="s">
        <v>224</v>
      </c>
      <c r="C243" s="12" t="s">
        <v>224</v>
      </c>
      <c r="D243" s="13" t="str">
        <f>HYPERLINK("https://www.marklines.com/en/global/2523","General Motors, Spring Hill Manufacturing (formerly Spring Hill Assembly)")</f>
        <v>General Motors, Spring Hill Manufacturing (formerly Spring Hill Assembly)</v>
      </c>
      <c r="E243" s="12" t="s">
        <v>697</v>
      </c>
      <c r="F243" s="12" t="s">
        <v>16</v>
      </c>
      <c r="G243" s="12" t="s">
        <v>17</v>
      </c>
      <c r="H243" s="12" t="s">
        <v>481</v>
      </c>
      <c r="I243" s="14">
        <v>45539</v>
      </c>
      <c r="J243" s="12" t="s">
        <v>1128</v>
      </c>
    </row>
    <row r="244" spans="1:10" s="15" customFormat="1" x14ac:dyDescent="0.15">
      <c r="A244" s="11">
        <v>45541</v>
      </c>
      <c r="B244" s="12" t="s">
        <v>103</v>
      </c>
      <c r="C244" s="12" t="s">
        <v>103</v>
      </c>
      <c r="D244" s="13" t="str">
        <f>HYPERLINK("https://www.marklines.com/en/global/3879","Chery Automobile Co., Ltd. ")</f>
        <v xml:space="preserve">Chery Automobile Co., Ltd. </v>
      </c>
      <c r="E244" s="12" t="s">
        <v>112</v>
      </c>
      <c r="F244" s="12" t="s">
        <v>21</v>
      </c>
      <c r="G244" s="12" t="s">
        <v>47</v>
      </c>
      <c r="H244" s="12" t="s">
        <v>105</v>
      </c>
      <c r="I244" s="14">
        <v>45534</v>
      </c>
      <c r="J244" s="12" t="s">
        <v>1130</v>
      </c>
    </row>
    <row r="245" spans="1:10" s="15" customFormat="1" x14ac:dyDescent="0.15">
      <c r="A245" s="11">
        <v>45541</v>
      </c>
      <c r="B245" s="12" t="s">
        <v>55</v>
      </c>
      <c r="C245" s="12" t="s">
        <v>55</v>
      </c>
      <c r="D245" s="13" t="str">
        <f>HYPERLINK("https://www.marklines.com/en/global/3437","Beijing Hyundai Motor Co., Ltd. Beijing Branch Yangzhen Plant (formerly Beijing Hyundai Motor Co., Ltd., Third Plant)")</f>
        <v>Beijing Hyundai Motor Co., Ltd. Beijing Branch Yangzhen Plant (formerly Beijing Hyundai Motor Co., Ltd., Third Plant)</v>
      </c>
      <c r="E245" s="12" t="s">
        <v>1131</v>
      </c>
      <c r="F245" s="12" t="s">
        <v>21</v>
      </c>
      <c r="G245" s="12" t="s">
        <v>47</v>
      </c>
      <c r="H245" s="12" t="s">
        <v>56</v>
      </c>
      <c r="I245" s="14">
        <v>45534</v>
      </c>
      <c r="J245" s="12" t="s">
        <v>1132</v>
      </c>
    </row>
    <row r="246" spans="1:10" s="15" customFormat="1" x14ac:dyDescent="0.15">
      <c r="A246" s="11">
        <v>45540</v>
      </c>
      <c r="B246" s="12" t="s">
        <v>1062</v>
      </c>
      <c r="C246" s="12" t="s">
        <v>1062</v>
      </c>
      <c r="D246" s="13" t="str">
        <f>HYPERLINK("https://www.marklines.com/en/global/10703","Mullen Automotive, Advanced Manufacturing Engineering Center (AMEC)")</f>
        <v>Mullen Automotive, Advanced Manufacturing Engineering Center (AMEC)</v>
      </c>
      <c r="E246" s="12" t="s">
        <v>1063</v>
      </c>
      <c r="F246" s="12" t="s">
        <v>16</v>
      </c>
      <c r="G246" s="12" t="s">
        <v>17</v>
      </c>
      <c r="H246" s="12" t="s">
        <v>143</v>
      </c>
      <c r="I246" s="14">
        <v>45539</v>
      </c>
      <c r="J246" s="12" t="s">
        <v>1133</v>
      </c>
    </row>
    <row r="247" spans="1:10" s="15" customFormat="1" x14ac:dyDescent="0.15">
      <c r="A247" s="11">
        <v>45540</v>
      </c>
      <c r="B247" s="12" t="s">
        <v>49</v>
      </c>
      <c r="C247" s="12" t="s">
        <v>86</v>
      </c>
      <c r="D247" s="13" t="str">
        <f>HYPERLINK("https://www.marklines.com/en/global/1777","Audi Hungaria Zrt., Győr Plant (formerly Audi Hungaria Motor Kft.)")</f>
        <v>Audi Hungaria Zrt., Győr Plant (formerly Audi Hungaria Motor Kft.)</v>
      </c>
      <c r="E247" s="12" t="s">
        <v>99</v>
      </c>
      <c r="F247" s="12" t="s">
        <v>61</v>
      </c>
      <c r="G247" s="12" t="s">
        <v>96</v>
      </c>
      <c r="H247" s="12"/>
      <c r="I247" s="14">
        <v>45539</v>
      </c>
      <c r="J247" s="12" t="s">
        <v>1134</v>
      </c>
    </row>
    <row r="248" spans="1:10" s="15" customFormat="1" x14ac:dyDescent="0.15">
      <c r="A248" s="11">
        <v>45540</v>
      </c>
      <c r="B248" s="12" t="s">
        <v>49</v>
      </c>
      <c r="C248" s="12" t="s">
        <v>1135</v>
      </c>
      <c r="D248" s="13" t="str">
        <f>HYPERLINK("https://www.marklines.com/en/global/1777","Audi Hungaria Zrt., Győr Plant (formerly Audi Hungaria Motor Kft.)")</f>
        <v>Audi Hungaria Zrt., Győr Plant (formerly Audi Hungaria Motor Kft.)</v>
      </c>
      <c r="E248" s="12" t="s">
        <v>99</v>
      </c>
      <c r="F248" s="12" t="s">
        <v>61</v>
      </c>
      <c r="G248" s="12" t="s">
        <v>96</v>
      </c>
      <c r="H248" s="12"/>
      <c r="I248" s="14">
        <v>45539</v>
      </c>
      <c r="J248" s="12" t="s">
        <v>1134</v>
      </c>
    </row>
    <row r="249" spans="1:10" s="15" customFormat="1" x14ac:dyDescent="0.15">
      <c r="A249" s="11">
        <v>45540</v>
      </c>
      <c r="B249" s="12" t="s">
        <v>725</v>
      </c>
      <c r="C249" s="12" t="s">
        <v>850</v>
      </c>
      <c r="D249" s="13" t="str">
        <f>HYPERLINK("https://www.marklines.com/en/global/1655","Stellantis, Fiat Auto Poland S.A., Tychy Plant")</f>
        <v>Stellantis, Fiat Auto Poland S.A., Tychy Plant</v>
      </c>
      <c r="E249" s="12" t="s">
        <v>1136</v>
      </c>
      <c r="F249" s="12" t="s">
        <v>61</v>
      </c>
      <c r="G249" s="12" t="s">
        <v>306</v>
      </c>
      <c r="H249" s="12"/>
      <c r="I249" s="14">
        <v>45539</v>
      </c>
      <c r="J249" s="12" t="s">
        <v>1137</v>
      </c>
    </row>
    <row r="250" spans="1:10" s="15" customFormat="1" x14ac:dyDescent="0.15">
      <c r="A250" s="11">
        <v>45540</v>
      </c>
      <c r="B250" s="12" t="s">
        <v>15</v>
      </c>
      <c r="C250" s="12" t="s">
        <v>15</v>
      </c>
      <c r="D250" s="13" t="str">
        <f>HYPERLINK("https://www.marklines.com/en/global/2599","Ford Motor, Kansas City Assembly Plant")</f>
        <v>Ford Motor, Kansas City Assembly Plant</v>
      </c>
      <c r="E250" s="12" t="s">
        <v>1138</v>
      </c>
      <c r="F250" s="12" t="s">
        <v>16</v>
      </c>
      <c r="G250" s="12" t="s">
        <v>17</v>
      </c>
      <c r="H250" s="12" t="s">
        <v>526</v>
      </c>
      <c r="I250" s="14">
        <v>45539</v>
      </c>
      <c r="J250" s="12" t="s">
        <v>1139</v>
      </c>
    </row>
    <row r="251" spans="1:10" s="15" customFormat="1" x14ac:dyDescent="0.15">
      <c r="A251" s="11">
        <v>45540</v>
      </c>
      <c r="B251" s="12" t="s">
        <v>49</v>
      </c>
      <c r="C251" s="12" t="s">
        <v>86</v>
      </c>
      <c r="D251" s="13" t="str">
        <f>HYPERLINK("https://www.marklines.com/en/global/2277","Volkswagen Sachsen GmbH, Zwickau/Mosel Plant")</f>
        <v>Volkswagen Sachsen GmbH, Zwickau/Mosel Plant</v>
      </c>
      <c r="E251" s="12" t="s">
        <v>180</v>
      </c>
      <c r="F251" s="12" t="s">
        <v>13</v>
      </c>
      <c r="G251" s="12" t="s">
        <v>25</v>
      </c>
      <c r="H251" s="12" t="s">
        <v>1140</v>
      </c>
      <c r="I251" s="14">
        <v>45538</v>
      </c>
      <c r="J251" s="12" t="s">
        <v>1141</v>
      </c>
    </row>
    <row r="252" spans="1:10" s="15" customFormat="1" x14ac:dyDescent="0.15">
      <c r="A252" s="11">
        <v>45540</v>
      </c>
      <c r="B252" s="12" t="s">
        <v>49</v>
      </c>
      <c r="C252" s="12" t="s">
        <v>86</v>
      </c>
      <c r="D252" s="13" t="str">
        <f>HYPERLINK("https://www.marklines.com/en/global/2261","Volkswagen AG, Wolfsburg Plant")</f>
        <v>Volkswagen AG, Wolfsburg Plant</v>
      </c>
      <c r="E252" s="12" t="s">
        <v>1142</v>
      </c>
      <c r="F252" s="12" t="s">
        <v>13</v>
      </c>
      <c r="G252" s="12" t="s">
        <v>25</v>
      </c>
      <c r="H252" s="12" t="s">
        <v>1143</v>
      </c>
      <c r="I252" s="14">
        <v>45538</v>
      </c>
      <c r="J252" s="12" t="s">
        <v>1141</v>
      </c>
    </row>
    <row r="253" spans="1:10" s="15" customFormat="1" x14ac:dyDescent="0.15">
      <c r="A253" s="11">
        <v>45540</v>
      </c>
      <c r="B253" s="12" t="s">
        <v>49</v>
      </c>
      <c r="C253" s="12" t="s">
        <v>1135</v>
      </c>
      <c r="D253" s="13" t="str">
        <f>HYPERLINK("https://www.marklines.com/en/global/1777","Audi Hungaria Zrt., Győr Plant (formerly Audi Hungaria Motor Kft.)")</f>
        <v>Audi Hungaria Zrt., Győr Plant (formerly Audi Hungaria Motor Kft.)</v>
      </c>
      <c r="E253" s="12" t="s">
        <v>99</v>
      </c>
      <c r="F253" s="12" t="s">
        <v>61</v>
      </c>
      <c r="G253" s="12" t="s">
        <v>96</v>
      </c>
      <c r="H253" s="12"/>
      <c r="I253" s="14">
        <v>45538</v>
      </c>
      <c r="J253" s="12" t="s">
        <v>1144</v>
      </c>
    </row>
    <row r="254" spans="1:10" s="15" customFormat="1" x14ac:dyDescent="0.15">
      <c r="A254" s="11">
        <v>45540</v>
      </c>
      <c r="B254" s="12" t="s">
        <v>287</v>
      </c>
      <c r="C254" s="12" t="s">
        <v>1145</v>
      </c>
      <c r="D254" s="13" t="str">
        <f>HYPERLINK("https://www.marklines.com/en/global/4163","Chongqing Changan Automobile Co., Ltd.")</f>
        <v>Chongqing Changan Automobile Co., Ltd.</v>
      </c>
      <c r="E254" s="12" t="s">
        <v>542</v>
      </c>
      <c r="F254" s="12" t="s">
        <v>21</v>
      </c>
      <c r="G254" s="12" t="s">
        <v>47</v>
      </c>
      <c r="H254" s="12" t="s">
        <v>362</v>
      </c>
      <c r="I254" s="14">
        <v>45537</v>
      </c>
      <c r="J254" s="12" t="s">
        <v>1146</v>
      </c>
    </row>
    <row r="255" spans="1:10" s="15" customFormat="1" x14ac:dyDescent="0.15">
      <c r="A255" s="11">
        <v>45540</v>
      </c>
      <c r="B255" s="12" t="s">
        <v>287</v>
      </c>
      <c r="C255" s="12" t="s">
        <v>1145</v>
      </c>
      <c r="D255" s="13" t="str">
        <f>HYPERLINK("https://www.marklines.com/en/global/3451","Chongqing Changan Automobile Co., Ltd. Beijing Changan Automobile Co., Ltd.")</f>
        <v>Chongqing Changan Automobile Co., Ltd. Beijing Changan Automobile Co., Ltd.</v>
      </c>
      <c r="E255" s="12" t="s">
        <v>1147</v>
      </c>
      <c r="F255" s="12" t="s">
        <v>21</v>
      </c>
      <c r="G255" s="12" t="s">
        <v>47</v>
      </c>
      <c r="H255" s="12" t="s">
        <v>56</v>
      </c>
      <c r="I255" s="14">
        <v>45537</v>
      </c>
      <c r="J255" s="12" t="s">
        <v>1146</v>
      </c>
    </row>
    <row r="256" spans="1:10" s="15" customFormat="1" x14ac:dyDescent="0.15">
      <c r="A256" s="11">
        <v>45540</v>
      </c>
      <c r="B256" s="12" t="s">
        <v>287</v>
      </c>
      <c r="C256" s="12" t="s">
        <v>1145</v>
      </c>
      <c r="D256" s="13" t="str">
        <f>HYPERLINK("https://www.marklines.com/en/global/3741","Nanjing Changan Automobile Co., Ltd.")</f>
        <v>Nanjing Changan Automobile Co., Ltd.</v>
      </c>
      <c r="E256" s="12" t="s">
        <v>1148</v>
      </c>
      <c r="F256" s="12" t="s">
        <v>21</v>
      </c>
      <c r="G256" s="12" t="s">
        <v>47</v>
      </c>
      <c r="H256" s="12" t="s">
        <v>354</v>
      </c>
      <c r="I256" s="14">
        <v>45537</v>
      </c>
      <c r="J256" s="12" t="s">
        <v>1146</v>
      </c>
    </row>
    <row r="257" spans="1:10" s="15" customFormat="1" x14ac:dyDescent="0.15">
      <c r="A257" s="11">
        <v>45540</v>
      </c>
      <c r="B257" s="12" t="s">
        <v>95</v>
      </c>
      <c r="C257" s="12" t="s">
        <v>95</v>
      </c>
      <c r="D257" s="13" t="str">
        <f>HYPERLINK("https://www.marklines.com/en/global/3375","BMW Brilliance Automotive Limited (BBA), Dadong Plant")</f>
        <v>BMW Brilliance Automotive Limited (BBA), Dadong Plant</v>
      </c>
      <c r="E257" s="12" t="s">
        <v>836</v>
      </c>
      <c r="F257" s="12" t="s">
        <v>21</v>
      </c>
      <c r="G257" s="12" t="s">
        <v>47</v>
      </c>
      <c r="H257" s="12" t="s">
        <v>622</v>
      </c>
      <c r="I257" s="14">
        <v>45535</v>
      </c>
      <c r="J257" s="12" t="s">
        <v>1149</v>
      </c>
    </row>
    <row r="258" spans="1:10" s="15" customFormat="1" x14ac:dyDescent="0.15">
      <c r="A258" s="11">
        <v>45540</v>
      </c>
      <c r="B258" s="12" t="s">
        <v>290</v>
      </c>
      <c r="C258" s="12" t="s">
        <v>290</v>
      </c>
      <c r="D258" s="13" t="str">
        <f>HYPERLINK("https://www.marklines.com/en/global/9605","Dongfeng Motor Co., Ltd. Wuhan Branch (formerly Dongfeng Nissan Passenger Vehicle Company Wuhan Plant)")</f>
        <v>Dongfeng Motor Co., Ltd. Wuhan Branch (formerly Dongfeng Nissan Passenger Vehicle Company Wuhan Plant)</v>
      </c>
      <c r="E258" s="12" t="s">
        <v>829</v>
      </c>
      <c r="F258" s="12" t="s">
        <v>21</v>
      </c>
      <c r="G258" s="12" t="s">
        <v>47</v>
      </c>
      <c r="H258" s="12" t="s">
        <v>294</v>
      </c>
      <c r="I258" s="14">
        <v>45534</v>
      </c>
      <c r="J258" s="12" t="s">
        <v>1150</v>
      </c>
    </row>
    <row r="259" spans="1:10" s="15" customFormat="1" x14ac:dyDescent="0.15">
      <c r="A259" s="11">
        <v>45540</v>
      </c>
      <c r="B259" s="12" t="s">
        <v>52</v>
      </c>
      <c r="C259" s="12" t="s">
        <v>52</v>
      </c>
      <c r="D259" s="13" t="str">
        <f>HYPERLINK("https://www.marklines.com/en/global/10392","Zhejiang Haoqing Automotive Manufacturing Co.,Ltd. Changxing Branch (formerly Zhejiang Geely Automobile Co., Ltd. Changxing Plant)")</f>
        <v>Zhejiang Haoqing Automotive Manufacturing Co.,Ltd. Changxing Branch (formerly Zhejiang Geely Automobile Co., Ltd. Changxing Plant)</v>
      </c>
      <c r="E259" s="12" t="s">
        <v>1151</v>
      </c>
      <c r="F259" s="12" t="s">
        <v>21</v>
      </c>
      <c r="G259" s="12" t="s">
        <v>47</v>
      </c>
      <c r="H259" s="12" t="s">
        <v>54</v>
      </c>
      <c r="I259" s="14">
        <v>45534</v>
      </c>
      <c r="J259" s="12" t="s">
        <v>1152</v>
      </c>
    </row>
    <row r="260" spans="1:10" s="15" customFormat="1" x14ac:dyDescent="0.15">
      <c r="A260" s="11">
        <v>45539</v>
      </c>
      <c r="B260" s="12" t="s">
        <v>95</v>
      </c>
      <c r="C260" s="12" t="s">
        <v>1018</v>
      </c>
      <c r="D260" s="13" t="str">
        <f>HYPERLINK("https://www.marklines.com/en/global/2285","BMW (UK), Oxford Plant")</f>
        <v>BMW (UK), Oxford Plant</v>
      </c>
      <c r="E260" s="12" t="s">
        <v>1153</v>
      </c>
      <c r="F260" s="12" t="s">
        <v>13</v>
      </c>
      <c r="G260" s="12" t="s">
        <v>588</v>
      </c>
      <c r="H260" s="12"/>
      <c r="I260" s="14">
        <v>45539</v>
      </c>
      <c r="J260" s="12" t="s">
        <v>1154</v>
      </c>
    </row>
    <row r="261" spans="1:10" s="15" customFormat="1" x14ac:dyDescent="0.15">
      <c r="A261" s="11">
        <v>45539</v>
      </c>
      <c r="B261" s="12" t="s">
        <v>49</v>
      </c>
      <c r="C261" s="12" t="s">
        <v>1155</v>
      </c>
      <c r="D261" s="13" t="str">
        <f>HYPERLINK("https://www.marklines.com/en/global/2175","MAN Truck &amp; Bus, Nürnberg Plant")</f>
        <v>MAN Truck &amp; Bus, Nürnberg Plant</v>
      </c>
      <c r="E261" s="12" t="s">
        <v>1156</v>
      </c>
      <c r="F261" s="12" t="s">
        <v>13</v>
      </c>
      <c r="G261" s="12" t="s">
        <v>25</v>
      </c>
      <c r="H261" s="12" t="s">
        <v>1157</v>
      </c>
      <c r="I261" s="14">
        <v>45539</v>
      </c>
      <c r="J261" s="12" t="s">
        <v>1158</v>
      </c>
    </row>
    <row r="262" spans="1:10" s="15" customFormat="1" x14ac:dyDescent="0.15">
      <c r="A262" s="11">
        <v>45539</v>
      </c>
      <c r="B262" s="12" t="s">
        <v>38</v>
      </c>
      <c r="C262" s="12" t="s">
        <v>264</v>
      </c>
      <c r="D262" s="13" t="str">
        <f>HYPERLINK("https://www.marklines.com/en/global/8751","Automotive Industrial Technologies LLC (AIT) (Formerly MAZDA SOLLERS Manufacturing Rus (MSMR)), Vladivostok Plant")</f>
        <v>Automotive Industrial Technologies LLC (AIT) (Formerly MAZDA SOLLERS Manufacturing Rus (MSMR)), Vladivostok Plant</v>
      </c>
      <c r="E262" s="12" t="s">
        <v>1159</v>
      </c>
      <c r="F262" s="12" t="s">
        <v>61</v>
      </c>
      <c r="G262" s="12" t="s">
        <v>235</v>
      </c>
      <c r="H262" s="12"/>
      <c r="I262" s="14">
        <v>45539</v>
      </c>
      <c r="J262" s="12" t="s">
        <v>1160</v>
      </c>
    </row>
    <row r="263" spans="1:10" s="15" customFormat="1" x14ac:dyDescent="0.15">
      <c r="A263" s="11">
        <v>45539</v>
      </c>
      <c r="B263" s="12" t="s">
        <v>725</v>
      </c>
      <c r="C263" s="12" t="s">
        <v>850</v>
      </c>
      <c r="D263" s="13" t="str">
        <f>HYPERLINK("https://www.marklines.com/en/global/8880","Arab American Vehicles Company (AAV), Cairo Plant")</f>
        <v>Arab American Vehicles Company (AAV), Cairo Plant</v>
      </c>
      <c r="E263" s="12" t="s">
        <v>1161</v>
      </c>
      <c r="F263" s="12" t="s">
        <v>114</v>
      </c>
      <c r="G263" s="12" t="s">
        <v>940</v>
      </c>
      <c r="H263" s="12"/>
      <c r="I263" s="14">
        <v>45538</v>
      </c>
      <c r="J263" s="12" t="s">
        <v>1162</v>
      </c>
    </row>
    <row r="264" spans="1:10" s="15" customFormat="1" x14ac:dyDescent="0.15">
      <c r="A264" s="11">
        <v>45539</v>
      </c>
      <c r="B264" s="12" t="s">
        <v>49</v>
      </c>
      <c r="C264" s="12" t="s">
        <v>98</v>
      </c>
      <c r="D264" s="13" t="str">
        <f>HYPERLINK("https://www.marklines.com/en/global/1514","Audi Brussels S.A./N.V., Brussels (Forest) Plant")</f>
        <v>Audi Brussels S.A./N.V., Brussels (Forest) Plant</v>
      </c>
      <c r="E264" s="12" t="s">
        <v>250</v>
      </c>
      <c r="F264" s="12" t="s">
        <v>13</v>
      </c>
      <c r="G264" s="12" t="s">
        <v>251</v>
      </c>
      <c r="H264" s="12"/>
      <c r="I264" s="14">
        <v>45538</v>
      </c>
      <c r="J264" s="12" t="s">
        <v>1163</v>
      </c>
    </row>
    <row r="265" spans="1:10" s="15" customFormat="1" x14ac:dyDescent="0.15">
      <c r="A265" s="11">
        <v>45539</v>
      </c>
      <c r="B265" s="12" t="s">
        <v>243</v>
      </c>
      <c r="C265" s="12" t="s">
        <v>243</v>
      </c>
      <c r="D265" s="13" t="str">
        <f>HYPERLINK("https://www.marklines.com/en/global/10760","cellcentric GmbH &amp; Co. KG, Esslingen plant")</f>
        <v>cellcentric GmbH &amp; Co. KG, Esslingen plant</v>
      </c>
      <c r="E265" s="12" t="s">
        <v>1164</v>
      </c>
      <c r="F265" s="12" t="s">
        <v>13</v>
      </c>
      <c r="G265" s="12" t="s">
        <v>25</v>
      </c>
      <c r="H265" s="12" t="s">
        <v>1165</v>
      </c>
      <c r="I265" s="14">
        <v>45538</v>
      </c>
      <c r="J265" s="12" t="s">
        <v>1166</v>
      </c>
    </row>
    <row r="266" spans="1:10" s="15" customFormat="1" x14ac:dyDescent="0.15">
      <c r="A266" s="11">
        <v>45539</v>
      </c>
      <c r="B266" s="12" t="s">
        <v>78</v>
      </c>
      <c r="C266" s="12" t="s">
        <v>78</v>
      </c>
      <c r="D266" s="13" t="str">
        <f>HYPERLINK("https://www.marklines.com/en/global/10760","cellcentric GmbH &amp; Co. KG, Esslingen plant")</f>
        <v>cellcentric GmbH &amp; Co. KG, Esslingen plant</v>
      </c>
      <c r="E266" s="12" t="s">
        <v>1164</v>
      </c>
      <c r="F266" s="12" t="s">
        <v>13</v>
      </c>
      <c r="G266" s="12" t="s">
        <v>25</v>
      </c>
      <c r="H266" s="12" t="s">
        <v>1165</v>
      </c>
      <c r="I266" s="14">
        <v>45538</v>
      </c>
      <c r="J266" s="12" t="s">
        <v>1166</v>
      </c>
    </row>
    <row r="267" spans="1:10" s="15" customFormat="1" x14ac:dyDescent="0.15">
      <c r="A267" s="11">
        <v>45539</v>
      </c>
      <c r="B267" s="12" t="s">
        <v>55</v>
      </c>
      <c r="C267" s="12" t="s">
        <v>55</v>
      </c>
      <c r="D267" s="13" t="str">
        <f>HYPERLINK("https://www.marklines.com/en/global/10587","Hyundai Motor Group Metaplant America (HMGMA) LLC")</f>
        <v>Hyundai Motor Group Metaplant America (HMGMA) LLC</v>
      </c>
      <c r="E267" s="12" t="s">
        <v>1070</v>
      </c>
      <c r="F267" s="12" t="s">
        <v>16</v>
      </c>
      <c r="G267" s="12" t="s">
        <v>17</v>
      </c>
      <c r="H267" s="12" t="s">
        <v>76</v>
      </c>
      <c r="I267" s="14">
        <v>45538</v>
      </c>
      <c r="J267" s="12" t="s">
        <v>1167</v>
      </c>
    </row>
    <row r="268" spans="1:10" s="15" customFormat="1" x14ac:dyDescent="0.15">
      <c r="A268" s="11">
        <v>45539</v>
      </c>
      <c r="B268" s="12" t="s">
        <v>49</v>
      </c>
      <c r="C268" s="12" t="s">
        <v>789</v>
      </c>
      <c r="D268" s="13" t="str">
        <f>HYPERLINK("https://www.marklines.com/en/global/10676","Scout Motors Inc., Blythewood Plant")</f>
        <v>Scout Motors Inc., Blythewood Plant</v>
      </c>
      <c r="E268" s="12" t="s">
        <v>1168</v>
      </c>
      <c r="F268" s="12" t="s">
        <v>16</v>
      </c>
      <c r="G268" s="12" t="s">
        <v>17</v>
      </c>
      <c r="H268" s="12" t="s">
        <v>324</v>
      </c>
      <c r="I268" s="14">
        <v>45538</v>
      </c>
      <c r="J268" s="12" t="s">
        <v>1169</v>
      </c>
    </row>
    <row r="269" spans="1:10" s="15" customFormat="1" x14ac:dyDescent="0.15">
      <c r="A269" s="11">
        <v>45539</v>
      </c>
      <c r="B269" s="12" t="s">
        <v>1119</v>
      </c>
      <c r="C269" s="12" t="s">
        <v>1119</v>
      </c>
      <c r="D269" s="13" t="str">
        <f>HYPERLINK("https://www.marklines.com/en/global/6437","Shyft Group, Builtmore Contract Mfg., Charlotte Plant")</f>
        <v>Shyft Group, Builtmore Contract Mfg., Charlotte Plant</v>
      </c>
      <c r="E269" s="12" t="s">
        <v>655</v>
      </c>
      <c r="F269" s="12" t="s">
        <v>16</v>
      </c>
      <c r="G269" s="12" t="s">
        <v>17</v>
      </c>
      <c r="H269" s="12" t="s">
        <v>19</v>
      </c>
      <c r="I269" s="14">
        <v>45538</v>
      </c>
      <c r="J269" s="12" t="s">
        <v>1170</v>
      </c>
    </row>
    <row r="270" spans="1:10" s="15" customFormat="1" x14ac:dyDescent="0.15">
      <c r="A270" s="11">
        <v>45539</v>
      </c>
      <c r="B270" s="12" t="s">
        <v>1009</v>
      </c>
      <c r="C270" s="12" t="s">
        <v>1009</v>
      </c>
      <c r="D270" s="13" t="str">
        <f>HYPERLINK("https://www.marklines.com/en/global/671","ZAO AvtoTOR, Kaliningrad Plant")</f>
        <v>ZAO AvtoTOR, Kaliningrad Plant</v>
      </c>
      <c r="E270" s="12" t="s">
        <v>1010</v>
      </c>
      <c r="F270" s="12" t="s">
        <v>61</v>
      </c>
      <c r="G270" s="12" t="s">
        <v>235</v>
      </c>
      <c r="H270" s="12"/>
      <c r="I270" s="14">
        <v>45537</v>
      </c>
      <c r="J270" s="12" t="s">
        <v>1171</v>
      </c>
    </row>
    <row r="271" spans="1:10" s="15" customFormat="1" x14ac:dyDescent="0.15">
      <c r="A271" s="11">
        <v>45539</v>
      </c>
      <c r="B271" s="12" t="s">
        <v>49</v>
      </c>
      <c r="C271" s="12" t="s">
        <v>227</v>
      </c>
      <c r="D271" s="13" t="str">
        <f>HYPERLINK("https://www.marklines.com/en/global/911","Volkswagen Mexico, Puebla Plant")</f>
        <v>Volkswagen Mexico, Puebla Plant</v>
      </c>
      <c r="E271" s="12" t="s">
        <v>228</v>
      </c>
      <c r="F271" s="12" t="s">
        <v>16</v>
      </c>
      <c r="G271" s="12" t="s">
        <v>229</v>
      </c>
      <c r="H271" s="12" t="s">
        <v>1172</v>
      </c>
      <c r="I271" s="14">
        <v>45537</v>
      </c>
      <c r="J271" s="12" t="s">
        <v>1173</v>
      </c>
    </row>
    <row r="272" spans="1:10" s="15" customFormat="1" x14ac:dyDescent="0.15">
      <c r="A272" s="11">
        <v>45539</v>
      </c>
      <c r="B272" s="12" t="s">
        <v>102</v>
      </c>
      <c r="C272" s="12" t="s">
        <v>102</v>
      </c>
      <c r="D272" s="13" t="str">
        <f>HYPERLINK("https://www.marklines.com/en/global/9891","Ferrovial, Oued El Berdi Bouira plant (formerly Ival Industrie SPA)")</f>
        <v>Ferrovial, Oued El Berdi Bouira plant (formerly Ival Industrie SPA)</v>
      </c>
      <c r="E272" s="12" t="s">
        <v>1174</v>
      </c>
      <c r="F272" s="12"/>
      <c r="G272" s="12" t="s">
        <v>884</v>
      </c>
      <c r="H272" s="12"/>
      <c r="I272" s="14">
        <v>45536</v>
      </c>
      <c r="J272" s="12" t="s">
        <v>1175</v>
      </c>
    </row>
    <row r="273" spans="1:10" s="15" customFormat="1" x14ac:dyDescent="0.15">
      <c r="A273" s="11">
        <v>45539</v>
      </c>
      <c r="B273" s="12" t="s">
        <v>51</v>
      </c>
      <c r="C273" s="12" t="s">
        <v>813</v>
      </c>
      <c r="D273" s="13" t="str">
        <f>HYPERLINK("https://www.marklines.com/en/global/3735","Nanjing Automobile(Group)Corporation")</f>
        <v>Nanjing Automobile(Group)Corporation</v>
      </c>
      <c r="E273" s="12" t="s">
        <v>1176</v>
      </c>
      <c r="F273" s="12" t="s">
        <v>21</v>
      </c>
      <c r="G273" s="12" t="s">
        <v>47</v>
      </c>
      <c r="H273" s="12" t="s">
        <v>354</v>
      </c>
      <c r="I273" s="14">
        <v>45535</v>
      </c>
      <c r="J273" s="12" t="s">
        <v>1177</v>
      </c>
    </row>
    <row r="274" spans="1:10" s="15" customFormat="1" x14ac:dyDescent="0.15">
      <c r="A274" s="11">
        <v>45539</v>
      </c>
      <c r="B274" s="12" t="s">
        <v>287</v>
      </c>
      <c r="C274" s="12" t="s">
        <v>934</v>
      </c>
      <c r="D274" s="13" t="str">
        <f>HYPERLINK("https://www.marklines.com/en/global/4163","Chongqing Changan Automobile Co., Ltd.")</f>
        <v>Chongqing Changan Automobile Co., Ltd.</v>
      </c>
      <c r="E274" s="12" t="s">
        <v>542</v>
      </c>
      <c r="F274" s="12" t="s">
        <v>21</v>
      </c>
      <c r="G274" s="12" t="s">
        <v>47</v>
      </c>
      <c r="H274" s="12" t="s">
        <v>362</v>
      </c>
      <c r="I274" s="14">
        <v>45534</v>
      </c>
      <c r="J274" s="12" t="s">
        <v>1178</v>
      </c>
    </row>
    <row r="275" spans="1:10" s="15" customFormat="1" x14ac:dyDescent="0.15">
      <c r="A275" s="11">
        <v>45539</v>
      </c>
      <c r="B275" s="12" t="s">
        <v>290</v>
      </c>
      <c r="C275" s="12" t="s">
        <v>290</v>
      </c>
      <c r="D275" s="13" t="str">
        <f>HYPERLINK("https://www.marklines.com/en/global/10504","Dongfeng Motor Group Co., Ltd. Mengshi Automobile Technology Company (formerly Dongfeng Motor Group Co., Ltd. High-end EV Off-road Vehicle Plant)")</f>
        <v>Dongfeng Motor Group Co., Ltd. Mengshi Automobile Technology Company (formerly Dongfeng Motor Group Co., Ltd. High-end EV Off-road Vehicle Plant)</v>
      </c>
      <c r="E275" s="12" t="s">
        <v>1179</v>
      </c>
      <c r="F275" s="12" t="s">
        <v>21</v>
      </c>
      <c r="G275" s="12" t="s">
        <v>47</v>
      </c>
      <c r="H275" s="12" t="s">
        <v>294</v>
      </c>
      <c r="I275" s="14">
        <v>45534</v>
      </c>
      <c r="J275" s="12" t="s">
        <v>1180</v>
      </c>
    </row>
    <row r="276" spans="1:10" s="15" customFormat="1" x14ac:dyDescent="0.15">
      <c r="A276" s="11">
        <v>45539</v>
      </c>
      <c r="B276" s="12" t="s">
        <v>290</v>
      </c>
      <c r="C276" s="12" t="s">
        <v>290</v>
      </c>
      <c r="D276" s="13" t="str">
        <f>HYPERLINK("https://www.marklines.com/en/global/10725","Dongfeng Automobile Nammi Technology (Xiangyang) Co., Ltd. (formerly Dongfeng Automobile Nano Technology (Xiangyang) Co., Ltd.) ")</f>
        <v xml:space="preserve">Dongfeng Automobile Nammi Technology (Xiangyang) Co., Ltd. (formerly Dongfeng Automobile Nano Technology (Xiangyang) Co., Ltd.) </v>
      </c>
      <c r="E276" s="12" t="s">
        <v>1181</v>
      </c>
      <c r="F276" s="12" t="s">
        <v>21</v>
      </c>
      <c r="G276" s="12" t="s">
        <v>47</v>
      </c>
      <c r="H276" s="12" t="s">
        <v>294</v>
      </c>
      <c r="I276" s="14">
        <v>45534</v>
      </c>
      <c r="J276" s="12" t="s">
        <v>1180</v>
      </c>
    </row>
    <row r="277" spans="1:10" s="15" customFormat="1" x14ac:dyDescent="0.15">
      <c r="A277" s="11">
        <v>45539</v>
      </c>
      <c r="B277" s="12" t="s">
        <v>290</v>
      </c>
      <c r="C277" s="12" t="s">
        <v>290</v>
      </c>
      <c r="D277" s="13" t="str">
        <f>HYPERLINK("https://www.marklines.com/en/global/3977","Dongfeng Passenger Vehicle Company")</f>
        <v>Dongfeng Passenger Vehicle Company</v>
      </c>
      <c r="E277" s="12" t="s">
        <v>1182</v>
      </c>
      <c r="F277" s="12" t="s">
        <v>21</v>
      </c>
      <c r="G277" s="12" t="s">
        <v>47</v>
      </c>
      <c r="H277" s="12" t="s">
        <v>294</v>
      </c>
      <c r="I277" s="14">
        <v>45534</v>
      </c>
      <c r="J277" s="12" t="s">
        <v>1180</v>
      </c>
    </row>
    <row r="278" spans="1:10" s="15" customFormat="1" x14ac:dyDescent="0.15">
      <c r="A278" s="11">
        <v>45539</v>
      </c>
      <c r="B278" s="12" t="s">
        <v>290</v>
      </c>
      <c r="C278" s="12" t="s">
        <v>290</v>
      </c>
      <c r="D278" s="13" t="str">
        <f>HYPERLINK("https://www.marklines.com/en/global/9605","Dongfeng Motor Co., Ltd. Wuhan Branch (formerly Dongfeng Nissan Passenger Vehicle Company Wuhan Plant)")</f>
        <v>Dongfeng Motor Co., Ltd. Wuhan Branch (formerly Dongfeng Nissan Passenger Vehicle Company Wuhan Plant)</v>
      </c>
      <c r="E278" s="12" t="s">
        <v>829</v>
      </c>
      <c r="F278" s="12" t="s">
        <v>21</v>
      </c>
      <c r="G278" s="12" t="s">
        <v>47</v>
      </c>
      <c r="H278" s="12" t="s">
        <v>294</v>
      </c>
      <c r="I278" s="14">
        <v>45534</v>
      </c>
      <c r="J278" s="12" t="s">
        <v>1180</v>
      </c>
    </row>
    <row r="279" spans="1:10" s="15" customFormat="1" x14ac:dyDescent="0.15">
      <c r="A279" s="11">
        <v>45539</v>
      </c>
      <c r="B279" s="12" t="s">
        <v>70</v>
      </c>
      <c r="C279" s="12" t="s">
        <v>70</v>
      </c>
      <c r="D279" s="13" t="str">
        <f>HYPERLINK("https://www.marklines.com/en/global/4043","BYD Automobile Industry Co., Ltd., Changsha Branch")</f>
        <v>BYD Automobile Industry Co., Ltd., Changsha Branch</v>
      </c>
      <c r="E279" s="12" t="s">
        <v>699</v>
      </c>
      <c r="F279" s="12" t="s">
        <v>21</v>
      </c>
      <c r="G279" s="12" t="s">
        <v>47</v>
      </c>
      <c r="H279" s="12" t="s">
        <v>700</v>
      </c>
      <c r="I279" s="14">
        <v>45534</v>
      </c>
      <c r="J279" s="12" t="s">
        <v>1183</v>
      </c>
    </row>
    <row r="280" spans="1:10" s="15" customFormat="1" x14ac:dyDescent="0.15">
      <c r="A280" s="11">
        <v>45539</v>
      </c>
      <c r="B280" s="12" t="s">
        <v>70</v>
      </c>
      <c r="C280" s="12" t="s">
        <v>70</v>
      </c>
      <c r="D280" s="13" t="str">
        <f>HYPERLINK("https://www.marklines.com/en/global/10526","BYD Automobile Industry Co., Ltd., Hefei Branch")</f>
        <v>BYD Automobile Industry Co., Ltd., Hefei Branch</v>
      </c>
      <c r="E280" s="12" t="s">
        <v>702</v>
      </c>
      <c r="F280" s="12" t="s">
        <v>21</v>
      </c>
      <c r="G280" s="12" t="s">
        <v>47</v>
      </c>
      <c r="H280" s="12" t="s">
        <v>105</v>
      </c>
      <c r="I280" s="14">
        <v>45534</v>
      </c>
      <c r="J280" s="12" t="s">
        <v>1183</v>
      </c>
    </row>
    <row r="281" spans="1:10" s="15" customFormat="1" x14ac:dyDescent="0.15">
      <c r="A281" s="11">
        <v>45539</v>
      </c>
      <c r="B281" s="12" t="s">
        <v>70</v>
      </c>
      <c r="C281" s="12" t="s">
        <v>70</v>
      </c>
      <c r="D281" s="13" t="str">
        <f>HYPERLINK("https://www.marklines.com/en/global/10574","BYD Automobile Industry Co., Ltd., Jinan Branch")</f>
        <v>BYD Automobile Industry Co., Ltd., Jinan Branch</v>
      </c>
      <c r="E281" s="12" t="s">
        <v>871</v>
      </c>
      <c r="F281" s="12" t="s">
        <v>21</v>
      </c>
      <c r="G281" s="12" t="s">
        <v>47</v>
      </c>
      <c r="H281" s="12" t="s">
        <v>116</v>
      </c>
      <c r="I281" s="14">
        <v>45534</v>
      </c>
      <c r="J281" s="12" t="s">
        <v>1183</v>
      </c>
    </row>
    <row r="282" spans="1:10" s="15" customFormat="1" x14ac:dyDescent="0.15">
      <c r="A282" s="11">
        <v>45539</v>
      </c>
      <c r="B282" s="12" t="s">
        <v>70</v>
      </c>
      <c r="C282" s="12" t="s">
        <v>70</v>
      </c>
      <c r="D282" s="13" t="str">
        <f>HYPERLINK("https://www.marklines.com/en/global/10678","BYD Automobile Industry Co., Ltd., Zhengzhou Branch")</f>
        <v>BYD Automobile Industry Co., Ltd., Zhengzhou Branch</v>
      </c>
      <c r="E282" s="12" t="s">
        <v>870</v>
      </c>
      <c r="F282" s="12" t="s">
        <v>21</v>
      </c>
      <c r="G282" s="12" t="s">
        <v>47</v>
      </c>
      <c r="H282" s="12" t="s">
        <v>478</v>
      </c>
      <c r="I282" s="14">
        <v>45534</v>
      </c>
      <c r="J282" s="12" t="s">
        <v>1183</v>
      </c>
    </row>
    <row r="283" spans="1:10" s="15" customFormat="1" x14ac:dyDescent="0.15">
      <c r="A283" s="11">
        <v>45539</v>
      </c>
      <c r="B283" s="12" t="s">
        <v>52</v>
      </c>
      <c r="C283" s="12" t="s">
        <v>995</v>
      </c>
      <c r="D283" s="13" t="str">
        <f>HYPERLINK("https://www.marklines.com/en/global/10391","Zhejiang Geely Automobile Co., Ltd. Meishan Plant")</f>
        <v>Zhejiang Geely Automobile Co., Ltd. Meishan Plant</v>
      </c>
      <c r="E283" s="12" t="s">
        <v>957</v>
      </c>
      <c r="F283" s="12" t="s">
        <v>21</v>
      </c>
      <c r="G283" s="12" t="s">
        <v>47</v>
      </c>
      <c r="H283" s="12" t="s">
        <v>54</v>
      </c>
      <c r="I283" s="14">
        <v>45534</v>
      </c>
      <c r="J283" s="12" t="s">
        <v>1184</v>
      </c>
    </row>
    <row r="284" spans="1:10" s="15" customFormat="1" x14ac:dyDescent="0.15">
      <c r="A284" s="11">
        <v>45539</v>
      </c>
      <c r="B284" s="12" t="s">
        <v>103</v>
      </c>
      <c r="C284" s="12" t="s">
        <v>802</v>
      </c>
      <c r="D284" s="13" t="str">
        <f>HYPERLINK("https://www.marklines.com/en/global/3969","Chery Commercial Vehicle (Anhui) Co., Ltd. Henan Branch (formerly Chery Automobile Henan Co., Ltd.)")</f>
        <v>Chery Commercial Vehicle (Anhui) Co., Ltd. Henan Branch (formerly Chery Automobile Henan Co., Ltd.)</v>
      </c>
      <c r="E284" s="12" t="s">
        <v>800</v>
      </c>
      <c r="F284" s="12" t="s">
        <v>21</v>
      </c>
      <c r="G284" s="12" t="s">
        <v>47</v>
      </c>
      <c r="H284" s="12" t="s">
        <v>478</v>
      </c>
      <c r="I284" s="14">
        <v>45534</v>
      </c>
      <c r="J284" s="12" t="s">
        <v>1185</v>
      </c>
    </row>
    <row r="285" spans="1:10" s="15" customFormat="1" x14ac:dyDescent="0.15">
      <c r="A285" s="11">
        <v>45539</v>
      </c>
      <c r="B285" s="12" t="s">
        <v>103</v>
      </c>
      <c r="C285" s="12" t="s">
        <v>802</v>
      </c>
      <c r="D285" s="13" t="str">
        <f>HYPERLINK("https://www.marklines.com/en/global/3883","Chery Commercial Vehicle (Anhui) Co., Ltd.")</f>
        <v>Chery Commercial Vehicle (Anhui) Co., Ltd.</v>
      </c>
      <c r="E285" s="12" t="s">
        <v>104</v>
      </c>
      <c r="F285" s="12" t="s">
        <v>21</v>
      </c>
      <c r="G285" s="12" t="s">
        <v>47</v>
      </c>
      <c r="H285" s="12" t="s">
        <v>105</v>
      </c>
      <c r="I285" s="14">
        <v>45534</v>
      </c>
      <c r="J285" s="12" t="s">
        <v>1185</v>
      </c>
    </row>
    <row r="286" spans="1:10" s="15" customFormat="1" x14ac:dyDescent="0.15">
      <c r="A286" s="11">
        <v>45538</v>
      </c>
      <c r="B286" s="12" t="s">
        <v>44</v>
      </c>
      <c r="C286" s="12" t="s">
        <v>44</v>
      </c>
      <c r="D286" s="13" t="str">
        <f>HYPERLINK("https://www.marklines.com/en/global/10883","Horse Curitiba Plant - Brazil (formerly Renault do Brazil)")</f>
        <v>Horse Curitiba Plant - Brazil (formerly Renault do Brazil)</v>
      </c>
      <c r="E286" s="12" t="s">
        <v>1186</v>
      </c>
      <c r="F286" s="12" t="s">
        <v>45</v>
      </c>
      <c r="G286" s="12" t="s">
        <v>232</v>
      </c>
      <c r="H286" s="12"/>
      <c r="I286" s="14">
        <v>45538</v>
      </c>
      <c r="J286" s="12" t="s">
        <v>1187</v>
      </c>
    </row>
    <row r="287" spans="1:10" s="15" customFormat="1" x14ac:dyDescent="0.15">
      <c r="A287" s="11">
        <v>45538</v>
      </c>
      <c r="B287" s="12" t="s">
        <v>52</v>
      </c>
      <c r="C287" s="12" t="s">
        <v>52</v>
      </c>
      <c r="D287" s="13" t="str">
        <f>HYPERLINK("https://www.marklines.com/en/global/10883","Horse Curitiba Plant - Brazil (formerly Renault do Brazil)")</f>
        <v>Horse Curitiba Plant - Brazil (formerly Renault do Brazil)</v>
      </c>
      <c r="E287" s="12" t="s">
        <v>1186</v>
      </c>
      <c r="F287" s="12" t="s">
        <v>45</v>
      </c>
      <c r="G287" s="12" t="s">
        <v>232</v>
      </c>
      <c r="H287" s="12"/>
      <c r="I287" s="14">
        <v>45538</v>
      </c>
      <c r="J287" s="12" t="s">
        <v>1187</v>
      </c>
    </row>
    <row r="288" spans="1:10" s="15" customFormat="1" x14ac:dyDescent="0.15">
      <c r="A288" s="11">
        <v>45538</v>
      </c>
      <c r="B288" s="12" t="s">
        <v>102</v>
      </c>
      <c r="C288" s="12" t="s">
        <v>1188</v>
      </c>
      <c r="D288" s="13" t="str">
        <f>HYPERLINK("https://www.marklines.com/en/global/95","FPT Industrial S.p.A., Bourbon Lancy Plant")</f>
        <v>FPT Industrial S.p.A., Bourbon Lancy Plant</v>
      </c>
      <c r="E288" s="12" t="s">
        <v>1189</v>
      </c>
      <c r="F288" s="12" t="s">
        <v>13</v>
      </c>
      <c r="G288" s="12" t="s">
        <v>29</v>
      </c>
      <c r="H288" s="12"/>
      <c r="I288" s="14">
        <v>45537</v>
      </c>
      <c r="J288" s="12" t="s">
        <v>1190</v>
      </c>
    </row>
    <row r="289" spans="1:10" s="15" customFormat="1" x14ac:dyDescent="0.15">
      <c r="A289" s="11">
        <v>45538</v>
      </c>
      <c r="B289" s="12" t="s">
        <v>121</v>
      </c>
      <c r="C289" s="12" t="s">
        <v>121</v>
      </c>
      <c r="D289" s="13" t="str">
        <f>HYPERLINK("https://www.marklines.com/en/global/10767","EP Manufacturing - PEPS-JV, Pegoh Plant (tentative name)")</f>
        <v>EP Manufacturing - PEPS-JV, Pegoh Plant (tentative name)</v>
      </c>
      <c r="E289" s="12" t="s">
        <v>1191</v>
      </c>
      <c r="F289" s="12" t="s">
        <v>60</v>
      </c>
      <c r="G289" s="12" t="s">
        <v>532</v>
      </c>
      <c r="H289" s="12"/>
      <c r="I289" s="14">
        <v>45537</v>
      </c>
      <c r="J289" s="12" t="s">
        <v>1192</v>
      </c>
    </row>
    <row r="290" spans="1:10" s="15" customFormat="1" x14ac:dyDescent="0.15">
      <c r="A290" s="11">
        <v>45538</v>
      </c>
      <c r="B290" s="12" t="s">
        <v>11</v>
      </c>
      <c r="C290" s="12" t="s">
        <v>11</v>
      </c>
      <c r="D290" s="13" t="str">
        <f>HYPERLINK("https://www.marklines.com/en/global/2903","Stellantis, Peugeot-Citroen do Brasil S.A., Porto Real Plant")</f>
        <v>Stellantis, Peugeot-Citroen do Brasil S.A., Porto Real Plant</v>
      </c>
      <c r="E290" s="12" t="s">
        <v>1193</v>
      </c>
      <c r="F290" s="12" t="s">
        <v>45</v>
      </c>
      <c r="G290" s="12" t="s">
        <v>232</v>
      </c>
      <c r="H290" s="12"/>
      <c r="I290" s="14">
        <v>45537</v>
      </c>
      <c r="J290" s="12" t="s">
        <v>1194</v>
      </c>
    </row>
    <row r="291" spans="1:10" s="15" customFormat="1" x14ac:dyDescent="0.15">
      <c r="A291" s="11">
        <v>45538</v>
      </c>
      <c r="B291" s="12" t="s">
        <v>11</v>
      </c>
      <c r="C291" s="12" t="s">
        <v>11</v>
      </c>
      <c r="D291" s="13" t="str">
        <f>HYPERLINK("https://www.marklines.com/en/global/2834","Stellantis, FCA Brazil, Pernambuco (Goiana) Plant")</f>
        <v>Stellantis, FCA Brazil, Pernambuco (Goiana) Plant</v>
      </c>
      <c r="E291" s="12" t="s">
        <v>1195</v>
      </c>
      <c r="F291" s="12" t="s">
        <v>45</v>
      </c>
      <c r="G291" s="12" t="s">
        <v>232</v>
      </c>
      <c r="H291" s="12"/>
      <c r="I291" s="14">
        <v>45537</v>
      </c>
      <c r="J291" s="12" t="s">
        <v>1194</v>
      </c>
    </row>
    <row r="292" spans="1:10" s="15" customFormat="1" x14ac:dyDescent="0.15">
      <c r="A292" s="11">
        <v>45538</v>
      </c>
      <c r="B292" s="12" t="s">
        <v>11</v>
      </c>
      <c r="C292" s="12" t="s">
        <v>11</v>
      </c>
      <c r="D292" s="13" t="str">
        <f>HYPERLINK("https://www.marklines.com/en/global/2833","Stellantis, FCA Brazil, Betim Plant")</f>
        <v>Stellantis, FCA Brazil, Betim Plant</v>
      </c>
      <c r="E292" s="12" t="s">
        <v>518</v>
      </c>
      <c r="F292" s="12" t="s">
        <v>45</v>
      </c>
      <c r="G292" s="12" t="s">
        <v>232</v>
      </c>
      <c r="H292" s="12"/>
      <c r="I292" s="14">
        <v>45537</v>
      </c>
      <c r="J292" s="12" t="s">
        <v>1194</v>
      </c>
    </row>
    <row r="293" spans="1:10" s="15" customFormat="1" x14ac:dyDescent="0.15">
      <c r="A293" s="11">
        <v>45538</v>
      </c>
      <c r="B293" s="12" t="s">
        <v>15</v>
      </c>
      <c r="C293" s="12" t="s">
        <v>15</v>
      </c>
      <c r="D293" s="13" t="str">
        <f>HYPERLINK("https://www.marklines.com/en/global/863","Ford, Irapuato Electric Powertrain Center")</f>
        <v>Ford, Irapuato Electric Powertrain Center</v>
      </c>
      <c r="E293" s="12" t="s">
        <v>1196</v>
      </c>
      <c r="F293" s="12" t="s">
        <v>16</v>
      </c>
      <c r="G293" s="12" t="s">
        <v>229</v>
      </c>
      <c r="H293" s="12" t="s">
        <v>1197</v>
      </c>
      <c r="I293" s="14">
        <v>45534</v>
      </c>
      <c r="J293" s="12" t="s">
        <v>1198</v>
      </c>
    </row>
    <row r="294" spans="1:10" s="15" customFormat="1" x14ac:dyDescent="0.15">
      <c r="A294" s="11">
        <v>45538</v>
      </c>
      <c r="B294" s="12" t="s">
        <v>82</v>
      </c>
      <c r="C294" s="12" t="s">
        <v>83</v>
      </c>
      <c r="D294" s="13" t="str">
        <f>HYPERLINK("https://www.marklines.com/en/global/3425","Beiqi Foton Motor Co., Ltd.")</f>
        <v>Beiqi Foton Motor Co., Ltd.</v>
      </c>
      <c r="E294" s="12" t="s">
        <v>1199</v>
      </c>
      <c r="F294" s="12" t="s">
        <v>21</v>
      </c>
      <c r="G294" s="12" t="s">
        <v>47</v>
      </c>
      <c r="H294" s="12" t="s">
        <v>56</v>
      </c>
      <c r="I294" s="14">
        <v>45532</v>
      </c>
      <c r="J294" s="12" t="s">
        <v>1200</v>
      </c>
    </row>
    <row r="295" spans="1:10" s="15" customFormat="1" x14ac:dyDescent="0.15">
      <c r="A295" s="11">
        <v>45538</v>
      </c>
      <c r="B295" s="12" t="s">
        <v>82</v>
      </c>
      <c r="C295" s="12" t="s">
        <v>83</v>
      </c>
      <c r="D295" s="13" t="str">
        <f>HYPERLINK("https://www.marklines.com/en/global/3429","Beijing Foton Daimler Automotive Co., Ltd. (BFDA)")</f>
        <v>Beijing Foton Daimler Automotive Co., Ltd. (BFDA)</v>
      </c>
      <c r="E295" s="12" t="s">
        <v>280</v>
      </c>
      <c r="F295" s="12" t="s">
        <v>21</v>
      </c>
      <c r="G295" s="12" t="s">
        <v>47</v>
      </c>
      <c r="H295" s="12" t="s">
        <v>56</v>
      </c>
      <c r="I295" s="14">
        <v>45532</v>
      </c>
      <c r="J295" s="12" t="s">
        <v>1200</v>
      </c>
    </row>
    <row r="296" spans="1:10" s="15" customFormat="1" x14ac:dyDescent="0.15">
      <c r="A296" s="11">
        <v>45537</v>
      </c>
      <c r="B296" s="12" t="s">
        <v>49</v>
      </c>
      <c r="C296" s="12" t="s">
        <v>1033</v>
      </c>
      <c r="D296" s="13" t="str">
        <f>HYPERLINK("https://www.marklines.com/en/global/1741","Škoda Auto, Kvasiny Plant")</f>
        <v>Škoda Auto, Kvasiny Plant</v>
      </c>
      <c r="E296" s="12" t="s">
        <v>1034</v>
      </c>
      <c r="F296" s="12" t="s">
        <v>61</v>
      </c>
      <c r="G296" s="12" t="s">
        <v>1035</v>
      </c>
      <c r="H296" s="12"/>
      <c r="I296" s="14">
        <v>45537</v>
      </c>
      <c r="J296" s="12" t="s">
        <v>1201</v>
      </c>
    </row>
    <row r="297" spans="1:10" s="15" customFormat="1" x14ac:dyDescent="0.15">
      <c r="A297" s="11">
        <v>45537</v>
      </c>
      <c r="B297" s="12" t="s">
        <v>49</v>
      </c>
      <c r="C297" s="12" t="s">
        <v>1033</v>
      </c>
      <c r="D297" s="13" t="str">
        <f>HYPERLINK("https://www.marklines.com/en/global/1743","Škoda Auto, Vrchlabí Plant")</f>
        <v>Škoda Auto, Vrchlabí Plant</v>
      </c>
      <c r="E297" s="12" t="s">
        <v>1202</v>
      </c>
      <c r="F297" s="12" t="s">
        <v>61</v>
      </c>
      <c r="G297" s="12" t="s">
        <v>1035</v>
      </c>
      <c r="H297" s="12"/>
      <c r="I297" s="14">
        <v>45537</v>
      </c>
      <c r="J297" s="12" t="s">
        <v>1201</v>
      </c>
    </row>
    <row r="298" spans="1:10" s="15" customFormat="1" x14ac:dyDescent="0.15">
      <c r="A298" s="11">
        <v>45537</v>
      </c>
      <c r="B298" s="12" t="s">
        <v>49</v>
      </c>
      <c r="C298" s="12" t="s">
        <v>98</v>
      </c>
      <c r="D298" s="13" t="str">
        <f>HYPERLINK("https://www.marklines.com/en/global/8739","Audi Mexico S.A. de C.V., San José Chiapa Plant")</f>
        <v>Audi Mexico S.A. de C.V., San José Chiapa Plant</v>
      </c>
      <c r="E298" s="12" t="s">
        <v>1203</v>
      </c>
      <c r="F298" s="12" t="s">
        <v>16</v>
      </c>
      <c r="G298" s="12" t="s">
        <v>229</v>
      </c>
      <c r="H298" s="12" t="s">
        <v>1172</v>
      </c>
      <c r="I298" s="14">
        <v>45537</v>
      </c>
      <c r="J298" s="12" t="s">
        <v>1204</v>
      </c>
    </row>
    <row r="299" spans="1:10" s="15" customFormat="1" x14ac:dyDescent="0.15">
      <c r="A299" s="11">
        <v>45537</v>
      </c>
      <c r="B299" s="12" t="s">
        <v>11</v>
      </c>
      <c r="C299" s="12" t="s">
        <v>11</v>
      </c>
      <c r="D299" s="13" t="str">
        <f>HYPERLINK("https://www.marklines.com/en/global/1343","Stellantis, Fiat Powertrain Technologies, Termoli Plant / Automotive Cell Company (ACC), Termoli Plant")</f>
        <v>Stellantis, Fiat Powertrain Technologies, Termoli Plant / Automotive Cell Company (ACC), Termoli Plant</v>
      </c>
      <c r="E299" s="12" t="s">
        <v>491</v>
      </c>
      <c r="F299" s="12" t="s">
        <v>13</v>
      </c>
      <c r="G299" s="12" t="s">
        <v>216</v>
      </c>
      <c r="H299" s="12"/>
      <c r="I299" s="14">
        <v>45534</v>
      </c>
      <c r="J299" s="12" t="s">
        <v>1205</v>
      </c>
    </row>
    <row r="300" spans="1:10" s="15" customFormat="1" x14ac:dyDescent="0.15">
      <c r="A300" s="11">
        <v>45537</v>
      </c>
      <c r="B300" s="12" t="s">
        <v>11</v>
      </c>
      <c r="C300" s="12" t="s">
        <v>11</v>
      </c>
      <c r="D300" s="13" t="str">
        <f>HYPERLINK("https://www.marklines.com/en/global/1323","Stellantis, FCA Italy, Cassino Plant")</f>
        <v>Stellantis, FCA Italy, Cassino Plant</v>
      </c>
      <c r="E300" s="12" t="s">
        <v>334</v>
      </c>
      <c r="F300" s="12" t="s">
        <v>13</v>
      </c>
      <c r="G300" s="12" t="s">
        <v>216</v>
      </c>
      <c r="H300" s="12"/>
      <c r="I300" s="14">
        <v>45534</v>
      </c>
      <c r="J300" s="12" t="s">
        <v>1206</v>
      </c>
    </row>
    <row r="301" spans="1:10" s="15" customFormat="1" x14ac:dyDescent="0.15">
      <c r="A301" s="11">
        <v>45537</v>
      </c>
      <c r="B301" s="12" t="s">
        <v>35</v>
      </c>
      <c r="C301" s="12" t="s">
        <v>35</v>
      </c>
      <c r="D301" s="13" t="str">
        <f>HYPERLINK("https://www.marklines.com/en/global/1065","Indus Motor Company Ltd. (IMC), Karachi Plant")</f>
        <v>Indus Motor Company Ltd. (IMC), Karachi Plant</v>
      </c>
      <c r="E301" s="12" t="s">
        <v>509</v>
      </c>
      <c r="F301" s="12" t="s">
        <v>36</v>
      </c>
      <c r="G301" s="12" t="s">
        <v>510</v>
      </c>
      <c r="H301" s="12"/>
      <c r="I301" s="14">
        <v>45534</v>
      </c>
      <c r="J301" s="12" t="s">
        <v>1207</v>
      </c>
    </row>
    <row r="302" spans="1:10" s="15" customFormat="1" x14ac:dyDescent="0.15">
      <c r="A302" s="11">
        <v>45537</v>
      </c>
      <c r="B302" s="12" t="s">
        <v>35</v>
      </c>
      <c r="C302" s="12" t="s">
        <v>62</v>
      </c>
      <c r="D302" s="13" t="str">
        <f>HYPERLINK("https://www.marklines.com/en/global/539","Daihatsu Motor, Head (Ikeda) Plant")</f>
        <v>Daihatsu Motor, Head (Ikeda) Plant</v>
      </c>
      <c r="E302" s="12" t="s">
        <v>63</v>
      </c>
      <c r="F302" s="12" t="s">
        <v>21</v>
      </c>
      <c r="G302" s="12" t="s">
        <v>22</v>
      </c>
      <c r="H302" s="12" t="s">
        <v>64</v>
      </c>
      <c r="I302" s="14">
        <v>45534</v>
      </c>
      <c r="J302" s="12" t="s">
        <v>1208</v>
      </c>
    </row>
    <row r="303" spans="1:10" s="15" customFormat="1" x14ac:dyDescent="0.15">
      <c r="A303" s="11">
        <v>45537</v>
      </c>
      <c r="B303" s="12" t="s">
        <v>35</v>
      </c>
      <c r="C303" s="12" t="s">
        <v>62</v>
      </c>
      <c r="D303" s="13" t="str">
        <f>HYPERLINK("https://www.marklines.com/en/global/541","Daihatsu Motor, Kyoto (Oyamazaki) Plant")</f>
        <v>Daihatsu Motor, Kyoto (Oyamazaki) Plant</v>
      </c>
      <c r="E303" s="12" t="s">
        <v>68</v>
      </c>
      <c r="F303" s="12" t="s">
        <v>21</v>
      </c>
      <c r="G303" s="12" t="s">
        <v>22</v>
      </c>
      <c r="H303" s="12" t="s">
        <v>69</v>
      </c>
      <c r="I303" s="14">
        <v>45534</v>
      </c>
      <c r="J303" s="12" t="s">
        <v>1208</v>
      </c>
    </row>
    <row r="304" spans="1:10" s="15" customFormat="1" x14ac:dyDescent="0.15">
      <c r="A304" s="11">
        <v>45537</v>
      </c>
      <c r="B304" s="12" t="s">
        <v>35</v>
      </c>
      <c r="C304" s="12" t="s">
        <v>62</v>
      </c>
      <c r="D304" s="13" t="str">
        <f>HYPERLINK("https://www.marklines.com/en/global/543","Daihatsu Motor, Shiga (Ryuo) Plant")</f>
        <v>Daihatsu Motor, Shiga (Ryuo) Plant</v>
      </c>
      <c r="E304" s="12" t="s">
        <v>89</v>
      </c>
      <c r="F304" s="12" t="s">
        <v>21</v>
      </c>
      <c r="G304" s="12" t="s">
        <v>22</v>
      </c>
      <c r="H304" s="12" t="s">
        <v>90</v>
      </c>
      <c r="I304" s="14">
        <v>45534</v>
      </c>
      <c r="J304" s="12" t="s">
        <v>1208</v>
      </c>
    </row>
    <row r="305" spans="1:10" s="15" customFormat="1" x14ac:dyDescent="0.15">
      <c r="A305" s="11">
        <v>45537</v>
      </c>
      <c r="B305" s="12" t="s">
        <v>35</v>
      </c>
      <c r="C305" s="12" t="s">
        <v>62</v>
      </c>
      <c r="D305" s="13" t="str">
        <f>HYPERLINK("https://www.marklines.com/en/global/547","Daihatsu Motor Kyushu, Oita (Nakatsu) Plant")</f>
        <v>Daihatsu Motor Kyushu, Oita (Nakatsu) Plant</v>
      </c>
      <c r="E305" s="12" t="s">
        <v>65</v>
      </c>
      <c r="F305" s="12" t="s">
        <v>21</v>
      </c>
      <c r="G305" s="12" t="s">
        <v>22</v>
      </c>
      <c r="H305" s="12" t="s">
        <v>66</v>
      </c>
      <c r="I305" s="14">
        <v>45534</v>
      </c>
      <c r="J305" s="12" t="s">
        <v>1208</v>
      </c>
    </row>
    <row r="306" spans="1:10" s="15" customFormat="1" x14ac:dyDescent="0.15">
      <c r="A306" s="11">
        <v>45537</v>
      </c>
      <c r="B306" s="12" t="s">
        <v>35</v>
      </c>
      <c r="C306" s="12" t="s">
        <v>35</v>
      </c>
      <c r="D306" s="13" t="str">
        <f>HYPERLINK("https://www.marklines.com/en/global/393","Toyota Motor Kyushu, Miyata Plant")</f>
        <v>Toyota Motor Kyushu, Miyata Plant</v>
      </c>
      <c r="E306" s="12" t="s">
        <v>891</v>
      </c>
      <c r="F306" s="12" t="s">
        <v>21</v>
      </c>
      <c r="G306" s="12" t="s">
        <v>22</v>
      </c>
      <c r="H306" s="12" t="s">
        <v>142</v>
      </c>
      <c r="I306" s="14">
        <v>45534</v>
      </c>
      <c r="J306" s="12" t="s">
        <v>1209</v>
      </c>
    </row>
    <row r="307" spans="1:10" s="15" customFormat="1" x14ac:dyDescent="0.15">
      <c r="A307" s="11">
        <v>45537</v>
      </c>
      <c r="B307" s="12" t="s">
        <v>35</v>
      </c>
      <c r="C307" s="12" t="s">
        <v>35</v>
      </c>
      <c r="D307" s="13" t="str">
        <f>HYPERLINK("https://www.marklines.com/en/global/395","Toyota Motor Kyushu, Kanda Plant")</f>
        <v>Toyota Motor Kyushu, Kanda Plant</v>
      </c>
      <c r="E307" s="12" t="s">
        <v>1210</v>
      </c>
      <c r="F307" s="12" t="s">
        <v>21</v>
      </c>
      <c r="G307" s="12" t="s">
        <v>22</v>
      </c>
      <c r="H307" s="12" t="s">
        <v>142</v>
      </c>
      <c r="I307" s="14">
        <v>45534</v>
      </c>
      <c r="J307" s="12" t="s">
        <v>1209</v>
      </c>
    </row>
    <row r="308" spans="1:10" s="15" customFormat="1" x14ac:dyDescent="0.15">
      <c r="A308" s="11">
        <v>45537</v>
      </c>
      <c r="B308" s="12" t="s">
        <v>35</v>
      </c>
      <c r="C308" s="12" t="s">
        <v>35</v>
      </c>
      <c r="D308" s="13" t="str">
        <f>HYPERLINK("https://www.marklines.com/en/global/397","Toyota Motor Kyushu, Kokura Plant")</f>
        <v>Toyota Motor Kyushu, Kokura Plant</v>
      </c>
      <c r="E308" s="12" t="s">
        <v>1211</v>
      </c>
      <c r="F308" s="12" t="s">
        <v>21</v>
      </c>
      <c r="G308" s="12" t="s">
        <v>22</v>
      </c>
      <c r="H308" s="12" t="s">
        <v>142</v>
      </c>
      <c r="I308" s="14">
        <v>45534</v>
      </c>
      <c r="J308" s="12" t="s">
        <v>1209</v>
      </c>
    </row>
    <row r="309" spans="1:10" s="15" customFormat="1" x14ac:dyDescent="0.15">
      <c r="A309" s="11">
        <v>45537</v>
      </c>
      <c r="B309" s="12" t="s">
        <v>35</v>
      </c>
      <c r="C309" s="12" t="s">
        <v>35</v>
      </c>
      <c r="D309" s="13" t="str">
        <f>HYPERLINK("https://www.marklines.com/en/global/409","Toyota Auto Body, Fujimatsu Plant")</f>
        <v>Toyota Auto Body, Fujimatsu Plant</v>
      </c>
      <c r="E309" s="12" t="s">
        <v>127</v>
      </c>
      <c r="F309" s="12" t="s">
        <v>21</v>
      </c>
      <c r="G309" s="12" t="s">
        <v>22</v>
      </c>
      <c r="H309" s="12" t="s">
        <v>92</v>
      </c>
      <c r="I309" s="14">
        <v>45534</v>
      </c>
      <c r="J309" s="12" t="s">
        <v>1212</v>
      </c>
    </row>
    <row r="310" spans="1:10" s="15" customFormat="1" x14ac:dyDescent="0.15">
      <c r="A310" s="11">
        <v>45537</v>
      </c>
      <c r="B310" s="12" t="s">
        <v>35</v>
      </c>
      <c r="C310" s="12" t="s">
        <v>35</v>
      </c>
      <c r="D310" s="13" t="str">
        <f>HYPERLINK("https://www.marklines.com/en/global/411","Toyota Auto Body, Yoshiwara Plant")</f>
        <v>Toyota Auto Body, Yoshiwara Plant</v>
      </c>
      <c r="E310" s="12" t="s">
        <v>211</v>
      </c>
      <c r="F310" s="12" t="s">
        <v>21</v>
      </c>
      <c r="G310" s="12" t="s">
        <v>22</v>
      </c>
      <c r="H310" s="12" t="s">
        <v>92</v>
      </c>
      <c r="I310" s="14">
        <v>45534</v>
      </c>
      <c r="J310" s="12" t="s">
        <v>1212</v>
      </c>
    </row>
    <row r="311" spans="1:10" s="15" customFormat="1" x14ac:dyDescent="0.15">
      <c r="A311" s="11">
        <v>45537</v>
      </c>
      <c r="B311" s="12" t="s">
        <v>35</v>
      </c>
      <c r="C311" s="12" t="s">
        <v>35</v>
      </c>
      <c r="D311" s="13" t="str">
        <f>HYPERLINK("https://www.marklines.com/en/global/433","Toyota Industries Corporation, Nagakusa Plant")</f>
        <v>Toyota Industries Corporation, Nagakusa Plant</v>
      </c>
      <c r="E311" s="12" t="s">
        <v>893</v>
      </c>
      <c r="F311" s="12" t="s">
        <v>21</v>
      </c>
      <c r="G311" s="12" t="s">
        <v>22</v>
      </c>
      <c r="H311" s="12" t="s">
        <v>92</v>
      </c>
      <c r="I311" s="14">
        <v>45534</v>
      </c>
      <c r="J311" s="12" t="s">
        <v>1212</v>
      </c>
    </row>
    <row r="312" spans="1:10" s="15" customFormat="1" x14ac:dyDescent="0.15">
      <c r="A312" s="11">
        <v>45537</v>
      </c>
      <c r="B312" s="12" t="s">
        <v>35</v>
      </c>
      <c r="C312" s="12" t="s">
        <v>35</v>
      </c>
      <c r="D312" s="13" t="str">
        <f>HYPERLINK("https://www.marklines.com/en/global/417","Gifu Auto Body Co., Ltd., Honsha Plant")</f>
        <v>Gifu Auto Body Co., Ltd., Honsha Plant</v>
      </c>
      <c r="E312" s="12" t="s">
        <v>212</v>
      </c>
      <c r="F312" s="12" t="s">
        <v>21</v>
      </c>
      <c r="G312" s="12" t="s">
        <v>22</v>
      </c>
      <c r="H312" s="12" t="s">
        <v>213</v>
      </c>
      <c r="I312" s="14">
        <v>45534</v>
      </c>
      <c r="J312" s="12" t="s">
        <v>1212</v>
      </c>
    </row>
    <row r="313" spans="1:10" s="15" customFormat="1" x14ac:dyDescent="0.15">
      <c r="A313" s="11">
        <v>45537</v>
      </c>
      <c r="B313" s="12" t="s">
        <v>35</v>
      </c>
      <c r="C313" s="12" t="s">
        <v>35</v>
      </c>
      <c r="D313" s="13" t="str">
        <f>HYPERLINK("https://www.marklines.com/en/global/420","Toyota Motor East Japan, Miyagi Ohira Plant")</f>
        <v>Toyota Motor East Japan, Miyagi Ohira Plant</v>
      </c>
      <c r="E313" s="12" t="s">
        <v>593</v>
      </c>
      <c r="F313" s="12" t="s">
        <v>21</v>
      </c>
      <c r="G313" s="12" t="s">
        <v>22</v>
      </c>
      <c r="H313" s="12" t="s">
        <v>594</v>
      </c>
      <c r="I313" s="14">
        <v>45534</v>
      </c>
      <c r="J313" s="12" t="s">
        <v>1212</v>
      </c>
    </row>
    <row r="314" spans="1:10" s="15" customFormat="1" x14ac:dyDescent="0.15">
      <c r="A314" s="11">
        <v>45537</v>
      </c>
      <c r="B314" s="12" t="s">
        <v>35</v>
      </c>
      <c r="C314" s="12" t="s">
        <v>35</v>
      </c>
      <c r="D314" s="13" t="str">
        <f>HYPERLINK("https://www.marklines.com/en/global/375","Toyota Motor, Takaoka Plant")</f>
        <v>Toyota Motor, Takaoka Plant</v>
      </c>
      <c r="E314" s="12" t="s">
        <v>894</v>
      </c>
      <c r="F314" s="12" t="s">
        <v>21</v>
      </c>
      <c r="G314" s="12" t="s">
        <v>22</v>
      </c>
      <c r="H314" s="12" t="s">
        <v>92</v>
      </c>
      <c r="I314" s="14">
        <v>45534</v>
      </c>
      <c r="J314" s="12" t="s">
        <v>1212</v>
      </c>
    </row>
    <row r="315" spans="1:10" s="15" customFormat="1" x14ac:dyDescent="0.15">
      <c r="A315" s="11">
        <v>45537</v>
      </c>
      <c r="B315" s="12" t="s">
        <v>35</v>
      </c>
      <c r="C315" s="12" t="s">
        <v>35</v>
      </c>
      <c r="D315" s="13" t="str">
        <f>HYPERLINK("https://www.marklines.com/en/global/413","Toyota Auto Body, Inabe Plant")</f>
        <v>Toyota Auto Body, Inabe Plant</v>
      </c>
      <c r="E315" s="12" t="s">
        <v>743</v>
      </c>
      <c r="F315" s="12" t="s">
        <v>21</v>
      </c>
      <c r="G315" s="12" t="s">
        <v>22</v>
      </c>
      <c r="H315" s="12" t="s">
        <v>405</v>
      </c>
      <c r="I315" s="14">
        <v>45534</v>
      </c>
      <c r="J315" s="12" t="s">
        <v>1212</v>
      </c>
    </row>
    <row r="316" spans="1:10" s="15" customFormat="1" x14ac:dyDescent="0.15">
      <c r="A316" s="11">
        <v>45537</v>
      </c>
      <c r="B316" s="12" t="s">
        <v>35</v>
      </c>
      <c r="C316" s="12" t="s">
        <v>35</v>
      </c>
      <c r="D316" s="13" t="str">
        <f>HYPERLINK("https://www.marklines.com/en/global/379","Toyota Motor, Tsutsumi Plant")</f>
        <v>Toyota Motor, Tsutsumi Plant</v>
      </c>
      <c r="E316" s="12" t="s">
        <v>895</v>
      </c>
      <c r="F316" s="12" t="s">
        <v>21</v>
      </c>
      <c r="G316" s="12" t="s">
        <v>22</v>
      </c>
      <c r="H316" s="12" t="s">
        <v>92</v>
      </c>
      <c r="I316" s="14">
        <v>45534</v>
      </c>
      <c r="J316" s="12" t="s">
        <v>1212</v>
      </c>
    </row>
    <row r="317" spans="1:10" s="15" customFormat="1" x14ac:dyDescent="0.15">
      <c r="A317" s="11">
        <v>45537</v>
      </c>
      <c r="B317" s="12" t="s">
        <v>35</v>
      </c>
      <c r="C317" s="12" t="s">
        <v>35</v>
      </c>
      <c r="D317" s="13" t="str">
        <f>HYPERLINK("https://www.marklines.com/en/global/424","Toyota Motor East Japan, Iwate Plant")</f>
        <v>Toyota Motor East Japan, Iwate Plant</v>
      </c>
      <c r="E317" s="12" t="s">
        <v>399</v>
      </c>
      <c r="F317" s="12" t="s">
        <v>21</v>
      </c>
      <c r="G317" s="12" t="s">
        <v>22</v>
      </c>
      <c r="H317" s="12" t="s">
        <v>400</v>
      </c>
      <c r="I317" s="14">
        <v>45534</v>
      </c>
      <c r="J317" s="12" t="s">
        <v>1212</v>
      </c>
    </row>
    <row r="318" spans="1:10" s="15" customFormat="1" x14ac:dyDescent="0.15">
      <c r="A318" s="11">
        <v>45537</v>
      </c>
      <c r="B318" s="12" t="s">
        <v>35</v>
      </c>
      <c r="C318" s="12" t="s">
        <v>35</v>
      </c>
      <c r="D318" s="13" t="str">
        <f>HYPERLINK("https://www.marklines.com/en/global/567","Hino Motors, Hamura Plant")</f>
        <v>Hino Motors, Hamura Plant</v>
      </c>
      <c r="E318" s="12" t="s">
        <v>125</v>
      </c>
      <c r="F318" s="12" t="s">
        <v>21</v>
      </c>
      <c r="G318" s="12" t="s">
        <v>22</v>
      </c>
      <c r="H318" s="12" t="s">
        <v>126</v>
      </c>
      <c r="I318" s="14">
        <v>45534</v>
      </c>
      <c r="J318" s="12" t="s">
        <v>1212</v>
      </c>
    </row>
    <row r="319" spans="1:10" s="15" customFormat="1" x14ac:dyDescent="0.15">
      <c r="A319" s="11">
        <v>45537</v>
      </c>
      <c r="B319" s="12" t="s">
        <v>35</v>
      </c>
      <c r="C319" s="12" t="s">
        <v>35</v>
      </c>
      <c r="D319" s="13" t="str">
        <f>HYPERLINK("https://www.marklines.com/en/global/381","Toyota Motor, Tahara Plant")</f>
        <v>Toyota Motor, Tahara Plant</v>
      </c>
      <c r="E319" s="12" t="s">
        <v>93</v>
      </c>
      <c r="F319" s="12" t="s">
        <v>21</v>
      </c>
      <c r="G319" s="12" t="s">
        <v>22</v>
      </c>
      <c r="H319" s="12" t="s">
        <v>92</v>
      </c>
      <c r="I319" s="14">
        <v>45534</v>
      </c>
      <c r="J319" s="12" t="s">
        <v>1212</v>
      </c>
    </row>
    <row r="320" spans="1:10" s="15" customFormat="1" x14ac:dyDescent="0.15">
      <c r="A320" s="11">
        <v>45537</v>
      </c>
      <c r="B320" s="12" t="s">
        <v>35</v>
      </c>
      <c r="C320" s="12" t="s">
        <v>35</v>
      </c>
      <c r="D320" s="13" t="str">
        <f>HYPERLINK("https://www.marklines.com/en/global/373","Toyota Motor, Motomachi Plant")</f>
        <v>Toyota Motor, Motomachi Plant</v>
      </c>
      <c r="E320" s="12" t="s">
        <v>597</v>
      </c>
      <c r="F320" s="12" t="s">
        <v>21</v>
      </c>
      <c r="G320" s="12" t="s">
        <v>22</v>
      </c>
      <c r="H320" s="12" t="s">
        <v>92</v>
      </c>
      <c r="I320" s="14">
        <v>45534</v>
      </c>
      <c r="J320" s="12" t="s">
        <v>1212</v>
      </c>
    </row>
    <row r="321" spans="1:10" s="15" customFormat="1" x14ac:dyDescent="0.15">
      <c r="A321" s="11">
        <v>45537</v>
      </c>
      <c r="B321" s="12" t="s">
        <v>35</v>
      </c>
      <c r="C321" s="12" t="s">
        <v>1213</v>
      </c>
      <c r="D321" s="13" t="str">
        <f>HYPERLINK("https://www.marklines.com/en/global/567","Hino Motors, Hamura Plant")</f>
        <v>Hino Motors, Hamura Plant</v>
      </c>
      <c r="E321" s="12" t="s">
        <v>125</v>
      </c>
      <c r="F321" s="12" t="s">
        <v>21</v>
      </c>
      <c r="G321" s="12" t="s">
        <v>22</v>
      </c>
      <c r="H321" s="12" t="s">
        <v>126</v>
      </c>
      <c r="I321" s="14">
        <v>45534</v>
      </c>
      <c r="J321" s="12" t="s">
        <v>1212</v>
      </c>
    </row>
    <row r="322" spans="1:10" s="15" customFormat="1" x14ac:dyDescent="0.15">
      <c r="A322" s="11">
        <v>45537</v>
      </c>
      <c r="B322" s="12" t="s">
        <v>15</v>
      </c>
      <c r="C322" s="12" t="s">
        <v>15</v>
      </c>
      <c r="D322" s="13" t="str">
        <f>HYPERLINK("https://www.marklines.com/en/global/1901","Ford Motor Spain, Valencia (Almussafes) Plant")</f>
        <v>Ford Motor Spain, Valencia (Almussafes) Plant</v>
      </c>
      <c r="E322" s="12" t="s">
        <v>91</v>
      </c>
      <c r="F322" s="12" t="s">
        <v>13</v>
      </c>
      <c r="G322" s="12" t="s">
        <v>14</v>
      </c>
      <c r="H322" s="12"/>
      <c r="I322" s="14">
        <v>45534</v>
      </c>
      <c r="J322" s="12" t="s">
        <v>1214</v>
      </c>
    </row>
    <row r="323" spans="1:10" s="15" customFormat="1" x14ac:dyDescent="0.15">
      <c r="A323" s="11">
        <v>45537</v>
      </c>
      <c r="B323" s="12" t="s">
        <v>35</v>
      </c>
      <c r="C323" s="12" t="s">
        <v>35</v>
      </c>
      <c r="D323" s="13" t="str">
        <f>HYPERLINK("https://www.marklines.com/en/global/393","Toyota Motor Kyushu, Miyata Plant")</f>
        <v>Toyota Motor Kyushu, Miyata Plant</v>
      </c>
      <c r="E323" s="12" t="s">
        <v>891</v>
      </c>
      <c r="F323" s="12" t="s">
        <v>21</v>
      </c>
      <c r="G323" s="12" t="s">
        <v>22</v>
      </c>
      <c r="H323" s="12" t="s">
        <v>142</v>
      </c>
      <c r="I323" s="14">
        <v>45533</v>
      </c>
      <c r="J323" s="12" t="s">
        <v>1215</v>
      </c>
    </row>
    <row r="324" spans="1:10" s="15" customFormat="1" x14ac:dyDescent="0.15">
      <c r="A324" s="11">
        <v>45537</v>
      </c>
      <c r="B324" s="12" t="s">
        <v>35</v>
      </c>
      <c r="C324" s="12" t="s">
        <v>35</v>
      </c>
      <c r="D324" s="13" t="str">
        <f>HYPERLINK("https://www.marklines.com/en/global/395","Toyota Motor Kyushu, Kanda Plant")</f>
        <v>Toyota Motor Kyushu, Kanda Plant</v>
      </c>
      <c r="E324" s="12" t="s">
        <v>1210</v>
      </c>
      <c r="F324" s="12" t="s">
        <v>21</v>
      </c>
      <c r="G324" s="12" t="s">
        <v>22</v>
      </c>
      <c r="H324" s="12" t="s">
        <v>142</v>
      </c>
      <c r="I324" s="14">
        <v>45533</v>
      </c>
      <c r="J324" s="12" t="s">
        <v>1215</v>
      </c>
    </row>
    <row r="325" spans="1:10" s="15" customFormat="1" x14ac:dyDescent="0.15">
      <c r="A325" s="11">
        <v>45537</v>
      </c>
      <c r="B325" s="12" t="s">
        <v>35</v>
      </c>
      <c r="C325" s="12" t="s">
        <v>35</v>
      </c>
      <c r="D325" s="13" t="str">
        <f>HYPERLINK("https://www.marklines.com/en/global/397","Toyota Motor Kyushu, Kokura Plant")</f>
        <v>Toyota Motor Kyushu, Kokura Plant</v>
      </c>
      <c r="E325" s="12" t="s">
        <v>1211</v>
      </c>
      <c r="F325" s="12" t="s">
        <v>21</v>
      </c>
      <c r="G325" s="12" t="s">
        <v>22</v>
      </c>
      <c r="H325" s="12" t="s">
        <v>142</v>
      </c>
      <c r="I325" s="14">
        <v>45533</v>
      </c>
      <c r="J325" s="12" t="s">
        <v>1215</v>
      </c>
    </row>
    <row r="326" spans="1:10" s="15" customFormat="1" x14ac:dyDescent="0.15">
      <c r="A326" s="11">
        <v>45537</v>
      </c>
      <c r="B326" s="12" t="s">
        <v>35</v>
      </c>
      <c r="C326" s="12" t="s">
        <v>35</v>
      </c>
      <c r="D326" s="13" t="str">
        <f>HYPERLINK("https://www.marklines.com/en/global/409","Toyota Auto Body, Fujimatsu Plant")</f>
        <v>Toyota Auto Body, Fujimatsu Plant</v>
      </c>
      <c r="E326" s="12" t="s">
        <v>127</v>
      </c>
      <c r="F326" s="12" t="s">
        <v>21</v>
      </c>
      <c r="G326" s="12" t="s">
        <v>22</v>
      </c>
      <c r="H326" s="12" t="s">
        <v>92</v>
      </c>
      <c r="I326" s="14">
        <v>45533</v>
      </c>
      <c r="J326" s="12" t="s">
        <v>1216</v>
      </c>
    </row>
    <row r="327" spans="1:10" s="15" customFormat="1" x14ac:dyDescent="0.15">
      <c r="A327" s="11">
        <v>45537</v>
      </c>
      <c r="B327" s="12" t="s">
        <v>35</v>
      </c>
      <c r="C327" s="12" t="s">
        <v>35</v>
      </c>
      <c r="D327" s="13" t="str">
        <f>HYPERLINK("https://www.marklines.com/en/global/411","Toyota Auto Body, Yoshiwara Plant")</f>
        <v>Toyota Auto Body, Yoshiwara Plant</v>
      </c>
      <c r="E327" s="12" t="s">
        <v>211</v>
      </c>
      <c r="F327" s="12" t="s">
        <v>21</v>
      </c>
      <c r="G327" s="12" t="s">
        <v>22</v>
      </c>
      <c r="H327" s="12" t="s">
        <v>92</v>
      </c>
      <c r="I327" s="14">
        <v>45533</v>
      </c>
      <c r="J327" s="12" t="s">
        <v>1216</v>
      </c>
    </row>
    <row r="328" spans="1:10" s="15" customFormat="1" x14ac:dyDescent="0.15">
      <c r="A328" s="11">
        <v>45537</v>
      </c>
      <c r="B328" s="12" t="s">
        <v>35</v>
      </c>
      <c r="C328" s="12" t="s">
        <v>35</v>
      </c>
      <c r="D328" s="13" t="str">
        <f>HYPERLINK("https://www.marklines.com/en/global/433","Toyota Industries Corporation, Nagakusa Plant")</f>
        <v>Toyota Industries Corporation, Nagakusa Plant</v>
      </c>
      <c r="E328" s="12" t="s">
        <v>893</v>
      </c>
      <c r="F328" s="12" t="s">
        <v>21</v>
      </c>
      <c r="G328" s="12" t="s">
        <v>22</v>
      </c>
      <c r="H328" s="12" t="s">
        <v>92</v>
      </c>
      <c r="I328" s="14">
        <v>45533</v>
      </c>
      <c r="J328" s="12" t="s">
        <v>1216</v>
      </c>
    </row>
    <row r="329" spans="1:10" s="15" customFormat="1" x14ac:dyDescent="0.15">
      <c r="A329" s="11">
        <v>45537</v>
      </c>
      <c r="B329" s="12" t="s">
        <v>35</v>
      </c>
      <c r="C329" s="12" t="s">
        <v>35</v>
      </c>
      <c r="D329" s="13" t="str">
        <f>HYPERLINK("https://www.marklines.com/en/global/417","Gifu Auto Body Co., Ltd., Honsha Plant")</f>
        <v>Gifu Auto Body Co., Ltd., Honsha Plant</v>
      </c>
      <c r="E329" s="12" t="s">
        <v>212</v>
      </c>
      <c r="F329" s="12" t="s">
        <v>21</v>
      </c>
      <c r="G329" s="12" t="s">
        <v>22</v>
      </c>
      <c r="H329" s="12" t="s">
        <v>213</v>
      </c>
      <c r="I329" s="14">
        <v>45533</v>
      </c>
      <c r="J329" s="12" t="s">
        <v>1216</v>
      </c>
    </row>
    <row r="330" spans="1:10" s="15" customFormat="1" x14ac:dyDescent="0.15">
      <c r="A330" s="11">
        <v>45537</v>
      </c>
      <c r="B330" s="12" t="s">
        <v>35</v>
      </c>
      <c r="C330" s="12" t="s">
        <v>35</v>
      </c>
      <c r="D330" s="13" t="str">
        <f>HYPERLINK("https://www.marklines.com/en/global/420","Toyota Motor East Japan, Miyagi Ohira Plant")</f>
        <v>Toyota Motor East Japan, Miyagi Ohira Plant</v>
      </c>
      <c r="E330" s="12" t="s">
        <v>593</v>
      </c>
      <c r="F330" s="12" t="s">
        <v>21</v>
      </c>
      <c r="G330" s="12" t="s">
        <v>22</v>
      </c>
      <c r="H330" s="12" t="s">
        <v>594</v>
      </c>
      <c r="I330" s="14">
        <v>45533</v>
      </c>
      <c r="J330" s="12" t="s">
        <v>1216</v>
      </c>
    </row>
    <row r="331" spans="1:10" s="15" customFormat="1" x14ac:dyDescent="0.15">
      <c r="A331" s="11">
        <v>45537</v>
      </c>
      <c r="B331" s="12" t="s">
        <v>35</v>
      </c>
      <c r="C331" s="12" t="s">
        <v>35</v>
      </c>
      <c r="D331" s="13" t="str">
        <f>HYPERLINK("https://www.marklines.com/en/global/375","Toyota Motor, Takaoka Plant")</f>
        <v>Toyota Motor, Takaoka Plant</v>
      </c>
      <c r="E331" s="12" t="s">
        <v>894</v>
      </c>
      <c r="F331" s="12" t="s">
        <v>21</v>
      </c>
      <c r="G331" s="12" t="s">
        <v>22</v>
      </c>
      <c r="H331" s="12" t="s">
        <v>92</v>
      </c>
      <c r="I331" s="14">
        <v>45533</v>
      </c>
      <c r="J331" s="12" t="s">
        <v>1216</v>
      </c>
    </row>
    <row r="332" spans="1:10" s="15" customFormat="1" x14ac:dyDescent="0.15">
      <c r="A332" s="11">
        <v>45537</v>
      </c>
      <c r="B332" s="12" t="s">
        <v>35</v>
      </c>
      <c r="C332" s="12" t="s">
        <v>35</v>
      </c>
      <c r="D332" s="13" t="str">
        <f>HYPERLINK("https://www.marklines.com/en/global/413","Toyota Auto Body, Inabe Plant")</f>
        <v>Toyota Auto Body, Inabe Plant</v>
      </c>
      <c r="E332" s="12" t="s">
        <v>743</v>
      </c>
      <c r="F332" s="12" t="s">
        <v>21</v>
      </c>
      <c r="G332" s="12" t="s">
        <v>22</v>
      </c>
      <c r="H332" s="12" t="s">
        <v>405</v>
      </c>
      <c r="I332" s="14">
        <v>45533</v>
      </c>
      <c r="J332" s="12" t="s">
        <v>1216</v>
      </c>
    </row>
    <row r="333" spans="1:10" s="15" customFormat="1" x14ac:dyDescent="0.15">
      <c r="A333" s="11">
        <v>45537</v>
      </c>
      <c r="B333" s="12" t="s">
        <v>35</v>
      </c>
      <c r="C333" s="12" t="s">
        <v>35</v>
      </c>
      <c r="D333" s="13" t="str">
        <f>HYPERLINK("https://www.marklines.com/en/global/379","Toyota Motor, Tsutsumi Plant")</f>
        <v>Toyota Motor, Tsutsumi Plant</v>
      </c>
      <c r="E333" s="12" t="s">
        <v>895</v>
      </c>
      <c r="F333" s="12" t="s">
        <v>21</v>
      </c>
      <c r="G333" s="12" t="s">
        <v>22</v>
      </c>
      <c r="H333" s="12" t="s">
        <v>92</v>
      </c>
      <c r="I333" s="14">
        <v>45533</v>
      </c>
      <c r="J333" s="12" t="s">
        <v>1216</v>
      </c>
    </row>
    <row r="334" spans="1:10" s="15" customFormat="1" x14ac:dyDescent="0.15">
      <c r="A334" s="11">
        <v>45537</v>
      </c>
      <c r="B334" s="12" t="s">
        <v>35</v>
      </c>
      <c r="C334" s="12" t="s">
        <v>35</v>
      </c>
      <c r="D334" s="13" t="str">
        <f>HYPERLINK("https://www.marklines.com/en/global/424","Toyota Motor East Japan, Iwate Plant")</f>
        <v>Toyota Motor East Japan, Iwate Plant</v>
      </c>
      <c r="E334" s="12" t="s">
        <v>399</v>
      </c>
      <c r="F334" s="12" t="s">
        <v>21</v>
      </c>
      <c r="G334" s="12" t="s">
        <v>22</v>
      </c>
      <c r="H334" s="12" t="s">
        <v>400</v>
      </c>
      <c r="I334" s="14">
        <v>45533</v>
      </c>
      <c r="J334" s="12" t="s">
        <v>1216</v>
      </c>
    </row>
    <row r="335" spans="1:10" s="15" customFormat="1" x14ac:dyDescent="0.15">
      <c r="A335" s="11">
        <v>45537</v>
      </c>
      <c r="B335" s="12" t="s">
        <v>35</v>
      </c>
      <c r="C335" s="12" t="s">
        <v>35</v>
      </c>
      <c r="D335" s="13" t="str">
        <f>HYPERLINK("https://www.marklines.com/en/global/567","Hino Motors, Hamura Plant")</f>
        <v>Hino Motors, Hamura Plant</v>
      </c>
      <c r="E335" s="12" t="s">
        <v>125</v>
      </c>
      <c r="F335" s="12" t="s">
        <v>21</v>
      </c>
      <c r="G335" s="12" t="s">
        <v>22</v>
      </c>
      <c r="H335" s="12" t="s">
        <v>126</v>
      </c>
      <c r="I335" s="14">
        <v>45533</v>
      </c>
      <c r="J335" s="12" t="s">
        <v>1216</v>
      </c>
    </row>
    <row r="336" spans="1:10" s="15" customFormat="1" x14ac:dyDescent="0.15">
      <c r="A336" s="11">
        <v>45537</v>
      </c>
      <c r="B336" s="12" t="s">
        <v>35</v>
      </c>
      <c r="C336" s="12" t="s">
        <v>35</v>
      </c>
      <c r="D336" s="13" t="str">
        <f>HYPERLINK("https://www.marklines.com/en/global/381","Toyota Motor, Tahara Plant")</f>
        <v>Toyota Motor, Tahara Plant</v>
      </c>
      <c r="E336" s="12" t="s">
        <v>93</v>
      </c>
      <c r="F336" s="12" t="s">
        <v>21</v>
      </c>
      <c r="G336" s="12" t="s">
        <v>22</v>
      </c>
      <c r="H336" s="12" t="s">
        <v>92</v>
      </c>
      <c r="I336" s="14">
        <v>45533</v>
      </c>
      <c r="J336" s="12" t="s">
        <v>1216</v>
      </c>
    </row>
    <row r="337" spans="1:10" s="15" customFormat="1" x14ac:dyDescent="0.15">
      <c r="A337" s="11">
        <v>45537</v>
      </c>
      <c r="B337" s="12" t="s">
        <v>35</v>
      </c>
      <c r="C337" s="12" t="s">
        <v>35</v>
      </c>
      <c r="D337" s="13" t="str">
        <f>HYPERLINK("https://www.marklines.com/en/global/373","Toyota Motor, Motomachi Plant")</f>
        <v>Toyota Motor, Motomachi Plant</v>
      </c>
      <c r="E337" s="12" t="s">
        <v>597</v>
      </c>
      <c r="F337" s="12" t="s">
        <v>21</v>
      </c>
      <c r="G337" s="12" t="s">
        <v>22</v>
      </c>
      <c r="H337" s="12" t="s">
        <v>92</v>
      </c>
      <c r="I337" s="14">
        <v>45533</v>
      </c>
      <c r="J337" s="12" t="s">
        <v>1216</v>
      </c>
    </row>
    <row r="338" spans="1:10" s="15" customFormat="1" x14ac:dyDescent="0.15">
      <c r="A338" s="11">
        <v>45537</v>
      </c>
      <c r="B338" s="12" t="s">
        <v>35</v>
      </c>
      <c r="C338" s="12" t="s">
        <v>1213</v>
      </c>
      <c r="D338" s="13" t="str">
        <f>HYPERLINK("https://www.marklines.com/en/global/567","Hino Motors, Hamura Plant")</f>
        <v>Hino Motors, Hamura Plant</v>
      </c>
      <c r="E338" s="12" t="s">
        <v>125</v>
      </c>
      <c r="F338" s="12" t="s">
        <v>21</v>
      </c>
      <c r="G338" s="12" t="s">
        <v>22</v>
      </c>
      <c r="H338" s="12" t="s">
        <v>126</v>
      </c>
      <c r="I338" s="14">
        <v>45533</v>
      </c>
      <c r="J338" s="12" t="s">
        <v>1216</v>
      </c>
    </row>
    <row r="339" spans="1:10" s="15" customFormat="1" x14ac:dyDescent="0.15">
      <c r="A339" s="11">
        <v>45537</v>
      </c>
      <c r="B339" s="12" t="s">
        <v>412</v>
      </c>
      <c r="C339" s="12" t="s">
        <v>413</v>
      </c>
      <c r="D339" s="13" t="str">
        <f>HYPERLINK("https://www.marklines.com/en/global/517","Mitsubishi Motors, Mizushima Plant")</f>
        <v>Mitsubishi Motors, Mizushima Plant</v>
      </c>
      <c r="E339" s="12" t="s">
        <v>409</v>
      </c>
      <c r="F339" s="12" t="s">
        <v>21</v>
      </c>
      <c r="G339" s="12" t="s">
        <v>22</v>
      </c>
      <c r="H339" s="12" t="s">
        <v>410</v>
      </c>
      <c r="I339" s="14">
        <v>45533</v>
      </c>
      <c r="J339" s="12" t="s">
        <v>1217</v>
      </c>
    </row>
    <row r="340" spans="1:10" s="15" customFormat="1" x14ac:dyDescent="0.15">
      <c r="A340" s="11">
        <v>45537</v>
      </c>
      <c r="B340" s="12" t="s">
        <v>88</v>
      </c>
      <c r="C340" s="12" t="s">
        <v>88</v>
      </c>
      <c r="D340" s="13" t="str">
        <f>HYPERLINK("https://www.marklines.com/en/global/503","Mazda Motor, Hiroshima Plant")</f>
        <v>Mazda Motor, Hiroshima Plant</v>
      </c>
      <c r="E340" s="12" t="s">
        <v>391</v>
      </c>
      <c r="F340" s="12" t="s">
        <v>21</v>
      </c>
      <c r="G340" s="12" t="s">
        <v>22</v>
      </c>
      <c r="H340" s="12" t="s">
        <v>392</v>
      </c>
      <c r="I340" s="14">
        <v>45532</v>
      </c>
      <c r="J340" s="12" t="s">
        <v>1218</v>
      </c>
    </row>
    <row r="341" spans="1:10" s="15" customFormat="1" x14ac:dyDescent="0.15">
      <c r="A341" s="11">
        <v>45537</v>
      </c>
      <c r="B341" s="12" t="s">
        <v>88</v>
      </c>
      <c r="C341" s="12" t="s">
        <v>88</v>
      </c>
      <c r="D341" s="13" t="str">
        <f>HYPERLINK("https://www.marklines.com/en/global/505","Mazda Motor, Hofu Plant")</f>
        <v>Mazda Motor, Hofu Plant</v>
      </c>
      <c r="E341" s="12" t="s">
        <v>394</v>
      </c>
      <c r="F341" s="12" t="s">
        <v>21</v>
      </c>
      <c r="G341" s="12" t="s">
        <v>22</v>
      </c>
      <c r="H341" s="12" t="s">
        <v>395</v>
      </c>
      <c r="I341" s="14">
        <v>45532</v>
      </c>
      <c r="J341" s="12" t="s">
        <v>1218</v>
      </c>
    </row>
    <row r="342" spans="1:10" s="15" customFormat="1" x14ac:dyDescent="0.15">
      <c r="A342" s="11">
        <v>45537</v>
      </c>
      <c r="B342" s="12" t="s">
        <v>77</v>
      </c>
      <c r="C342" s="12" t="s">
        <v>77</v>
      </c>
      <c r="D342" s="13" t="str">
        <f>HYPERLINK("https://www.marklines.com/en/global/475","Nissan Shatai Kyushu Co., Ltd.")</f>
        <v>Nissan Shatai Kyushu Co., Ltd.</v>
      </c>
      <c r="E342" s="12" t="s">
        <v>141</v>
      </c>
      <c r="F342" s="12" t="s">
        <v>21</v>
      </c>
      <c r="G342" s="12" t="s">
        <v>22</v>
      </c>
      <c r="H342" s="12" t="s">
        <v>142</v>
      </c>
      <c r="I342" s="14">
        <v>45532</v>
      </c>
      <c r="J342" s="12" t="s">
        <v>1219</v>
      </c>
    </row>
    <row r="343" spans="1:10" s="15" customFormat="1" x14ac:dyDescent="0.15">
      <c r="A343" s="11">
        <v>45537</v>
      </c>
      <c r="B343" s="12" t="s">
        <v>77</v>
      </c>
      <c r="C343" s="12" t="s">
        <v>77</v>
      </c>
      <c r="D343" s="13" t="str">
        <f>HYPERLINK("https://www.marklines.com/en/global/465","Nissan Motor Kyushu Co.,Ltd.")</f>
        <v>Nissan Motor Kyushu Co.,Ltd.</v>
      </c>
      <c r="E343" s="12" t="s">
        <v>1220</v>
      </c>
      <c r="F343" s="12" t="s">
        <v>21</v>
      </c>
      <c r="G343" s="12" t="s">
        <v>22</v>
      </c>
      <c r="H343" s="12" t="s">
        <v>142</v>
      </c>
      <c r="I343" s="14">
        <v>45532</v>
      </c>
      <c r="J343" s="12" t="s">
        <v>1219</v>
      </c>
    </row>
    <row r="344" spans="1:10" s="15" customFormat="1" x14ac:dyDescent="0.15">
      <c r="A344" s="11">
        <v>45537</v>
      </c>
      <c r="B344" s="12" t="s">
        <v>43</v>
      </c>
      <c r="C344" s="12" t="s">
        <v>43</v>
      </c>
      <c r="D344" s="13" t="str">
        <f>HYPERLINK("https://www.marklines.com/en/global/447","Honda Motor, Kumamoto Factory")</f>
        <v>Honda Motor, Kumamoto Factory</v>
      </c>
      <c r="E344" s="12" t="s">
        <v>1221</v>
      </c>
      <c r="F344" s="12" t="s">
        <v>21</v>
      </c>
      <c r="G344" s="12" t="s">
        <v>22</v>
      </c>
      <c r="H344" s="12" t="s">
        <v>1222</v>
      </c>
      <c r="I344" s="14">
        <v>45532</v>
      </c>
      <c r="J344" s="12" t="s">
        <v>1223</v>
      </c>
    </row>
    <row r="345" spans="1:10" s="15" customFormat="1" x14ac:dyDescent="0.15">
      <c r="A345" s="11">
        <v>45537</v>
      </c>
      <c r="B345" s="12" t="s">
        <v>290</v>
      </c>
      <c r="C345" s="12" t="s">
        <v>290</v>
      </c>
      <c r="D345" s="13" t="str">
        <f>HYPERLINK("https://www.marklines.com/en/global/4145","Dongfeng Liuzhou Motor Co., Ltd. ")</f>
        <v xml:space="preserve">Dongfeng Liuzhou Motor Co., Ltd. </v>
      </c>
      <c r="E345" s="12" t="s">
        <v>1224</v>
      </c>
      <c r="F345" s="12" t="s">
        <v>21</v>
      </c>
      <c r="G345" s="12" t="s">
        <v>47</v>
      </c>
      <c r="H345" s="12" t="s">
        <v>460</v>
      </c>
      <c r="I345" s="14">
        <v>45532</v>
      </c>
      <c r="J345" s="12" t="s">
        <v>1225</v>
      </c>
    </row>
    <row r="346" spans="1:10" s="15" customFormat="1" x14ac:dyDescent="0.15">
      <c r="A346" s="11">
        <v>45537</v>
      </c>
      <c r="B346" s="12" t="s">
        <v>51</v>
      </c>
      <c r="C346" s="12" t="s">
        <v>458</v>
      </c>
      <c r="D346" s="13" t="str">
        <f>HYPERLINK("https://www.marklines.com/en/global/9039","SAIC GM Wuling Automobile Co., Ltd. Chongqing Branch (SGMW Chongqing Branch)")</f>
        <v>SAIC GM Wuling Automobile Co., Ltd. Chongqing Branch (SGMW Chongqing Branch)</v>
      </c>
      <c r="E346" s="12" t="s">
        <v>766</v>
      </c>
      <c r="F346" s="12" t="s">
        <v>21</v>
      </c>
      <c r="G346" s="12" t="s">
        <v>47</v>
      </c>
      <c r="H346" s="12" t="s">
        <v>362</v>
      </c>
      <c r="I346" s="14">
        <v>45532</v>
      </c>
      <c r="J346" s="12" t="s">
        <v>1226</v>
      </c>
    </row>
    <row r="347" spans="1:10" s="15" customFormat="1" x14ac:dyDescent="0.15">
      <c r="A347" s="11">
        <v>45537</v>
      </c>
      <c r="B347" s="12" t="s">
        <v>88</v>
      </c>
      <c r="C347" s="12" t="s">
        <v>88</v>
      </c>
      <c r="D347" s="13" t="str">
        <f>HYPERLINK("https://www.marklines.com/en/global/503","Mazda Motor, Hiroshima Plant")</f>
        <v>Mazda Motor, Hiroshima Plant</v>
      </c>
      <c r="E347" s="12" t="s">
        <v>391</v>
      </c>
      <c r="F347" s="12" t="s">
        <v>21</v>
      </c>
      <c r="G347" s="12" t="s">
        <v>22</v>
      </c>
      <c r="H347" s="12" t="s">
        <v>392</v>
      </c>
      <c r="I347" s="14">
        <v>45505</v>
      </c>
      <c r="J347" s="12" t="s">
        <v>1227</v>
      </c>
    </row>
    <row r="348" spans="1:10" s="15" customFormat="1" x14ac:dyDescent="0.15">
      <c r="A348" s="11">
        <v>45537</v>
      </c>
      <c r="B348" s="12" t="s">
        <v>381</v>
      </c>
      <c r="C348" s="12" t="s">
        <v>381</v>
      </c>
      <c r="D348" s="13" t="str">
        <f>HYPERLINK("https://www.marklines.com/en/global/9490","PT. Sokonindo Automobile")</f>
        <v>PT. Sokonindo Automobile</v>
      </c>
      <c r="E348" s="12" t="s">
        <v>1228</v>
      </c>
      <c r="F348" s="12" t="s">
        <v>60</v>
      </c>
      <c r="G348" s="12" t="s">
        <v>118</v>
      </c>
      <c r="H348" s="12"/>
      <c r="I348" s="14">
        <v>45499</v>
      </c>
      <c r="J348" s="12" t="s">
        <v>1229</v>
      </c>
    </row>
    <row r="349" spans="1:10" s="15" customFormat="1" x14ac:dyDescent="0.15">
      <c r="A349" s="11">
        <v>45535</v>
      </c>
      <c r="B349" s="12" t="s">
        <v>23</v>
      </c>
      <c r="C349" s="12" t="s">
        <v>23</v>
      </c>
      <c r="D349" s="13" t="str">
        <f>HYPERLINK("https://www.marklines.com/en/global/9812","Tesla (Shanghai) Co., Ltd.")</f>
        <v>Tesla (Shanghai) Co., Ltd.</v>
      </c>
      <c r="E349" s="12" t="s">
        <v>640</v>
      </c>
      <c r="F349" s="12" t="s">
        <v>21</v>
      </c>
      <c r="G349" s="12" t="s">
        <v>47</v>
      </c>
      <c r="H349" s="12" t="s">
        <v>94</v>
      </c>
      <c r="I349" s="14">
        <v>45532</v>
      </c>
      <c r="J349" s="12" t="s">
        <v>1230</v>
      </c>
    </row>
    <row r="350" spans="1:10" s="15" customFormat="1" x14ac:dyDescent="0.15">
      <c r="A350" s="11">
        <v>45535</v>
      </c>
      <c r="B350" s="12" t="s">
        <v>224</v>
      </c>
      <c r="C350" s="12" t="s">
        <v>224</v>
      </c>
      <c r="D350" s="13" t="str">
        <f>HYPERLINK("https://www.marklines.com/en/global/2541","General Motors Canada, Ingersoll Plant")</f>
        <v>General Motors Canada, Ingersoll Plant</v>
      </c>
      <c r="E350" s="12" t="s">
        <v>240</v>
      </c>
      <c r="F350" s="12" t="s">
        <v>16</v>
      </c>
      <c r="G350" s="12" t="s">
        <v>241</v>
      </c>
      <c r="H350" s="12"/>
      <c r="I350" s="14">
        <v>45532</v>
      </c>
      <c r="J350" s="12" t="s">
        <v>1231</v>
      </c>
    </row>
    <row r="351" spans="1:10" s="15" customFormat="1" x14ac:dyDescent="0.15">
      <c r="A351" s="11">
        <v>45534</v>
      </c>
      <c r="B351" s="12" t="s">
        <v>44</v>
      </c>
      <c r="C351" s="12" t="s">
        <v>44</v>
      </c>
      <c r="D351" s="13" t="str">
        <f>HYPERLINK("https://www.marklines.com/en/global/1947","Renault Spain, Valladolid Plant")</f>
        <v>Renault Spain, Valladolid Plant</v>
      </c>
      <c r="E351" s="12" t="s">
        <v>944</v>
      </c>
      <c r="F351" s="12" t="s">
        <v>13</v>
      </c>
      <c r="G351" s="12" t="s">
        <v>14</v>
      </c>
      <c r="H351" s="12"/>
      <c r="I351" s="14">
        <v>45533</v>
      </c>
      <c r="J351" s="12" t="s">
        <v>1005</v>
      </c>
    </row>
    <row r="352" spans="1:10" s="15" customFormat="1" x14ac:dyDescent="0.15">
      <c r="A352" s="11">
        <v>45534</v>
      </c>
      <c r="B352" s="12" t="s">
        <v>33</v>
      </c>
      <c r="C352" s="12" t="s">
        <v>33</v>
      </c>
      <c r="D352" s="13" t="str">
        <f>HYPERLINK("https://www.marklines.com/en/global/1921","Mercedes-Benz Spain, Vitoria (Alava) Plant")</f>
        <v>Mercedes-Benz Spain, Vitoria (Alava) Plant</v>
      </c>
      <c r="E352" s="12" t="s">
        <v>626</v>
      </c>
      <c r="F352" s="12" t="s">
        <v>13</v>
      </c>
      <c r="G352" s="12" t="s">
        <v>14</v>
      </c>
      <c r="H352" s="12"/>
      <c r="I352" s="14">
        <v>45533</v>
      </c>
      <c r="J352" s="12" t="s">
        <v>1006</v>
      </c>
    </row>
    <row r="353" spans="1:10" s="15" customFormat="1" x14ac:dyDescent="0.15">
      <c r="A353" s="11">
        <v>45534</v>
      </c>
      <c r="B353" s="12" t="s">
        <v>11</v>
      </c>
      <c r="C353" s="12" t="s">
        <v>11</v>
      </c>
      <c r="D353" s="13" t="str">
        <f>HYPERLINK("https://www.marklines.com/en/global/1375","Stellantis Europe SpA, Atessa Plant (formerly Sevel S.p.A., Val di Sangro (Atessa) Plant)")</f>
        <v>Stellantis Europe SpA, Atessa Plant (formerly Sevel S.p.A., Val di Sangro (Atessa) Plant)</v>
      </c>
      <c r="E353" s="12" t="s">
        <v>330</v>
      </c>
      <c r="F353" s="12" t="s">
        <v>13</v>
      </c>
      <c r="G353" s="12" t="s">
        <v>216</v>
      </c>
      <c r="H353" s="12"/>
      <c r="I353" s="14">
        <v>45533</v>
      </c>
      <c r="J353" s="12" t="s">
        <v>1007</v>
      </c>
    </row>
    <row r="354" spans="1:10" s="15" customFormat="1" x14ac:dyDescent="0.15">
      <c r="A354" s="11">
        <v>45534</v>
      </c>
      <c r="B354" s="12" t="s">
        <v>15</v>
      </c>
      <c r="C354" s="12" t="s">
        <v>15</v>
      </c>
      <c r="D354" s="13" t="str">
        <f>HYPERLINK("https://www.marklines.com/en/global/1901","Ford Motor Spain, Valencia (Almussafes) Plant")</f>
        <v>Ford Motor Spain, Valencia (Almussafes) Plant</v>
      </c>
      <c r="E354" s="12" t="s">
        <v>91</v>
      </c>
      <c r="F354" s="12" t="s">
        <v>13</v>
      </c>
      <c r="G354" s="12" t="s">
        <v>14</v>
      </c>
      <c r="H354" s="12"/>
      <c r="I354" s="14">
        <v>45533</v>
      </c>
      <c r="J354" s="12" t="s">
        <v>1008</v>
      </c>
    </row>
    <row r="355" spans="1:10" s="15" customFormat="1" x14ac:dyDescent="0.15">
      <c r="A355" s="11">
        <v>45534</v>
      </c>
      <c r="B355" s="12" t="s">
        <v>1009</v>
      </c>
      <c r="C355" s="12" t="s">
        <v>1009</v>
      </c>
      <c r="D355" s="13" t="str">
        <f>HYPERLINK("https://www.marklines.com/en/global/671","ZAO AvtoTOR, Kaliningrad Plant")</f>
        <v>ZAO AvtoTOR, Kaliningrad Plant</v>
      </c>
      <c r="E355" s="12" t="s">
        <v>1010</v>
      </c>
      <c r="F355" s="12" t="s">
        <v>61</v>
      </c>
      <c r="G355" s="12" t="s">
        <v>235</v>
      </c>
      <c r="H355" s="12"/>
      <c r="I355" s="14">
        <v>45532</v>
      </c>
      <c r="J355" s="12" t="s">
        <v>1011</v>
      </c>
    </row>
    <row r="356" spans="1:10" s="15" customFormat="1" x14ac:dyDescent="0.15">
      <c r="A356" s="11">
        <v>45534</v>
      </c>
      <c r="B356" s="12" t="s">
        <v>20</v>
      </c>
      <c r="C356" s="12" t="s">
        <v>20</v>
      </c>
      <c r="D356" s="13" t="str">
        <f>HYPERLINK("https://www.marklines.com/en/global/10851","SUBARU R&amp;E Center Bifuka Proving Ground (Hokkaido)  ")</f>
        <v xml:space="preserve">SUBARU R&amp;E Center Bifuka Proving Ground (Hokkaido)  </v>
      </c>
      <c r="E356" s="12" t="s">
        <v>1012</v>
      </c>
      <c r="F356" s="12" t="s">
        <v>21</v>
      </c>
      <c r="G356" s="12" t="s">
        <v>22</v>
      </c>
      <c r="H356" s="12" t="s">
        <v>1013</v>
      </c>
      <c r="I356" s="14">
        <v>45532</v>
      </c>
      <c r="J356" s="12" t="s">
        <v>1014</v>
      </c>
    </row>
    <row r="357" spans="1:10" s="15" customFormat="1" x14ac:dyDescent="0.15">
      <c r="A357" s="11">
        <v>45534</v>
      </c>
      <c r="B357" s="12" t="s">
        <v>35</v>
      </c>
      <c r="C357" s="12" t="s">
        <v>35</v>
      </c>
      <c r="D357" s="13" t="str">
        <f>HYPERLINK("https://www.marklines.com/en/global/420","Toyota Motor East Japan, Miyagi Ohira Plant")</f>
        <v>Toyota Motor East Japan, Miyagi Ohira Plant</v>
      </c>
      <c r="E357" s="12" t="s">
        <v>593</v>
      </c>
      <c r="F357" s="12" t="s">
        <v>21</v>
      </c>
      <c r="G357" s="12" t="s">
        <v>22</v>
      </c>
      <c r="H357" s="12" t="s">
        <v>594</v>
      </c>
      <c r="I357" s="14">
        <v>45532</v>
      </c>
      <c r="J357" s="12" t="s">
        <v>1015</v>
      </c>
    </row>
    <row r="358" spans="1:10" s="15" customFormat="1" x14ac:dyDescent="0.15">
      <c r="A358" s="11">
        <v>45534</v>
      </c>
      <c r="B358" s="12" t="s">
        <v>35</v>
      </c>
      <c r="C358" s="12" t="s">
        <v>35</v>
      </c>
      <c r="D358" s="13" t="str">
        <f>HYPERLINK("https://www.marklines.com/en/global/424","Toyota Motor East Japan, Iwate Plant")</f>
        <v>Toyota Motor East Japan, Iwate Plant</v>
      </c>
      <c r="E358" s="12" t="s">
        <v>399</v>
      </c>
      <c r="F358" s="12" t="s">
        <v>21</v>
      </c>
      <c r="G358" s="12" t="s">
        <v>22</v>
      </c>
      <c r="H358" s="12" t="s">
        <v>400</v>
      </c>
      <c r="I358" s="14">
        <v>45532</v>
      </c>
      <c r="J358" s="12" t="s">
        <v>1015</v>
      </c>
    </row>
    <row r="359" spans="1:10" s="15" customFormat="1" x14ac:dyDescent="0.15">
      <c r="A359" s="11">
        <v>45534</v>
      </c>
      <c r="B359" s="12" t="s">
        <v>49</v>
      </c>
      <c r="C359" s="12" t="s">
        <v>86</v>
      </c>
      <c r="D359" s="13" t="str">
        <f>HYPERLINK("https://www.marklines.com/en/global/3341","FAW-Volkswagen Automotive Co., Ltd.")</f>
        <v>FAW-Volkswagen Automotive Co., Ltd.</v>
      </c>
      <c r="E359" s="12" t="s">
        <v>237</v>
      </c>
      <c r="F359" s="12" t="s">
        <v>21</v>
      </c>
      <c r="G359" s="12" t="s">
        <v>47</v>
      </c>
      <c r="H359" s="12" t="s">
        <v>57</v>
      </c>
      <c r="I359" s="14">
        <v>45532</v>
      </c>
      <c r="J359" s="12" t="s">
        <v>1016</v>
      </c>
    </row>
    <row r="360" spans="1:10" s="15" customFormat="1" x14ac:dyDescent="0.15">
      <c r="A360" s="11">
        <v>45534</v>
      </c>
      <c r="B360" s="12" t="s">
        <v>58</v>
      </c>
      <c r="C360" s="12" t="s">
        <v>58</v>
      </c>
      <c r="D360" s="13" t="str">
        <f>HYPERLINK("https://www.marklines.com/en/global/3341","FAW-Volkswagen Automotive Co., Ltd.")</f>
        <v>FAW-Volkswagen Automotive Co., Ltd.</v>
      </c>
      <c r="E360" s="12" t="s">
        <v>237</v>
      </c>
      <c r="F360" s="12" t="s">
        <v>21</v>
      </c>
      <c r="G360" s="12" t="s">
        <v>47</v>
      </c>
      <c r="H360" s="12" t="s">
        <v>57</v>
      </c>
      <c r="I360" s="14">
        <v>45532</v>
      </c>
      <c r="J360" s="12" t="s">
        <v>1016</v>
      </c>
    </row>
    <row r="361" spans="1:10" s="15" customFormat="1" x14ac:dyDescent="0.15">
      <c r="A361" s="11">
        <v>45534</v>
      </c>
      <c r="B361" s="12" t="s">
        <v>46</v>
      </c>
      <c r="C361" s="12" t="s">
        <v>46</v>
      </c>
      <c r="D361" s="13" t="str">
        <f>HYPERLINK("https://www.marklines.com/en/global/9485","Guangzhou Xiaopeng Motors Technology Co., Ltd. ")</f>
        <v xml:space="preserve">Guangzhou Xiaopeng Motors Technology Co., Ltd. </v>
      </c>
      <c r="E361" s="12" t="s">
        <v>350</v>
      </c>
      <c r="F361" s="12" t="s">
        <v>21</v>
      </c>
      <c r="G361" s="12" t="s">
        <v>47</v>
      </c>
      <c r="H361" s="12" t="s">
        <v>48</v>
      </c>
      <c r="I361" s="14">
        <v>45531</v>
      </c>
      <c r="J361" s="12" t="s">
        <v>1017</v>
      </c>
    </row>
    <row r="362" spans="1:10" s="15" customFormat="1" x14ac:dyDescent="0.15">
      <c r="A362" s="11">
        <v>45534</v>
      </c>
      <c r="B362" s="12" t="s">
        <v>95</v>
      </c>
      <c r="C362" s="12" t="s">
        <v>1018</v>
      </c>
      <c r="D362" s="13" t="str">
        <f>HYPERLINK("https://www.marklines.com/en/global/9604","Spotlight Automotive Limited")</f>
        <v>Spotlight Automotive Limited</v>
      </c>
      <c r="E362" s="12" t="s">
        <v>1019</v>
      </c>
      <c r="F362" s="12" t="s">
        <v>21</v>
      </c>
      <c r="G362" s="12" t="s">
        <v>47</v>
      </c>
      <c r="H362" s="12" t="s">
        <v>354</v>
      </c>
      <c r="I362" s="14">
        <v>45531</v>
      </c>
      <c r="J362" s="12" t="s">
        <v>1020</v>
      </c>
    </row>
    <row r="363" spans="1:10" s="15" customFormat="1" x14ac:dyDescent="0.15">
      <c r="A363" s="11">
        <v>45534</v>
      </c>
      <c r="B363" s="12" t="s">
        <v>46</v>
      </c>
      <c r="C363" s="12" t="s">
        <v>46</v>
      </c>
      <c r="D363" s="13" t="str">
        <f>HYPERLINK("https://www.marklines.com/en/global/9486","Zhaoqing Xiaopeng New Energy Investment Co., Ltd. (Formerly : Guangzhou Xiaopeng Motors Technology Co., Ltd.  Zhaoqing Plant)")</f>
        <v>Zhaoqing Xiaopeng New Energy Investment Co., Ltd. (Formerly : Guangzhou Xiaopeng Motors Technology Co., Ltd.  Zhaoqing Plant)</v>
      </c>
      <c r="E363" s="12" t="s">
        <v>821</v>
      </c>
      <c r="F363" s="12" t="s">
        <v>21</v>
      </c>
      <c r="G363" s="12" t="s">
        <v>47</v>
      </c>
      <c r="H363" s="12" t="s">
        <v>48</v>
      </c>
      <c r="I363" s="14">
        <v>45531</v>
      </c>
      <c r="J363" s="12" t="s">
        <v>1021</v>
      </c>
    </row>
    <row r="364" spans="1:10" s="15" customFormat="1" x14ac:dyDescent="0.15">
      <c r="A364" s="11">
        <v>45534</v>
      </c>
      <c r="B364" s="12" t="s">
        <v>103</v>
      </c>
      <c r="C364" s="12" t="s">
        <v>103</v>
      </c>
      <c r="D364" s="13" t="str">
        <f>HYPERLINK("https://www.marklines.com/en/global/3879","Chery Automobile Co., Ltd. ")</f>
        <v xml:space="preserve">Chery Automobile Co., Ltd. </v>
      </c>
      <c r="E364" s="12" t="s">
        <v>112</v>
      </c>
      <c r="F364" s="12" t="s">
        <v>21</v>
      </c>
      <c r="G364" s="12" t="s">
        <v>47</v>
      </c>
      <c r="H364" s="12" t="s">
        <v>105</v>
      </c>
      <c r="I364" s="14">
        <v>45530</v>
      </c>
      <c r="J364" s="12" t="s">
        <v>1022</v>
      </c>
    </row>
    <row r="365" spans="1:10" s="15" customFormat="1" x14ac:dyDescent="0.15">
      <c r="A365" s="11">
        <v>45534</v>
      </c>
      <c r="B365" s="12" t="s">
        <v>103</v>
      </c>
      <c r="C365" s="12" t="s">
        <v>1023</v>
      </c>
      <c r="D365" s="13" t="str">
        <f>HYPERLINK("https://www.marklines.com/en/global/3879","Chery Automobile Co., Ltd. ")</f>
        <v xml:space="preserve">Chery Automobile Co., Ltd. </v>
      </c>
      <c r="E365" s="12" t="s">
        <v>112</v>
      </c>
      <c r="F365" s="12" t="s">
        <v>21</v>
      </c>
      <c r="G365" s="12" t="s">
        <v>47</v>
      </c>
      <c r="H365" s="12" t="s">
        <v>105</v>
      </c>
      <c r="I365" s="14">
        <v>45530</v>
      </c>
      <c r="J365" s="12" t="s">
        <v>1022</v>
      </c>
    </row>
    <row r="366" spans="1:10" s="15" customFormat="1" x14ac:dyDescent="0.15">
      <c r="A366" s="11">
        <v>45534</v>
      </c>
      <c r="B366" s="12" t="s">
        <v>381</v>
      </c>
      <c r="C366" s="12" t="s">
        <v>381</v>
      </c>
      <c r="D366" s="13" t="str">
        <f>HYPERLINK("https://www.marklines.com/en/global/10563","SERES Automobile (Hubei) Co., Ltd. Chongqing Shapingba Branch  (formerly DFSK Motor Co., Ltd Shapingba Branch)")</f>
        <v>SERES Automobile (Hubei) Co., Ltd. Chongqing Shapingba Branch  (formerly DFSK Motor Co., Ltd Shapingba Branch)</v>
      </c>
      <c r="E366" s="12" t="s">
        <v>1024</v>
      </c>
      <c r="F366" s="12" t="s">
        <v>21</v>
      </c>
      <c r="G366" s="12" t="s">
        <v>47</v>
      </c>
      <c r="H366" s="12" t="s">
        <v>362</v>
      </c>
      <c r="I366" s="14">
        <v>45530</v>
      </c>
      <c r="J366" s="12" t="s">
        <v>1022</v>
      </c>
    </row>
    <row r="367" spans="1:10" s="15" customFormat="1" x14ac:dyDescent="0.15">
      <c r="A367" s="11">
        <v>45534</v>
      </c>
      <c r="B367" s="12" t="s">
        <v>95</v>
      </c>
      <c r="C367" s="12" t="s">
        <v>1018</v>
      </c>
      <c r="D367" s="13" t="str">
        <f>HYPERLINK("https://www.marklines.com/en/global/2215","BMW AG, Leipzig Plant")</f>
        <v>BMW AG, Leipzig Plant</v>
      </c>
      <c r="E367" s="12" t="s">
        <v>136</v>
      </c>
      <c r="F367" s="12" t="s">
        <v>13</v>
      </c>
      <c r="G367" s="12" t="s">
        <v>25</v>
      </c>
      <c r="H367" s="12"/>
      <c r="I367" s="14">
        <v>45530</v>
      </c>
      <c r="J367" s="12" t="s">
        <v>1025</v>
      </c>
    </row>
    <row r="368" spans="1:10" s="15" customFormat="1" x14ac:dyDescent="0.15">
      <c r="A368" s="11">
        <v>45534</v>
      </c>
      <c r="B368" s="12" t="s">
        <v>103</v>
      </c>
      <c r="C368" s="12" t="s">
        <v>103</v>
      </c>
      <c r="D368" s="13" t="str">
        <f>HYPERLINK("https://www.marklines.com/en/global/2861","CAOA Chery Brazil, Anapolis Plant (Former Hyundai Caoa do Brasil Ltda.)")</f>
        <v>CAOA Chery Brazil, Anapolis Plant (Former Hyundai Caoa do Brasil Ltda.)</v>
      </c>
      <c r="E368" s="12" t="s">
        <v>1026</v>
      </c>
      <c r="F368" s="12" t="s">
        <v>45</v>
      </c>
      <c r="G368" s="12" t="s">
        <v>232</v>
      </c>
      <c r="H368" s="12"/>
      <c r="I368" s="14">
        <v>45527</v>
      </c>
      <c r="J368" s="12" t="s">
        <v>1027</v>
      </c>
    </row>
    <row r="369" spans="1:10" s="15" customFormat="1" x14ac:dyDescent="0.15">
      <c r="A369" s="11">
        <v>45534</v>
      </c>
      <c r="B369" s="12" t="s">
        <v>43</v>
      </c>
      <c r="C369" s="12" t="s">
        <v>43</v>
      </c>
      <c r="D369" s="13" t="str">
        <f>HYPERLINK("https://www.marklines.com/en/global/443","Honda Motor, Suzuka Factory")</f>
        <v>Honda Motor, Suzuka Factory</v>
      </c>
      <c r="E369" s="12" t="s">
        <v>404</v>
      </c>
      <c r="F369" s="12" t="s">
        <v>21</v>
      </c>
      <c r="G369" s="12" t="s">
        <v>22</v>
      </c>
      <c r="H369" s="12" t="s">
        <v>405</v>
      </c>
      <c r="I369" s="14">
        <v>45526</v>
      </c>
      <c r="J369" s="12" t="s">
        <v>1028</v>
      </c>
    </row>
    <row r="370" spans="1:10" s="15" customFormat="1" x14ac:dyDescent="0.15">
      <c r="A370" s="11">
        <v>45534</v>
      </c>
      <c r="B370" s="12" t="s">
        <v>88</v>
      </c>
      <c r="C370" s="12" t="s">
        <v>88</v>
      </c>
      <c r="D370" s="13" t="str">
        <f>HYPERLINK("https://www.marklines.com/en/global/505","Mazda Motor, Hofu Plant")</f>
        <v>Mazda Motor, Hofu Plant</v>
      </c>
      <c r="E370" s="12" t="s">
        <v>394</v>
      </c>
      <c r="F370" s="12" t="s">
        <v>21</v>
      </c>
      <c r="G370" s="12" t="s">
        <v>22</v>
      </c>
      <c r="H370" s="12" t="s">
        <v>395</v>
      </c>
      <c r="I370" s="14">
        <v>45526</v>
      </c>
      <c r="J370" s="12" t="s">
        <v>1029</v>
      </c>
    </row>
    <row r="371" spans="1:10" s="15" customFormat="1" x14ac:dyDescent="0.15">
      <c r="A371" s="11">
        <v>45534</v>
      </c>
      <c r="B371" s="12" t="s">
        <v>78</v>
      </c>
      <c r="C371" s="12" t="s">
        <v>1030</v>
      </c>
      <c r="D371" s="13" t="str">
        <f>HYPERLINK("https://www.marklines.com/en/global/581","Mitsubishi Fuso Truck and Bus, Kawasaki Plant")</f>
        <v>Mitsubishi Fuso Truck and Bus, Kawasaki Plant</v>
      </c>
      <c r="E371" s="12" t="s">
        <v>1031</v>
      </c>
      <c r="F371" s="12" t="s">
        <v>21</v>
      </c>
      <c r="G371" s="12" t="s">
        <v>22</v>
      </c>
      <c r="H371" s="12" t="s">
        <v>388</v>
      </c>
      <c r="I371" s="14">
        <v>45525</v>
      </c>
      <c r="J371" s="12" t="s">
        <v>1032</v>
      </c>
    </row>
    <row r="372" spans="1:10" s="15" customFormat="1" x14ac:dyDescent="0.15">
      <c r="A372" s="11">
        <v>45533</v>
      </c>
      <c r="B372" s="12" t="s">
        <v>49</v>
      </c>
      <c r="C372" s="12" t="s">
        <v>1033</v>
      </c>
      <c r="D372" s="13" t="str">
        <f>HYPERLINK("https://www.marklines.com/en/global/1741","Škoda Auto, Kvasiny Plant")</f>
        <v>Škoda Auto, Kvasiny Plant</v>
      </c>
      <c r="E372" s="12" t="s">
        <v>1034</v>
      </c>
      <c r="F372" s="12" t="s">
        <v>61</v>
      </c>
      <c r="G372" s="12" t="s">
        <v>1035</v>
      </c>
      <c r="H372" s="12"/>
      <c r="I372" s="14">
        <v>45533</v>
      </c>
      <c r="J372" s="12" t="s">
        <v>1036</v>
      </c>
    </row>
    <row r="373" spans="1:10" s="15" customFormat="1" x14ac:dyDescent="0.15">
      <c r="A373" s="11">
        <v>45533</v>
      </c>
      <c r="B373" s="12" t="s">
        <v>49</v>
      </c>
      <c r="C373" s="12" t="s">
        <v>1033</v>
      </c>
      <c r="D373" s="13" t="str">
        <f>HYPERLINK("https://www.marklines.com/en/global/1739","Škoda Auto, Mladá Boleslav Plant")</f>
        <v>Škoda Auto, Mladá Boleslav Plant</v>
      </c>
      <c r="E373" s="12" t="s">
        <v>1037</v>
      </c>
      <c r="F373" s="12" t="s">
        <v>61</v>
      </c>
      <c r="G373" s="12" t="s">
        <v>1035</v>
      </c>
      <c r="H373" s="12"/>
      <c r="I373" s="14">
        <v>45533</v>
      </c>
      <c r="J373" s="12" t="s">
        <v>1036</v>
      </c>
    </row>
    <row r="374" spans="1:10" s="15" customFormat="1" x14ac:dyDescent="0.15">
      <c r="A374" s="11">
        <v>45533</v>
      </c>
      <c r="B374" s="12" t="s">
        <v>49</v>
      </c>
      <c r="C374" s="12" t="s">
        <v>1033</v>
      </c>
      <c r="D374" s="13" t="str">
        <f>HYPERLINK("https://www.marklines.com/en/global/1771","Volkswagen Slovakia, Bratislava Plant")</f>
        <v>Volkswagen Slovakia, Bratislava Plant</v>
      </c>
      <c r="E374" s="12" t="s">
        <v>1038</v>
      </c>
      <c r="F374" s="12" t="s">
        <v>61</v>
      </c>
      <c r="G374" s="12" t="s">
        <v>760</v>
      </c>
      <c r="H374" s="12"/>
      <c r="I374" s="14">
        <v>45533</v>
      </c>
      <c r="J374" s="12" t="s">
        <v>1036</v>
      </c>
    </row>
    <row r="375" spans="1:10" s="15" customFormat="1" x14ac:dyDescent="0.15">
      <c r="A375" s="11">
        <v>45533</v>
      </c>
      <c r="B375" s="12" t="s">
        <v>1009</v>
      </c>
      <c r="C375" s="12" t="s">
        <v>1009</v>
      </c>
      <c r="D375" s="13" t="str">
        <f>HYPERLINK("https://www.marklines.com/en/global/671","ZAO AvtoTOR, Kaliningrad Plant")</f>
        <v>ZAO AvtoTOR, Kaliningrad Plant</v>
      </c>
      <c r="E375" s="12" t="s">
        <v>1010</v>
      </c>
      <c r="F375" s="12" t="s">
        <v>61</v>
      </c>
      <c r="G375" s="12" t="s">
        <v>235</v>
      </c>
      <c r="H375" s="12"/>
      <c r="I375" s="14">
        <v>45532</v>
      </c>
      <c r="J375" s="12" t="s">
        <v>1039</v>
      </c>
    </row>
    <row r="376" spans="1:10" s="15" customFormat="1" x14ac:dyDescent="0.15">
      <c r="A376" s="11">
        <v>45533</v>
      </c>
      <c r="B376" s="12" t="s">
        <v>11</v>
      </c>
      <c r="C376" s="12" t="s">
        <v>11</v>
      </c>
      <c r="D376" s="13" t="str">
        <f>HYPERLINK("https://www.marklines.com/en/global/1325","Stellantis, FCA Italy, Melfi (Basilicata) Plant")</f>
        <v>Stellantis, FCA Italy, Melfi (Basilicata) Plant</v>
      </c>
      <c r="E376" s="12" t="s">
        <v>332</v>
      </c>
      <c r="F376" s="12" t="s">
        <v>13</v>
      </c>
      <c r="G376" s="12" t="s">
        <v>216</v>
      </c>
      <c r="H376" s="12"/>
      <c r="I376" s="14">
        <v>45532</v>
      </c>
      <c r="J376" s="12" t="s">
        <v>1040</v>
      </c>
    </row>
    <row r="377" spans="1:10" s="15" customFormat="1" x14ac:dyDescent="0.15">
      <c r="A377" s="11">
        <v>45533</v>
      </c>
      <c r="B377" s="12" t="s">
        <v>224</v>
      </c>
      <c r="C377" s="12" t="s">
        <v>224</v>
      </c>
      <c r="D377" s="13" t="str">
        <f>HYPERLINK("https://www.marklines.com/en/global/2403","GM Korea, Changwon Plant")</f>
        <v>GM Korea, Changwon Plant</v>
      </c>
      <c r="E377" s="12" t="s">
        <v>1041</v>
      </c>
      <c r="F377" s="12" t="s">
        <v>21</v>
      </c>
      <c r="G377" s="12" t="s">
        <v>85</v>
      </c>
      <c r="H377" s="12"/>
      <c r="I377" s="14">
        <v>45532</v>
      </c>
      <c r="J377" s="12" t="s">
        <v>1042</v>
      </c>
    </row>
    <row r="378" spans="1:10" s="15" customFormat="1" x14ac:dyDescent="0.15">
      <c r="A378" s="11">
        <v>45533</v>
      </c>
      <c r="B378" s="12" t="s">
        <v>224</v>
      </c>
      <c r="C378" s="12" t="s">
        <v>224</v>
      </c>
      <c r="D378" s="13" t="str">
        <f>HYPERLINK("https://www.marklines.com/en/global/2407","GM Korea, Bupyeong Plant")</f>
        <v>GM Korea, Bupyeong Plant</v>
      </c>
      <c r="E378" s="12" t="s">
        <v>1043</v>
      </c>
      <c r="F378" s="12" t="s">
        <v>21</v>
      </c>
      <c r="G378" s="12" t="s">
        <v>85</v>
      </c>
      <c r="H378" s="12"/>
      <c r="I378" s="14">
        <v>45532</v>
      </c>
      <c r="J378" s="12" t="s">
        <v>1042</v>
      </c>
    </row>
    <row r="379" spans="1:10" s="15" customFormat="1" x14ac:dyDescent="0.15">
      <c r="A379" s="11">
        <v>45533</v>
      </c>
      <c r="B379" s="12" t="s">
        <v>224</v>
      </c>
      <c r="C379" s="12" t="s">
        <v>224</v>
      </c>
      <c r="D379" s="13" t="str">
        <f>HYPERLINK("https://www.marklines.com/en/global/10756","GM-Samsung SDI, Battery Cell Plant (tentative name）")</f>
        <v>GM-Samsung SDI, Battery Cell Plant (tentative name）</v>
      </c>
      <c r="E379" s="12" t="s">
        <v>1044</v>
      </c>
      <c r="F379" s="12" t="s">
        <v>16</v>
      </c>
      <c r="G379" s="12" t="s">
        <v>17</v>
      </c>
      <c r="H379" s="12" t="s">
        <v>263</v>
      </c>
      <c r="I379" s="14">
        <v>45532</v>
      </c>
      <c r="J379" s="12" t="s">
        <v>1045</v>
      </c>
    </row>
    <row r="380" spans="1:10" s="15" customFormat="1" x14ac:dyDescent="0.15">
      <c r="A380" s="11">
        <v>45533</v>
      </c>
      <c r="B380" s="12" t="s">
        <v>70</v>
      </c>
      <c r="C380" s="12" t="s">
        <v>70</v>
      </c>
      <c r="D380" s="13" t="str">
        <f>HYPERLINK("https://www.marklines.com/en/global/9500","BYD Co., Ltd.")</f>
        <v>BYD Co., Ltd.</v>
      </c>
      <c r="E380" s="12" t="s">
        <v>1046</v>
      </c>
      <c r="F380" s="12" t="s">
        <v>21</v>
      </c>
      <c r="G380" s="12" t="s">
        <v>47</v>
      </c>
      <c r="H380" s="12" t="s">
        <v>48</v>
      </c>
      <c r="I380" s="14">
        <v>45531</v>
      </c>
      <c r="J380" s="12" t="s">
        <v>1047</v>
      </c>
    </row>
    <row r="381" spans="1:10" s="15" customFormat="1" x14ac:dyDescent="0.15">
      <c r="A381" s="11">
        <v>45533</v>
      </c>
      <c r="B381" s="12" t="s">
        <v>70</v>
      </c>
      <c r="C381" s="12" t="s">
        <v>1048</v>
      </c>
      <c r="D381" s="13" t="str">
        <f>HYPERLINK("https://www.marklines.com/en/global/10678","BYD Automobile Industry Co., Ltd., Zhengzhou Branch")</f>
        <v>BYD Automobile Industry Co., Ltd., Zhengzhou Branch</v>
      </c>
      <c r="E381" s="12" t="s">
        <v>870</v>
      </c>
      <c r="F381" s="12" t="s">
        <v>21</v>
      </c>
      <c r="G381" s="12" t="s">
        <v>47</v>
      </c>
      <c r="H381" s="12" t="s">
        <v>478</v>
      </c>
      <c r="I381" s="14">
        <v>45531</v>
      </c>
      <c r="J381" s="12" t="s">
        <v>1047</v>
      </c>
    </row>
    <row r="382" spans="1:10" s="15" customFormat="1" x14ac:dyDescent="0.15">
      <c r="A382" s="11">
        <v>45533</v>
      </c>
      <c r="B382" s="12" t="s">
        <v>70</v>
      </c>
      <c r="C382" s="12" t="s">
        <v>1048</v>
      </c>
      <c r="D382" s="13" t="str">
        <f>HYPERLINK("https://www.marklines.com/en/global/4125","BYD Automobile Industry Co., Ltd., Shenzhen Plant")</f>
        <v>BYD Automobile Industry Co., Ltd., Shenzhen Plant</v>
      </c>
      <c r="E382" s="12" t="s">
        <v>273</v>
      </c>
      <c r="F382" s="12" t="s">
        <v>21</v>
      </c>
      <c r="G382" s="12" t="s">
        <v>47</v>
      </c>
      <c r="H382" s="12" t="s">
        <v>48</v>
      </c>
      <c r="I382" s="14">
        <v>45531</v>
      </c>
      <c r="J382" s="12" t="s">
        <v>1047</v>
      </c>
    </row>
    <row r="383" spans="1:10" s="15" customFormat="1" x14ac:dyDescent="0.15">
      <c r="A383" s="11">
        <v>45533</v>
      </c>
      <c r="B383" s="12" t="s">
        <v>103</v>
      </c>
      <c r="C383" s="12" t="s">
        <v>802</v>
      </c>
      <c r="D383" s="13" t="str">
        <f>HYPERLINK("https://www.marklines.com/en/global/3883","Chery Commercial Vehicle (Anhui) Co., Ltd.")</f>
        <v>Chery Commercial Vehicle (Anhui) Co., Ltd.</v>
      </c>
      <c r="E383" s="12" t="s">
        <v>104</v>
      </c>
      <c r="F383" s="12" t="s">
        <v>21</v>
      </c>
      <c r="G383" s="12" t="s">
        <v>47</v>
      </c>
      <c r="H383" s="12" t="s">
        <v>105</v>
      </c>
      <c r="I383" s="14">
        <v>45530</v>
      </c>
      <c r="J383" s="12" t="s">
        <v>1049</v>
      </c>
    </row>
    <row r="384" spans="1:10" s="15" customFormat="1" x14ac:dyDescent="0.15">
      <c r="A384" s="11">
        <v>45533</v>
      </c>
      <c r="B384" s="12" t="s">
        <v>290</v>
      </c>
      <c r="C384" s="12" t="s">
        <v>290</v>
      </c>
      <c r="D384" s="13" t="str">
        <f>HYPERLINK("https://www.marklines.com/en/global/9605","Dongfeng Motor Co., Ltd. Wuhan Branch (formerly Dongfeng Nissan Passenger Vehicle Company Wuhan Plant)")</f>
        <v>Dongfeng Motor Co., Ltd. Wuhan Branch (formerly Dongfeng Nissan Passenger Vehicle Company Wuhan Plant)</v>
      </c>
      <c r="E384" s="12" t="s">
        <v>829</v>
      </c>
      <c r="F384" s="12" t="s">
        <v>21</v>
      </c>
      <c r="G384" s="12" t="s">
        <v>47</v>
      </c>
      <c r="H384" s="12" t="s">
        <v>294</v>
      </c>
      <c r="I384" s="14">
        <v>45530</v>
      </c>
      <c r="J384" s="12" t="s">
        <v>1050</v>
      </c>
    </row>
    <row r="385" spans="1:10" s="15" customFormat="1" x14ac:dyDescent="0.15">
      <c r="A385" s="11">
        <v>45533</v>
      </c>
      <c r="B385" s="12" t="s">
        <v>121</v>
      </c>
      <c r="C385" s="12" t="s">
        <v>134</v>
      </c>
      <c r="D385" s="13" t="str">
        <f>HYPERLINK("https://www.marklines.com/en/global/9836","Great Wall Motor Co., Ltd. Xushui Branch")</f>
        <v>Great Wall Motor Co., Ltd. Xushui Branch</v>
      </c>
      <c r="E385" s="12" t="s">
        <v>1051</v>
      </c>
      <c r="F385" s="12" t="s">
        <v>21</v>
      </c>
      <c r="G385" s="12" t="s">
        <v>47</v>
      </c>
      <c r="H385" s="12" t="s">
        <v>294</v>
      </c>
      <c r="I385" s="14">
        <v>45529</v>
      </c>
      <c r="J385" s="12" t="s">
        <v>1052</v>
      </c>
    </row>
    <row r="386" spans="1:10" s="15" customFormat="1" x14ac:dyDescent="0.15">
      <c r="A386" s="11">
        <v>45533</v>
      </c>
      <c r="B386" s="12" t="s">
        <v>381</v>
      </c>
      <c r="C386" s="12" t="s">
        <v>381</v>
      </c>
      <c r="D386" s="13" t="str">
        <f>HYPERLINK("https://www.marklines.com/en/global/9578","Seres Group Co., Ltd. (formerly Chongqing Sokon Industrial Group Co., Ltd.)")</f>
        <v>Seres Group Co., Ltd. (formerly Chongqing Sokon Industrial Group Co., Ltd.)</v>
      </c>
      <c r="E386" s="12" t="s">
        <v>384</v>
      </c>
      <c r="F386" s="12" t="s">
        <v>21</v>
      </c>
      <c r="G386" s="12" t="s">
        <v>47</v>
      </c>
      <c r="H386" s="12" t="s">
        <v>362</v>
      </c>
      <c r="I386" s="14">
        <v>45529</v>
      </c>
      <c r="J386" s="12" t="s">
        <v>1053</v>
      </c>
    </row>
    <row r="387" spans="1:10" s="15" customFormat="1" x14ac:dyDescent="0.15">
      <c r="A387" s="11">
        <v>45533</v>
      </c>
      <c r="B387" s="12" t="s">
        <v>38</v>
      </c>
      <c r="C387" s="12" t="s">
        <v>38</v>
      </c>
      <c r="D387" s="13" t="str">
        <f>HYPERLINK("https://www.marklines.com/en/global/10683","Kim Long Motors, Thua Thien Hue Plant")</f>
        <v>Kim Long Motors, Thua Thien Hue Plant</v>
      </c>
      <c r="E387" s="12" t="s">
        <v>783</v>
      </c>
      <c r="F387" s="12" t="s">
        <v>60</v>
      </c>
      <c r="G387" s="12" t="s">
        <v>376</v>
      </c>
      <c r="H387" s="12"/>
      <c r="I387" s="14">
        <v>45527</v>
      </c>
      <c r="J387" s="12" t="s">
        <v>1054</v>
      </c>
    </row>
    <row r="388" spans="1:10" s="15" customFormat="1" x14ac:dyDescent="0.15">
      <c r="A388" s="11">
        <v>45533</v>
      </c>
      <c r="B388" s="12" t="s">
        <v>785</v>
      </c>
      <c r="C388" s="12" t="s">
        <v>785</v>
      </c>
      <c r="D388" s="13" t="str">
        <f>HYPERLINK("https://www.marklines.com/en/global/10683","Kim Long Motors, Thua Thien Hue Plant")</f>
        <v>Kim Long Motors, Thua Thien Hue Plant</v>
      </c>
      <c r="E388" s="12" t="s">
        <v>783</v>
      </c>
      <c r="F388" s="12" t="s">
        <v>60</v>
      </c>
      <c r="G388" s="12" t="s">
        <v>376</v>
      </c>
      <c r="H388" s="12"/>
      <c r="I388" s="14">
        <v>45527</v>
      </c>
      <c r="J388" s="12" t="s">
        <v>1054</v>
      </c>
    </row>
    <row r="389" spans="1:10" s="15" customFormat="1" x14ac:dyDescent="0.15">
      <c r="A389" s="11">
        <v>45533</v>
      </c>
      <c r="B389" s="12" t="s">
        <v>38</v>
      </c>
      <c r="C389" s="12" t="s">
        <v>38</v>
      </c>
      <c r="D389" s="13" t="str">
        <f>HYPERLINK("https://www.marklines.com/en/global/10683","Kim Long Motors, Thua Thien Hue Plant")</f>
        <v>Kim Long Motors, Thua Thien Hue Plant</v>
      </c>
      <c r="E389" s="12" t="s">
        <v>783</v>
      </c>
      <c r="F389" s="12" t="s">
        <v>60</v>
      </c>
      <c r="G389" s="12" t="s">
        <v>376</v>
      </c>
      <c r="H389" s="12"/>
      <c r="I389" s="14">
        <v>45527</v>
      </c>
      <c r="J389" s="12" t="s">
        <v>1055</v>
      </c>
    </row>
    <row r="390" spans="1:10" s="15" customFormat="1" x14ac:dyDescent="0.15">
      <c r="A390" s="11">
        <v>45532</v>
      </c>
      <c r="B390" s="12" t="s">
        <v>38</v>
      </c>
      <c r="C390" s="12" t="s">
        <v>264</v>
      </c>
      <c r="D390" s="13" t="str">
        <f>HYPERLINK("https://www.marklines.com/en/global/799","OAO UAZ (Ulyanovsky Avtomobilny Zavod), Ulyanovsk Plant")</f>
        <v>OAO UAZ (Ulyanovsky Avtomobilny Zavod), Ulyanovsk Plant</v>
      </c>
      <c r="E390" s="12" t="s">
        <v>299</v>
      </c>
      <c r="F390" s="12" t="s">
        <v>61</v>
      </c>
      <c r="G390" s="12" t="s">
        <v>235</v>
      </c>
      <c r="H390" s="12"/>
      <c r="I390" s="14">
        <v>45531</v>
      </c>
      <c r="J390" s="12" t="s">
        <v>1056</v>
      </c>
    </row>
    <row r="391" spans="1:10" s="15" customFormat="1" x14ac:dyDescent="0.15">
      <c r="A391" s="11">
        <v>45532</v>
      </c>
      <c r="B391" s="12" t="s">
        <v>11</v>
      </c>
      <c r="C391" s="12" t="s">
        <v>11</v>
      </c>
      <c r="D391" s="13" t="str">
        <f>HYPERLINK("https://www.marklines.com/en/global/1375","Stellantis Europe SpA, Atessa Plant (formerly Sevel S.p.A., Val di Sangro (Atessa) Plant)")</f>
        <v>Stellantis Europe SpA, Atessa Plant (formerly Sevel S.p.A., Val di Sangro (Atessa) Plant)</v>
      </c>
      <c r="E391" s="12" t="s">
        <v>330</v>
      </c>
      <c r="F391" s="12" t="s">
        <v>13</v>
      </c>
      <c r="G391" s="12" t="s">
        <v>216</v>
      </c>
      <c r="H391" s="12"/>
      <c r="I391" s="14">
        <v>45531</v>
      </c>
      <c r="J391" s="12" t="s">
        <v>1057</v>
      </c>
    </row>
    <row r="392" spans="1:10" s="15" customFormat="1" x14ac:dyDescent="0.15">
      <c r="A392" s="11">
        <v>45532</v>
      </c>
      <c r="B392" s="12" t="s">
        <v>11</v>
      </c>
      <c r="C392" s="12" t="s">
        <v>11</v>
      </c>
      <c r="D392" s="13" t="str">
        <f>HYPERLINK("https://www.marklines.com/en/global/1329","Stellantis, FCA Italy, Giambattista Vico (Pomigliano d'Arco) Plant")</f>
        <v>Stellantis, FCA Italy, Giambattista Vico (Pomigliano d'Arco) Plant</v>
      </c>
      <c r="E392" s="12" t="s">
        <v>336</v>
      </c>
      <c r="F392" s="12" t="s">
        <v>13</v>
      </c>
      <c r="G392" s="12" t="s">
        <v>216</v>
      </c>
      <c r="H392" s="12"/>
      <c r="I392" s="14">
        <v>45531</v>
      </c>
      <c r="J392" s="12" t="s">
        <v>1057</v>
      </c>
    </row>
    <row r="393" spans="1:10" s="15" customFormat="1" x14ac:dyDescent="0.15">
      <c r="A393" s="11">
        <v>45532</v>
      </c>
      <c r="B393" s="12" t="s">
        <v>33</v>
      </c>
      <c r="C393" s="12" t="s">
        <v>34</v>
      </c>
      <c r="D393" s="13" t="str">
        <f>HYPERLINK("https://www.marklines.com/en/global/2075","Thonburi Automotive Assembly Plant Co., Ltd., Samutprakarn Plant 2")</f>
        <v>Thonburi Automotive Assembly Plant Co., Ltd., Samutprakarn Plant 2</v>
      </c>
      <c r="E393" s="12" t="s">
        <v>1058</v>
      </c>
      <c r="F393" s="12" t="s">
        <v>60</v>
      </c>
      <c r="G393" s="12" t="s">
        <v>72</v>
      </c>
      <c r="H393" s="12" t="s">
        <v>691</v>
      </c>
      <c r="I393" s="14">
        <v>45531</v>
      </c>
      <c r="J393" s="12" t="s">
        <v>1059</v>
      </c>
    </row>
    <row r="394" spans="1:10" s="15" customFormat="1" x14ac:dyDescent="0.15">
      <c r="A394" s="11">
        <v>45532</v>
      </c>
      <c r="B394" s="12" t="s">
        <v>33</v>
      </c>
      <c r="C394" s="12" t="s">
        <v>34</v>
      </c>
      <c r="D394" s="13" t="str">
        <f>HYPERLINK("https://www.marklines.com/en/global/2075","Thonburi Automotive Assembly Plant Co., Ltd., Samutprakarn Plant 2")</f>
        <v>Thonburi Automotive Assembly Plant Co., Ltd., Samutprakarn Plant 2</v>
      </c>
      <c r="E394" s="12" t="s">
        <v>1058</v>
      </c>
      <c r="F394" s="12" t="s">
        <v>60</v>
      </c>
      <c r="G394" s="12" t="s">
        <v>72</v>
      </c>
      <c r="H394" s="12" t="s">
        <v>691</v>
      </c>
      <c r="I394" s="14">
        <v>45531</v>
      </c>
      <c r="J394" s="12" t="s">
        <v>1060</v>
      </c>
    </row>
    <row r="395" spans="1:10" s="15" customFormat="1" x14ac:dyDescent="0.15">
      <c r="A395" s="11">
        <v>45532</v>
      </c>
      <c r="B395" s="12" t="s">
        <v>43</v>
      </c>
      <c r="C395" s="12" t="s">
        <v>732</v>
      </c>
      <c r="D395" s="13" t="str">
        <f>HYPERLINK("https://www.marklines.com/en/global/3111","Honda Development &amp; Manufacturing of America, LLC (HDMA), East Liberty Auto Plant")</f>
        <v>Honda Development &amp; Manufacturing of America, LLC (HDMA), East Liberty Auto Plant</v>
      </c>
      <c r="E395" s="12" t="s">
        <v>733</v>
      </c>
      <c r="F395" s="12" t="s">
        <v>16</v>
      </c>
      <c r="G395" s="12" t="s">
        <v>17</v>
      </c>
      <c r="H395" s="12" t="s">
        <v>18</v>
      </c>
      <c r="I395" s="14">
        <v>45531</v>
      </c>
      <c r="J395" s="12" t="s">
        <v>1061</v>
      </c>
    </row>
    <row r="396" spans="1:10" s="15" customFormat="1" x14ac:dyDescent="0.15">
      <c r="A396" s="11">
        <v>45532</v>
      </c>
      <c r="B396" s="12" t="s">
        <v>1062</v>
      </c>
      <c r="C396" s="12" t="s">
        <v>1062</v>
      </c>
      <c r="D396" s="13" t="str">
        <f>HYPERLINK("https://www.marklines.com/en/global/10703","Mullen Automotive, Advanced Manufacturing Engineering Center (AMEC)")</f>
        <v>Mullen Automotive, Advanced Manufacturing Engineering Center (AMEC)</v>
      </c>
      <c r="E396" s="12" t="s">
        <v>1063</v>
      </c>
      <c r="F396" s="12" t="s">
        <v>16</v>
      </c>
      <c r="G396" s="12" t="s">
        <v>17</v>
      </c>
      <c r="H396" s="12" t="s">
        <v>143</v>
      </c>
      <c r="I396" s="14">
        <v>45530</v>
      </c>
      <c r="J396" s="12" t="s">
        <v>1064</v>
      </c>
    </row>
    <row r="397" spans="1:10" s="15" customFormat="1" x14ac:dyDescent="0.15">
      <c r="A397" s="11">
        <v>45532</v>
      </c>
      <c r="B397" s="12" t="s">
        <v>224</v>
      </c>
      <c r="C397" s="12" t="s">
        <v>224</v>
      </c>
      <c r="D397" s="13" t="str">
        <f>HYPERLINK("https://www.marklines.com/en/global/2847","General Motors Brazil, Sao Jose dos Campos Plant")</f>
        <v>General Motors Brazil, Sao Jose dos Campos Plant</v>
      </c>
      <c r="E397" s="12" t="s">
        <v>637</v>
      </c>
      <c r="F397" s="12" t="s">
        <v>45</v>
      </c>
      <c r="G397" s="12" t="s">
        <v>232</v>
      </c>
      <c r="H397" s="12"/>
      <c r="I397" s="14">
        <v>45530</v>
      </c>
      <c r="J397" s="12" t="s">
        <v>1065</v>
      </c>
    </row>
    <row r="398" spans="1:10" s="15" customFormat="1" x14ac:dyDescent="0.15">
      <c r="A398" s="11">
        <v>45532</v>
      </c>
      <c r="B398" s="12" t="s">
        <v>15</v>
      </c>
      <c r="C398" s="12" t="s">
        <v>15</v>
      </c>
      <c r="D398" s="13" t="str">
        <f>HYPERLINK("https://www.marklines.com/en/global/859","Ford Motor Mexico, Hermosillo Stamping and Assembly Plant")</f>
        <v>Ford Motor Mexico, Hermosillo Stamping and Assembly Plant</v>
      </c>
      <c r="E398" s="12" t="s">
        <v>536</v>
      </c>
      <c r="F398" s="12" t="s">
        <v>16</v>
      </c>
      <c r="G398" s="12" t="s">
        <v>229</v>
      </c>
      <c r="H398" s="12"/>
      <c r="I398" s="14">
        <v>45530</v>
      </c>
      <c r="J398" s="12" t="s">
        <v>1066</v>
      </c>
    </row>
    <row r="399" spans="1:10" s="15" customFormat="1" x14ac:dyDescent="0.15">
      <c r="A399" s="11">
        <v>45532</v>
      </c>
      <c r="B399" s="12" t="s">
        <v>59</v>
      </c>
      <c r="C399" s="12" t="s">
        <v>253</v>
      </c>
      <c r="D399" s="13" t="str">
        <f>HYPERLINK("https://www.marklines.com/en/global/10659","Ruipai Power Technology Co., Ltd.")</f>
        <v>Ruipai Power Technology Co., Ltd.</v>
      </c>
      <c r="E399" s="12" t="s">
        <v>1067</v>
      </c>
      <c r="F399" s="12" t="s">
        <v>21</v>
      </c>
      <c r="G399" s="12" t="s">
        <v>47</v>
      </c>
      <c r="H399" s="12" t="s">
        <v>48</v>
      </c>
      <c r="I399" s="14">
        <v>45528</v>
      </c>
      <c r="J399" s="12" t="s">
        <v>1068</v>
      </c>
    </row>
    <row r="400" spans="1:10" s="15" customFormat="1" x14ac:dyDescent="0.15">
      <c r="A400" s="11">
        <v>45532</v>
      </c>
      <c r="B400" s="12" t="s">
        <v>52</v>
      </c>
      <c r="C400" s="12" t="s">
        <v>52</v>
      </c>
      <c r="D400" s="13" t="str">
        <f>HYPERLINK("https://www.marklines.com/en/global/10387","Zeekr Automobile (Ningbo Hangzhou Bay New Zone) Co., Ltd. (formerly Ningbo Zeekr Intelligent Technology Co., Ltd.")</f>
        <v>Zeekr Automobile (Ningbo Hangzhou Bay New Zone) Co., Ltd. (formerly Ningbo Zeekr Intelligent Technology Co., Ltd.</v>
      </c>
      <c r="E400" s="12" t="s">
        <v>996</v>
      </c>
      <c r="F400" s="12" t="s">
        <v>21</v>
      </c>
      <c r="G400" s="12" t="s">
        <v>47</v>
      </c>
      <c r="H400" s="12" t="s">
        <v>54</v>
      </c>
      <c r="I400" s="14">
        <v>45527</v>
      </c>
      <c r="J400" s="12" t="s">
        <v>1069</v>
      </c>
    </row>
    <row r="401" spans="1:10" s="15" customFormat="1" x14ac:dyDescent="0.15">
      <c r="A401" s="11">
        <v>45532</v>
      </c>
      <c r="B401" s="12" t="s">
        <v>52</v>
      </c>
      <c r="C401" s="12" t="s">
        <v>52</v>
      </c>
      <c r="D401" s="13" t="str">
        <f>HYPERLINK("https://www.marklines.com/en/global/10391","Zhejiang Geely Automobile Co., Ltd. Meishan Plant")</f>
        <v>Zhejiang Geely Automobile Co., Ltd. Meishan Plant</v>
      </c>
      <c r="E401" s="12" t="s">
        <v>957</v>
      </c>
      <c r="F401" s="12" t="s">
        <v>21</v>
      </c>
      <c r="G401" s="12" t="s">
        <v>47</v>
      </c>
      <c r="H401" s="12" t="s">
        <v>54</v>
      </c>
      <c r="I401" s="14">
        <v>45527</v>
      </c>
      <c r="J401" s="12" t="s">
        <v>1069</v>
      </c>
    </row>
    <row r="402" spans="1:10" s="15" customFormat="1" x14ac:dyDescent="0.15">
      <c r="A402" s="11">
        <v>45532</v>
      </c>
      <c r="B402" s="12" t="s">
        <v>52</v>
      </c>
      <c r="C402" s="12" t="s">
        <v>52</v>
      </c>
      <c r="D402" s="13" t="str">
        <f>HYPERLINK("https://www.marklines.com/en/global/3807","Zhejiang Geely Holding Group Co., Ltd.")</f>
        <v>Zhejiang Geely Holding Group Co., Ltd.</v>
      </c>
      <c r="E402" s="12" t="s">
        <v>53</v>
      </c>
      <c r="F402" s="12" t="s">
        <v>21</v>
      </c>
      <c r="G402" s="12" t="s">
        <v>47</v>
      </c>
      <c r="H402" s="12" t="s">
        <v>54</v>
      </c>
      <c r="I402" s="14">
        <v>45527</v>
      </c>
      <c r="J402" s="12" t="s">
        <v>1069</v>
      </c>
    </row>
    <row r="403" spans="1:10" s="15" customFormat="1" x14ac:dyDescent="0.15">
      <c r="A403" s="11">
        <v>45532</v>
      </c>
      <c r="B403" s="12" t="s">
        <v>55</v>
      </c>
      <c r="C403" s="12" t="s">
        <v>55</v>
      </c>
      <c r="D403" s="13" t="str">
        <f>HYPERLINK("https://www.marklines.com/en/global/10587","Hyundai Motor Group Metaplant America (HMGMA) LLC")</f>
        <v>Hyundai Motor Group Metaplant America (HMGMA) LLC</v>
      </c>
      <c r="E403" s="12" t="s">
        <v>1070</v>
      </c>
      <c r="F403" s="12" t="s">
        <v>16</v>
      </c>
      <c r="G403" s="12" t="s">
        <v>17</v>
      </c>
      <c r="H403" s="12" t="s">
        <v>76</v>
      </c>
      <c r="I403" s="14">
        <v>45527</v>
      </c>
      <c r="J403" s="12" t="s">
        <v>1071</v>
      </c>
    </row>
    <row r="404" spans="1:10" s="15" customFormat="1" x14ac:dyDescent="0.15">
      <c r="A404" s="11">
        <v>45532</v>
      </c>
      <c r="B404" s="12" t="s">
        <v>52</v>
      </c>
      <c r="C404" s="12" t="s">
        <v>995</v>
      </c>
      <c r="D404" s="13" t="str">
        <f>HYPERLINK("https://www.marklines.com/en/global/10387","Zeekr Automobile (Ningbo Hangzhou Bay New Zone) Co., Ltd. (formerly Ningbo Zeekr Intelligent Technology Co., Ltd.")</f>
        <v>Zeekr Automobile (Ningbo Hangzhou Bay New Zone) Co., Ltd. (formerly Ningbo Zeekr Intelligent Technology Co., Ltd.</v>
      </c>
      <c r="E404" s="12" t="s">
        <v>996</v>
      </c>
      <c r="F404" s="12" t="s">
        <v>21</v>
      </c>
      <c r="G404" s="12" t="s">
        <v>47</v>
      </c>
      <c r="H404" s="12" t="s">
        <v>54</v>
      </c>
      <c r="I404" s="14">
        <v>45526</v>
      </c>
      <c r="J404" s="12" t="s">
        <v>1072</v>
      </c>
    </row>
    <row r="405" spans="1:10" s="15" customFormat="1" x14ac:dyDescent="0.15">
      <c r="A405" s="11">
        <v>45532</v>
      </c>
      <c r="B405" s="12" t="s">
        <v>52</v>
      </c>
      <c r="C405" s="12" t="s">
        <v>995</v>
      </c>
      <c r="D405" s="13" t="str">
        <f>HYPERLINK("https://www.marklines.com/en/global/10391","Zhejiang Geely Automobile Co., Ltd. Meishan Plant")</f>
        <v>Zhejiang Geely Automobile Co., Ltd. Meishan Plant</v>
      </c>
      <c r="E405" s="12" t="s">
        <v>957</v>
      </c>
      <c r="F405" s="12" t="s">
        <v>21</v>
      </c>
      <c r="G405" s="12" t="s">
        <v>47</v>
      </c>
      <c r="H405" s="12" t="s">
        <v>54</v>
      </c>
      <c r="I405" s="14">
        <v>45526</v>
      </c>
      <c r="J405" s="12" t="s">
        <v>1072</v>
      </c>
    </row>
    <row r="406" spans="1:10" s="15" customFormat="1" x14ac:dyDescent="0.15">
      <c r="A406" s="11">
        <v>45532</v>
      </c>
      <c r="B406" s="12" t="s">
        <v>51</v>
      </c>
      <c r="C406" s="12" t="s">
        <v>458</v>
      </c>
      <c r="D406" s="13" t="str">
        <f>HYPERLINK("https://www.marklines.com/en/global/4153","SAIC-GM-Wuling Automobile Co., Ltd. (SGMW)　")</f>
        <v>SAIC-GM-Wuling Automobile Co., Ltd. (SGMW)　</v>
      </c>
      <c r="E406" s="12" t="s">
        <v>459</v>
      </c>
      <c r="F406" s="12" t="s">
        <v>21</v>
      </c>
      <c r="G406" s="12" t="s">
        <v>47</v>
      </c>
      <c r="H406" s="12" t="s">
        <v>460</v>
      </c>
      <c r="I406" s="14">
        <v>45526</v>
      </c>
      <c r="J406" s="12" t="s">
        <v>1073</v>
      </c>
    </row>
    <row r="407" spans="1:10" s="15" customFormat="1" x14ac:dyDescent="0.15">
      <c r="A407" s="11">
        <v>45532</v>
      </c>
      <c r="B407" s="12" t="s">
        <v>78</v>
      </c>
      <c r="C407" s="12" t="s">
        <v>78</v>
      </c>
      <c r="D407" s="13" t="str">
        <f>HYPERLINK("https://www.marklines.com/en/global/609","Mercedes-Benz South Africa Ltd., East London Plant")</f>
        <v>Mercedes-Benz South Africa Ltd., East London Plant</v>
      </c>
      <c r="E407" s="12" t="s">
        <v>1074</v>
      </c>
      <c r="F407" s="12" t="s">
        <v>114</v>
      </c>
      <c r="G407" s="12" t="s">
        <v>115</v>
      </c>
      <c r="H407" s="12"/>
      <c r="I407" s="14">
        <v>45516</v>
      </c>
      <c r="J407" s="12" t="s">
        <v>1075</v>
      </c>
    </row>
    <row r="408" spans="1:10" s="15" customFormat="1" x14ac:dyDescent="0.15">
      <c r="A408" s="11">
        <v>45532</v>
      </c>
      <c r="B408" s="12" t="s">
        <v>78</v>
      </c>
      <c r="C408" s="12" t="s">
        <v>599</v>
      </c>
      <c r="D408" s="13" t="str">
        <f>HYPERLINK("https://www.marklines.com/en/global/609","Mercedes-Benz South Africa Ltd., East London Plant")</f>
        <v>Mercedes-Benz South Africa Ltd., East London Plant</v>
      </c>
      <c r="E408" s="12" t="s">
        <v>1074</v>
      </c>
      <c r="F408" s="12" t="s">
        <v>114</v>
      </c>
      <c r="G408" s="12" t="s">
        <v>115</v>
      </c>
      <c r="H408" s="12"/>
      <c r="I408" s="14">
        <v>45516</v>
      </c>
      <c r="J408" s="12" t="s">
        <v>1075</v>
      </c>
    </row>
    <row r="409" spans="1:10" s="15" customFormat="1" x14ac:dyDescent="0.15">
      <c r="A409" s="11">
        <v>45531</v>
      </c>
      <c r="B409" s="12" t="s">
        <v>95</v>
      </c>
      <c r="C409" s="12" t="s">
        <v>95</v>
      </c>
      <c r="D409" s="13" t="str">
        <f>HYPERLINK("https://www.marklines.com/en/global/9879","BMW Manufacturing Hungary Kft., Debrecen Gyar plant")</f>
        <v>BMW Manufacturing Hungary Kft., Debrecen Gyar plant</v>
      </c>
      <c r="E409" s="12" t="s">
        <v>623</v>
      </c>
      <c r="F409" s="12" t="s">
        <v>61</v>
      </c>
      <c r="G409" s="12" t="s">
        <v>96</v>
      </c>
      <c r="H409" s="12"/>
      <c r="I409" s="14">
        <v>45531</v>
      </c>
      <c r="J409" s="12" t="s">
        <v>1076</v>
      </c>
    </row>
    <row r="410" spans="1:10" s="15" customFormat="1" x14ac:dyDescent="0.15">
      <c r="A410" s="11">
        <v>45531</v>
      </c>
      <c r="B410" s="12" t="s">
        <v>23</v>
      </c>
      <c r="C410" s="12" t="s">
        <v>23</v>
      </c>
      <c r="D410" s="13" t="str">
        <f>HYPERLINK("https://www.marklines.com/en/global/10321","Tesla Gigafactory Texas")</f>
        <v>Tesla Gigafactory Texas</v>
      </c>
      <c r="E410" s="12" t="s">
        <v>573</v>
      </c>
      <c r="F410" s="12" t="s">
        <v>16</v>
      </c>
      <c r="G410" s="12" t="s">
        <v>17</v>
      </c>
      <c r="H410" s="12" t="s">
        <v>574</v>
      </c>
      <c r="I410" s="14">
        <v>45531</v>
      </c>
      <c r="J410" s="12" t="s">
        <v>1077</v>
      </c>
    </row>
    <row r="411" spans="1:10" s="15" customFormat="1" x14ac:dyDescent="0.15">
      <c r="A411" s="11">
        <v>45531</v>
      </c>
      <c r="B411" s="12" t="s">
        <v>23</v>
      </c>
      <c r="C411" s="12" t="s">
        <v>23</v>
      </c>
      <c r="D411" s="13" t="str">
        <f>HYPERLINK("https://www.marklines.com/en/global/10665","Tesla Gigafactory New York")</f>
        <v>Tesla Gigafactory New York</v>
      </c>
      <c r="E411" s="12" t="s">
        <v>775</v>
      </c>
      <c r="F411" s="12" t="s">
        <v>16</v>
      </c>
      <c r="G411" s="12" t="s">
        <v>17</v>
      </c>
      <c r="H411" s="12" t="s">
        <v>776</v>
      </c>
      <c r="I411" s="14">
        <v>45531</v>
      </c>
      <c r="J411" s="12" t="s">
        <v>1077</v>
      </c>
    </row>
    <row r="412" spans="1:10" s="15" customFormat="1" x14ac:dyDescent="0.15">
      <c r="A412" s="11">
        <v>45531</v>
      </c>
      <c r="B412" s="12" t="s">
        <v>49</v>
      </c>
      <c r="C412" s="12" t="s">
        <v>227</v>
      </c>
      <c r="D412" s="13" t="str">
        <f>HYPERLINK("https://www.marklines.com/en/global/2267","Volkswagen AG, Emden Plant")</f>
        <v>Volkswagen AG, Emden Plant</v>
      </c>
      <c r="E412" s="12" t="s">
        <v>1078</v>
      </c>
      <c r="F412" s="12" t="s">
        <v>13</v>
      </c>
      <c r="G412" s="12" t="s">
        <v>25</v>
      </c>
      <c r="H412" s="12"/>
      <c r="I412" s="14">
        <v>45530</v>
      </c>
      <c r="J412" s="12" t="s">
        <v>1079</v>
      </c>
    </row>
    <row r="413" spans="1:10" s="15" customFormat="1" x14ac:dyDescent="0.15">
      <c r="A413" s="11">
        <v>45531</v>
      </c>
      <c r="B413" s="12" t="s">
        <v>103</v>
      </c>
      <c r="C413" s="12" t="s">
        <v>103</v>
      </c>
      <c r="D413" s="13" t="str">
        <f>HYPERLINK("https://www.marklines.com/en/global/9390","Chery New Energy Automobile Co., Ltd. (Formerly Chery New Energy Technology Automotive Co., Ltd.)")</f>
        <v>Chery New Energy Automobile Co., Ltd. (Formerly Chery New Energy Technology Automotive Co., Ltd.)</v>
      </c>
      <c r="E413" s="12" t="s">
        <v>1080</v>
      </c>
      <c r="F413" s="12" t="s">
        <v>21</v>
      </c>
      <c r="G413" s="12" t="s">
        <v>47</v>
      </c>
      <c r="H413" s="12" t="s">
        <v>105</v>
      </c>
      <c r="I413" s="14">
        <v>45530</v>
      </c>
      <c r="J413" s="12" t="s">
        <v>1081</v>
      </c>
    </row>
    <row r="414" spans="1:10" s="15" customFormat="1" x14ac:dyDescent="0.15">
      <c r="A414" s="11">
        <v>45531</v>
      </c>
      <c r="B414" s="12" t="s">
        <v>51</v>
      </c>
      <c r="C414" s="12" t="s">
        <v>813</v>
      </c>
      <c r="D414" s="13" t="str">
        <f>HYPERLINK("https://www.marklines.com/en/global/9045","SAIC Motor - CP Co., Ltd., Chonburi Plant")</f>
        <v>SAIC Motor - CP Co., Ltd., Chonburi Plant</v>
      </c>
      <c r="E414" s="12" t="s">
        <v>814</v>
      </c>
      <c r="F414" s="12" t="s">
        <v>60</v>
      </c>
      <c r="G414" s="12" t="s">
        <v>72</v>
      </c>
      <c r="H414" s="12" t="s">
        <v>73</v>
      </c>
      <c r="I414" s="14">
        <v>45528</v>
      </c>
      <c r="J414" s="12" t="s">
        <v>1082</v>
      </c>
    </row>
    <row r="415" spans="1:10" s="15" customFormat="1" x14ac:dyDescent="0.15">
      <c r="A415" s="11">
        <v>45531</v>
      </c>
      <c r="B415" s="12" t="s">
        <v>30</v>
      </c>
      <c r="C415" s="12" t="s">
        <v>30</v>
      </c>
      <c r="D415" s="13" t="str">
        <f>HYPERLINK("https://www.marklines.com/en/global/3153","Rivian, Normal Plant (former Mitsubishi Motors North America, Normal Plant)")</f>
        <v>Rivian, Normal Plant (former Mitsubishi Motors North America, Normal Plant)</v>
      </c>
      <c r="E415" s="12" t="s">
        <v>31</v>
      </c>
      <c r="F415" s="12" t="s">
        <v>16</v>
      </c>
      <c r="G415" s="12" t="s">
        <v>17</v>
      </c>
      <c r="H415" s="12" t="s">
        <v>32</v>
      </c>
      <c r="I415" s="14">
        <v>45528</v>
      </c>
      <c r="J415" s="12" t="s">
        <v>1083</v>
      </c>
    </row>
    <row r="416" spans="1:10" s="15" customFormat="1" x14ac:dyDescent="0.15">
      <c r="A416" s="11">
        <v>45531</v>
      </c>
      <c r="B416" s="12" t="s">
        <v>49</v>
      </c>
      <c r="C416" s="12" t="s">
        <v>98</v>
      </c>
      <c r="D416" s="13" t="str">
        <f>HYPERLINK("https://www.marklines.com/en/global/1514","Audi Brussels S.A./N.V., Brussels (Forest) Plant")</f>
        <v>Audi Brussels S.A./N.V., Brussels (Forest) Plant</v>
      </c>
      <c r="E416" s="12" t="s">
        <v>250</v>
      </c>
      <c r="F416" s="12" t="s">
        <v>13</v>
      </c>
      <c r="G416" s="12" t="s">
        <v>251</v>
      </c>
      <c r="H416" s="12"/>
      <c r="I416" s="14">
        <v>45527</v>
      </c>
      <c r="J416" s="12" t="s">
        <v>1084</v>
      </c>
    </row>
    <row r="417" spans="1:10" s="15" customFormat="1" x14ac:dyDescent="0.15">
      <c r="A417" s="11">
        <v>45531</v>
      </c>
      <c r="B417" s="12" t="s">
        <v>49</v>
      </c>
      <c r="C417" s="12" t="s">
        <v>98</v>
      </c>
      <c r="D417" s="13" t="str">
        <f>HYPERLINK("https://www.marklines.com/en/global/2201","Audi AG, Audi Sport GmbH, Neckarsulm Plant")</f>
        <v>Audi AG, Audi Sport GmbH, Neckarsulm Plant</v>
      </c>
      <c r="E417" s="12" t="s">
        <v>465</v>
      </c>
      <c r="F417" s="12" t="s">
        <v>13</v>
      </c>
      <c r="G417" s="12" t="s">
        <v>25</v>
      </c>
      <c r="H417" s="12"/>
      <c r="I417" s="14">
        <v>45527</v>
      </c>
      <c r="J417" s="12" t="s">
        <v>1085</v>
      </c>
    </row>
    <row r="418" spans="1:10" s="15" customFormat="1" x14ac:dyDescent="0.15">
      <c r="A418" s="11">
        <v>45531</v>
      </c>
      <c r="B418" s="12" t="s">
        <v>49</v>
      </c>
      <c r="C418" s="12" t="s">
        <v>98</v>
      </c>
      <c r="D418" s="13" t="str">
        <f>HYPERLINK("https://www.marklines.com/en/global/2199","Audi AG, Ingolstadt Plant")</f>
        <v>Audi AG, Ingolstadt Plant</v>
      </c>
      <c r="E418" s="12" t="s">
        <v>648</v>
      </c>
      <c r="F418" s="12" t="s">
        <v>13</v>
      </c>
      <c r="G418" s="12" t="s">
        <v>25</v>
      </c>
      <c r="H418" s="12"/>
      <c r="I418" s="14">
        <v>45527</v>
      </c>
      <c r="J418" s="12" t="s">
        <v>1085</v>
      </c>
    </row>
    <row r="419" spans="1:10" s="15" customFormat="1" x14ac:dyDescent="0.15">
      <c r="A419" s="11">
        <v>45531</v>
      </c>
      <c r="B419" s="12" t="s">
        <v>49</v>
      </c>
      <c r="C419" s="12" t="s">
        <v>98</v>
      </c>
      <c r="D419" s="13" t="str">
        <f>HYPERLINK("https://www.marklines.com/en/global/1777","Audi Hungaria Zrt., Győr Plant (formerly Audi Hungaria Motor Kft.)")</f>
        <v>Audi Hungaria Zrt., Győr Plant (formerly Audi Hungaria Motor Kft.)</v>
      </c>
      <c r="E419" s="12" t="s">
        <v>99</v>
      </c>
      <c r="F419" s="12" t="s">
        <v>61</v>
      </c>
      <c r="G419" s="12" t="s">
        <v>96</v>
      </c>
      <c r="H419" s="12"/>
      <c r="I419" s="14">
        <v>45527</v>
      </c>
      <c r="J419" s="12" t="s">
        <v>1085</v>
      </c>
    </row>
    <row r="420" spans="1:10" s="15" customFormat="1" x14ac:dyDescent="0.15">
      <c r="A420" s="11">
        <v>45531</v>
      </c>
      <c r="B420" s="12" t="s">
        <v>121</v>
      </c>
      <c r="C420" s="12" t="s">
        <v>134</v>
      </c>
      <c r="D420" s="13" t="str">
        <f>HYPERLINK("https://www.marklines.com/en/global/10420","Great Wall Motor Co., Ltd. Jingmen Branch")</f>
        <v>Great Wall Motor Co., Ltd. Jingmen Branch</v>
      </c>
      <c r="E420" s="12" t="s">
        <v>1086</v>
      </c>
      <c r="F420" s="12" t="s">
        <v>21</v>
      </c>
      <c r="G420" s="12" t="s">
        <v>47</v>
      </c>
      <c r="H420" s="12" t="s">
        <v>294</v>
      </c>
      <c r="I420" s="14">
        <v>45527</v>
      </c>
      <c r="J420" s="12" t="s">
        <v>1087</v>
      </c>
    </row>
    <row r="421" spans="1:10" s="15" customFormat="1" x14ac:dyDescent="0.15">
      <c r="A421" s="11">
        <v>45531</v>
      </c>
      <c r="B421" s="12" t="s">
        <v>49</v>
      </c>
      <c r="C421" s="12" t="s">
        <v>86</v>
      </c>
      <c r="D421" s="13" t="str">
        <f>HYPERLINK("https://www.marklines.com/en/global/10609","Volkswagen, Way to Zero Center")</f>
        <v>Volkswagen, Way to Zero Center</v>
      </c>
      <c r="E421" s="12" t="s">
        <v>1088</v>
      </c>
      <c r="F421" s="12" t="s">
        <v>45</v>
      </c>
      <c r="G421" s="12" t="s">
        <v>232</v>
      </c>
      <c r="H421" s="12"/>
      <c r="I421" s="14">
        <v>45527</v>
      </c>
      <c r="J421" s="12" t="s">
        <v>1089</v>
      </c>
    </row>
    <row r="422" spans="1:10" s="15" customFormat="1" x14ac:dyDescent="0.15">
      <c r="A422" s="11">
        <v>45531</v>
      </c>
      <c r="B422" s="12" t="s">
        <v>49</v>
      </c>
      <c r="C422" s="12" t="s">
        <v>86</v>
      </c>
      <c r="D422" s="13" t="str">
        <f>HYPERLINK("https://www.marklines.com/en/global/2933","Volkswagen do Brasil, Sao Jose dos Pinhais Plant")</f>
        <v>Volkswagen do Brasil, Sao Jose dos Pinhais Plant</v>
      </c>
      <c r="E422" s="12" t="s">
        <v>1090</v>
      </c>
      <c r="F422" s="12" t="s">
        <v>45</v>
      </c>
      <c r="G422" s="12" t="s">
        <v>232</v>
      </c>
      <c r="H422" s="12"/>
      <c r="I422" s="14">
        <v>45527</v>
      </c>
      <c r="J422" s="12" t="s">
        <v>1089</v>
      </c>
    </row>
    <row r="423" spans="1:10" s="15" customFormat="1" x14ac:dyDescent="0.15">
      <c r="A423" s="11">
        <v>45531</v>
      </c>
      <c r="B423" s="12" t="s">
        <v>49</v>
      </c>
      <c r="C423" s="12" t="s">
        <v>86</v>
      </c>
      <c r="D423" s="13" t="str">
        <f>HYPERLINK("https://www.marklines.com/en/global/2935","Volkswagen do Brasil, Taubate Plant")</f>
        <v>Volkswagen do Brasil, Taubate Plant</v>
      </c>
      <c r="E423" s="12" t="s">
        <v>1091</v>
      </c>
      <c r="F423" s="12" t="s">
        <v>45</v>
      </c>
      <c r="G423" s="12" t="s">
        <v>232</v>
      </c>
      <c r="H423" s="12"/>
      <c r="I423" s="14">
        <v>45527</v>
      </c>
      <c r="J423" s="12" t="s">
        <v>1089</v>
      </c>
    </row>
    <row r="424" spans="1:10" s="15" customFormat="1" x14ac:dyDescent="0.15">
      <c r="A424" s="11">
        <v>45531</v>
      </c>
      <c r="B424" s="12" t="s">
        <v>49</v>
      </c>
      <c r="C424" s="12" t="s">
        <v>86</v>
      </c>
      <c r="D424" s="13" t="str">
        <f>HYPERLINK("https://www.marklines.com/en/global/2931","Volkswagen do Brasil, Anchieta (Sao Bernardo do Campo) Plant")</f>
        <v>Volkswagen do Brasil, Anchieta (Sao Bernardo do Campo) Plant</v>
      </c>
      <c r="E424" s="12" t="s">
        <v>1092</v>
      </c>
      <c r="F424" s="12" t="s">
        <v>45</v>
      </c>
      <c r="G424" s="12" t="s">
        <v>232</v>
      </c>
      <c r="H424" s="12"/>
      <c r="I424" s="14">
        <v>45527</v>
      </c>
      <c r="J424" s="12" t="s">
        <v>1089</v>
      </c>
    </row>
    <row r="425" spans="1:10" s="15" customFormat="1" x14ac:dyDescent="0.15">
      <c r="A425" s="11">
        <v>45531</v>
      </c>
      <c r="B425" s="12" t="s">
        <v>49</v>
      </c>
      <c r="C425" s="12" t="s">
        <v>86</v>
      </c>
      <c r="D425" s="13" t="str">
        <f>HYPERLINK("https://www.marklines.com/en/global/2937","Volkswagen do Brasil, Sao Carlos Plant")</f>
        <v>Volkswagen do Brasil, Sao Carlos Plant</v>
      </c>
      <c r="E425" s="12" t="s">
        <v>1093</v>
      </c>
      <c r="F425" s="12" t="s">
        <v>45</v>
      </c>
      <c r="G425" s="12" t="s">
        <v>232</v>
      </c>
      <c r="H425" s="12"/>
      <c r="I425" s="14">
        <v>45527</v>
      </c>
      <c r="J425" s="12" t="s">
        <v>1089</v>
      </c>
    </row>
    <row r="426" spans="1:10" s="15" customFormat="1" x14ac:dyDescent="0.15">
      <c r="A426" s="11">
        <v>45531</v>
      </c>
      <c r="B426" s="12" t="s">
        <v>23</v>
      </c>
      <c r="C426" s="12" t="s">
        <v>23</v>
      </c>
      <c r="D426" s="13" t="str">
        <f>HYPERLINK("https://www.marklines.com/en/global/10665","Tesla Gigafactory New York")</f>
        <v>Tesla Gigafactory New York</v>
      </c>
      <c r="E426" s="12" t="s">
        <v>775</v>
      </c>
      <c r="F426" s="12" t="s">
        <v>16</v>
      </c>
      <c r="G426" s="12" t="s">
        <v>17</v>
      </c>
      <c r="H426" s="12" t="s">
        <v>776</v>
      </c>
      <c r="I426" s="14">
        <v>45527</v>
      </c>
      <c r="J426" s="12" t="s">
        <v>1094</v>
      </c>
    </row>
    <row r="427" spans="1:10" s="15" customFormat="1" x14ac:dyDescent="0.15">
      <c r="A427" s="11">
        <v>45531</v>
      </c>
      <c r="B427" s="12" t="s">
        <v>38</v>
      </c>
      <c r="C427" s="12" t="s">
        <v>966</v>
      </c>
      <c r="D427" s="13" t="str">
        <f>HYPERLINK("https://www.marklines.com/en/global/10447","Beijing Automobile Works (Qingdao) Co., Ltd.")</f>
        <v>Beijing Automobile Works (Qingdao) Co., Ltd.</v>
      </c>
      <c r="E427" s="12" t="s">
        <v>967</v>
      </c>
      <c r="F427" s="12" t="s">
        <v>21</v>
      </c>
      <c r="G427" s="12" t="s">
        <v>47</v>
      </c>
      <c r="H427" s="12" t="s">
        <v>116</v>
      </c>
      <c r="I427" s="14">
        <v>45526</v>
      </c>
      <c r="J427" s="12" t="s">
        <v>1095</v>
      </c>
    </row>
    <row r="428" spans="1:10" s="15" customFormat="1" x14ac:dyDescent="0.15">
      <c r="A428" s="11">
        <v>45531</v>
      </c>
      <c r="B428" s="12" t="s">
        <v>290</v>
      </c>
      <c r="C428" s="12" t="s">
        <v>1096</v>
      </c>
      <c r="D428" s="13" t="str">
        <f>HYPERLINK("https://www.marklines.com/en/global/10795","VOYAH Automobile Technology Co., Ltd.")</f>
        <v>VOYAH Automobile Technology Co., Ltd.</v>
      </c>
      <c r="E428" s="12" t="s">
        <v>1097</v>
      </c>
      <c r="F428" s="12" t="s">
        <v>21</v>
      </c>
      <c r="G428" s="12" t="s">
        <v>47</v>
      </c>
      <c r="H428" s="12" t="s">
        <v>294</v>
      </c>
      <c r="I428" s="14">
        <v>45526</v>
      </c>
      <c r="J428" s="12" t="s">
        <v>1098</v>
      </c>
    </row>
    <row r="429" spans="1:10" s="15" customFormat="1" x14ac:dyDescent="0.15">
      <c r="A429" s="11">
        <v>45531</v>
      </c>
      <c r="B429" s="12" t="s">
        <v>287</v>
      </c>
      <c r="C429" s="12" t="s">
        <v>934</v>
      </c>
      <c r="D429" s="13" t="str">
        <f>HYPERLINK("https://www.marklines.com/en/global/10637","Avatr Technology (Chongqing) Co., Ltd. ")</f>
        <v xml:space="preserve">Avatr Technology (Chongqing) Co., Ltd. </v>
      </c>
      <c r="E429" s="12" t="s">
        <v>935</v>
      </c>
      <c r="F429" s="12" t="s">
        <v>21</v>
      </c>
      <c r="G429" s="12" t="s">
        <v>47</v>
      </c>
      <c r="H429" s="12" t="s">
        <v>362</v>
      </c>
      <c r="I429" s="14">
        <v>45525</v>
      </c>
      <c r="J429" s="12" t="s">
        <v>1099</v>
      </c>
    </row>
    <row r="430" spans="1:10" s="15" customFormat="1" x14ac:dyDescent="0.15">
      <c r="A430" s="11">
        <v>45531</v>
      </c>
      <c r="B430" s="12" t="s">
        <v>287</v>
      </c>
      <c r="C430" s="12" t="s">
        <v>934</v>
      </c>
      <c r="D430" s="13" t="str">
        <f>HYPERLINK("https://www.marklines.com/en/global/4163","Chongqing Changan Automobile Co., Ltd.")</f>
        <v>Chongqing Changan Automobile Co., Ltd.</v>
      </c>
      <c r="E430" s="12" t="s">
        <v>542</v>
      </c>
      <c r="F430" s="12" t="s">
        <v>21</v>
      </c>
      <c r="G430" s="12" t="s">
        <v>47</v>
      </c>
      <c r="H430" s="12" t="s">
        <v>362</v>
      </c>
      <c r="I430" s="14">
        <v>45525</v>
      </c>
      <c r="J430" s="12" t="s">
        <v>1099</v>
      </c>
    </row>
    <row r="431" spans="1:10" s="15" customFormat="1" x14ac:dyDescent="0.15">
      <c r="A431" s="11">
        <v>45531</v>
      </c>
      <c r="B431" s="12" t="s">
        <v>1100</v>
      </c>
      <c r="C431" s="12" t="s">
        <v>1100</v>
      </c>
      <c r="D431" s="13" t="str">
        <f>HYPERLINK("https://www.marklines.com/en/global/3929","Fujian Motor Industry Group Co., Ltd.  (FJMG) ")</f>
        <v xml:space="preserve">Fujian Motor Industry Group Co., Ltd.  (FJMG) </v>
      </c>
      <c r="E431" s="12" t="s">
        <v>1101</v>
      </c>
      <c r="F431" s="12" t="s">
        <v>21</v>
      </c>
      <c r="G431" s="12" t="s">
        <v>47</v>
      </c>
      <c r="H431" s="12" t="s">
        <v>832</v>
      </c>
      <c r="I431" s="14">
        <v>45524</v>
      </c>
      <c r="J431" s="12" t="s">
        <v>1102</v>
      </c>
    </row>
    <row r="432" spans="1:10" s="15" customFormat="1" x14ac:dyDescent="0.15">
      <c r="A432" s="11">
        <v>45530</v>
      </c>
      <c r="B432" s="12" t="s">
        <v>35</v>
      </c>
      <c r="C432" s="12" t="s">
        <v>35</v>
      </c>
      <c r="D432" s="13" t="str">
        <f>HYPERLINK("https://www.marklines.com/en/global/10483","United Fuel Cell System R&amp;D (Beijing) Co., Ltd. (FCRD)")</f>
        <v>United Fuel Cell System R&amp;D (Beijing) Co., Ltd. (FCRD)</v>
      </c>
      <c r="E432" s="12" t="s">
        <v>1103</v>
      </c>
      <c r="F432" s="12" t="s">
        <v>21</v>
      </c>
      <c r="G432" s="12" t="s">
        <v>47</v>
      </c>
      <c r="H432" s="12" t="s">
        <v>56</v>
      </c>
      <c r="I432" s="14">
        <v>45525</v>
      </c>
      <c r="J432" s="12" t="s">
        <v>1104</v>
      </c>
    </row>
    <row r="433" spans="1:10" s="15" customFormat="1" x14ac:dyDescent="0.15">
      <c r="A433" s="11">
        <v>45530</v>
      </c>
      <c r="B433" s="12" t="s">
        <v>35</v>
      </c>
      <c r="C433" s="12" t="s">
        <v>35</v>
      </c>
      <c r="D433" s="13" t="str">
        <f>HYPERLINK("https://www.marklines.com/en/global/10585","Toyota Sinohytec Fuel Cell Co., Ltd. (FCTS)")</f>
        <v>Toyota Sinohytec Fuel Cell Co., Ltd. (FCTS)</v>
      </c>
      <c r="E433" s="12" t="s">
        <v>1105</v>
      </c>
      <c r="F433" s="12" t="s">
        <v>21</v>
      </c>
      <c r="G433" s="12" t="s">
        <v>47</v>
      </c>
      <c r="H433" s="12" t="s">
        <v>56</v>
      </c>
      <c r="I433" s="14">
        <v>45525</v>
      </c>
      <c r="J433" s="12" t="s">
        <v>1104</v>
      </c>
    </row>
    <row r="434" spans="1:10" s="15" customFormat="1" x14ac:dyDescent="0.15">
      <c r="A434" s="11">
        <v>45530</v>
      </c>
      <c r="B434" s="12" t="s">
        <v>59</v>
      </c>
      <c r="C434" s="12" t="s">
        <v>253</v>
      </c>
      <c r="D434" s="13" t="str">
        <f>HYPERLINK("https://www.marklines.com/en/global/8808","GAC Aion New Energy Automobile Co., Ltd. Changsha Branch (formerly GAC Mitsubishi Motors Co., Ltd.)")</f>
        <v>GAC Aion New Energy Automobile Co., Ltd. Changsha Branch (formerly GAC Mitsubishi Motors Co., Ltd.)</v>
      </c>
      <c r="E434" s="12" t="s">
        <v>1106</v>
      </c>
      <c r="F434" s="12" t="s">
        <v>21</v>
      </c>
      <c r="G434" s="12" t="s">
        <v>47</v>
      </c>
      <c r="H434" s="12" t="s">
        <v>700</v>
      </c>
      <c r="I434" s="14">
        <v>45525</v>
      </c>
      <c r="J434" s="12" t="s">
        <v>1107</v>
      </c>
    </row>
    <row r="435" spans="1:10" s="15" customFormat="1" x14ac:dyDescent="0.15">
      <c r="A435" s="11">
        <v>45530</v>
      </c>
      <c r="B435" s="12" t="s">
        <v>70</v>
      </c>
      <c r="C435" s="12" t="s">
        <v>1108</v>
      </c>
      <c r="D435" s="13" t="str">
        <f>HYPERLINK("https://www.marklines.com/en/global/4125","BYD Automobile Industry Co., Ltd., Shenzhen Plant")</f>
        <v>BYD Automobile Industry Co., Ltd., Shenzhen Plant</v>
      </c>
      <c r="E435" s="12" t="s">
        <v>273</v>
      </c>
      <c r="F435" s="12" t="s">
        <v>21</v>
      </c>
      <c r="G435" s="12" t="s">
        <v>47</v>
      </c>
      <c r="H435" s="12" t="s">
        <v>48</v>
      </c>
      <c r="I435" s="14">
        <v>45524</v>
      </c>
      <c r="J435" s="12" t="s">
        <v>1109</v>
      </c>
    </row>
    <row r="436" spans="1:10" s="15" customFormat="1" x14ac:dyDescent="0.15">
      <c r="A436" s="11">
        <v>45530</v>
      </c>
      <c r="B436" s="12" t="s">
        <v>51</v>
      </c>
      <c r="C436" s="12" t="s">
        <v>51</v>
      </c>
      <c r="D436" s="13" t="str">
        <f>HYPERLINK("https://www.marklines.com/en/global/10494","Feifan Automotive Technology Co., Ltd.")</f>
        <v>Feifan Automotive Technology Co., Ltd.</v>
      </c>
      <c r="E436" s="12" t="s">
        <v>1110</v>
      </c>
      <c r="F436" s="12" t="s">
        <v>21</v>
      </c>
      <c r="G436" s="12" t="s">
        <v>47</v>
      </c>
      <c r="H436" s="12" t="s">
        <v>94</v>
      </c>
      <c r="I436" s="14">
        <v>45524</v>
      </c>
      <c r="J436" s="12" t="s">
        <v>1111</v>
      </c>
    </row>
    <row r="437" spans="1:10" s="15" customFormat="1" x14ac:dyDescent="0.15">
      <c r="A437" s="11">
        <v>45530</v>
      </c>
      <c r="B437" s="12" t="s">
        <v>51</v>
      </c>
      <c r="C437" s="12" t="s">
        <v>51</v>
      </c>
      <c r="D437" s="13" t="str">
        <f>HYPERLINK("https://www.marklines.com/en/global/10383","Zhiji Motor Technology Co., Ltd.")</f>
        <v>Zhiji Motor Technology Co., Ltd.</v>
      </c>
      <c r="E437" s="12" t="s">
        <v>1112</v>
      </c>
      <c r="F437" s="12" t="s">
        <v>21</v>
      </c>
      <c r="G437" s="12" t="s">
        <v>47</v>
      </c>
      <c r="H437" s="12" t="s">
        <v>94</v>
      </c>
      <c r="I437" s="14">
        <v>45524</v>
      </c>
      <c r="J437" s="12" t="s">
        <v>1111</v>
      </c>
    </row>
    <row r="438" spans="1:10" s="15" customFormat="1" x14ac:dyDescent="0.15">
      <c r="A438" s="11">
        <v>45530</v>
      </c>
      <c r="B438" s="12" t="s">
        <v>51</v>
      </c>
      <c r="C438" s="12" t="s">
        <v>51</v>
      </c>
      <c r="D438" s="13" t="str">
        <f>HYPERLINK("https://www.marklines.com/en/global/3609","SAIC Motor Corporation Limited")</f>
        <v>SAIC Motor Corporation Limited</v>
      </c>
      <c r="E438" s="12" t="s">
        <v>137</v>
      </c>
      <c r="F438" s="12" t="s">
        <v>21</v>
      </c>
      <c r="G438" s="12" t="s">
        <v>47</v>
      </c>
      <c r="H438" s="12" t="s">
        <v>94</v>
      </c>
      <c r="I438" s="14">
        <v>45524</v>
      </c>
      <c r="J438" s="12" t="s">
        <v>1111</v>
      </c>
    </row>
    <row r="439" spans="1:10" s="15" customFormat="1" x14ac:dyDescent="0.15">
      <c r="A439" s="11">
        <v>45530</v>
      </c>
      <c r="B439" s="12" t="s">
        <v>82</v>
      </c>
      <c r="C439" s="12" t="s">
        <v>82</v>
      </c>
      <c r="D439" s="13" t="str">
        <f>HYPERLINK("https://www.marklines.com/en/global/9129","BAIC Group Off-road Vehicle Co., Ltd. (formerly Beijing Automotive Group Off-road Vehicle Co., Ltd.) ")</f>
        <v xml:space="preserve">BAIC Group Off-road Vehicle Co., Ltd. (formerly Beijing Automotive Group Off-road Vehicle Co., Ltd.) </v>
      </c>
      <c r="E439" s="12" t="s">
        <v>1113</v>
      </c>
      <c r="F439" s="12" t="s">
        <v>21</v>
      </c>
      <c r="G439" s="12" t="s">
        <v>47</v>
      </c>
      <c r="H439" s="12" t="s">
        <v>56</v>
      </c>
      <c r="I439" s="14">
        <v>45524</v>
      </c>
      <c r="J439" s="12" t="s">
        <v>1114</v>
      </c>
    </row>
    <row r="440" spans="1:10" s="15" customFormat="1" x14ac:dyDescent="0.15">
      <c r="A440" s="11">
        <v>45528</v>
      </c>
      <c r="B440" s="12" t="s">
        <v>77</v>
      </c>
      <c r="C440" s="12" t="s">
        <v>77</v>
      </c>
      <c r="D440" s="13" t="str">
        <f>HYPERLINK("https://www.marklines.com/en/global/3187","Nissan North America, Canton Plant")</f>
        <v>Nissan North America, Canton Plant</v>
      </c>
      <c r="E440" s="12" t="s">
        <v>773</v>
      </c>
      <c r="F440" s="12" t="s">
        <v>16</v>
      </c>
      <c r="G440" s="12" t="s">
        <v>17</v>
      </c>
      <c r="H440" s="12" t="s">
        <v>143</v>
      </c>
      <c r="I440" s="14">
        <v>45527</v>
      </c>
      <c r="J440" s="12" t="s">
        <v>1115</v>
      </c>
    </row>
    <row r="441" spans="1:10" s="15" customFormat="1" x14ac:dyDescent="0.15">
      <c r="A441" s="11">
        <v>45528</v>
      </c>
      <c r="B441" s="12" t="s">
        <v>49</v>
      </c>
      <c r="C441" s="12" t="s">
        <v>86</v>
      </c>
      <c r="D441" s="13" t="str">
        <f>HYPERLINK("https://www.marklines.com/en/global/2815","Volkswagen Argentina, General Pacheco Plant")</f>
        <v>Volkswagen Argentina, General Pacheco Plant</v>
      </c>
      <c r="E441" s="12" t="s">
        <v>154</v>
      </c>
      <c r="F441" s="12" t="s">
        <v>45</v>
      </c>
      <c r="G441" s="12" t="s">
        <v>79</v>
      </c>
      <c r="H441" s="12"/>
      <c r="I441" s="14">
        <v>45526</v>
      </c>
      <c r="J441" s="12" t="s">
        <v>1116</v>
      </c>
    </row>
    <row r="442" spans="1:10" s="15" customFormat="1" x14ac:dyDescent="0.15">
      <c r="A442" s="11">
        <v>45528</v>
      </c>
      <c r="B442" s="12" t="s">
        <v>49</v>
      </c>
      <c r="C442" s="12" t="s">
        <v>86</v>
      </c>
      <c r="D442" s="13" t="str">
        <f>HYPERLINK("https://www.marklines.com/en/global/3031","Volkswagen Argentina S.A., Volkswagen Truck &amp; Bus (VWTB) / Volkswagen Camiones y Buses (VWCB), Cordoba Plant")</f>
        <v>Volkswagen Argentina S.A., Volkswagen Truck &amp; Bus (VWTB) / Volkswagen Camiones y Buses (VWCB), Cordoba Plant</v>
      </c>
      <c r="E442" s="12" t="s">
        <v>1004</v>
      </c>
      <c r="F442" s="12" t="s">
        <v>45</v>
      </c>
      <c r="G442" s="12" t="s">
        <v>79</v>
      </c>
      <c r="H442" s="12"/>
      <c r="I442" s="14">
        <v>45526</v>
      </c>
      <c r="J442" s="12" t="s">
        <v>1116</v>
      </c>
    </row>
    <row r="443" spans="1:10" s="15" customFormat="1" x14ac:dyDescent="0.15">
      <c r="A443" s="11">
        <v>45528</v>
      </c>
      <c r="B443" s="12" t="s">
        <v>43</v>
      </c>
      <c r="C443" s="12" t="s">
        <v>732</v>
      </c>
      <c r="D443" s="13" t="str">
        <f>HYPERLINK("https://www.marklines.com/en/global/2523","General Motors, Spring Hill Manufacturing (formerly Spring Hill Assembly)")</f>
        <v>General Motors, Spring Hill Manufacturing (formerly Spring Hill Assembly)</v>
      </c>
      <c r="E443" s="12" t="s">
        <v>697</v>
      </c>
      <c r="F443" s="12" t="s">
        <v>16</v>
      </c>
      <c r="G443" s="12" t="s">
        <v>17</v>
      </c>
      <c r="H443" s="12" t="s">
        <v>481</v>
      </c>
      <c r="I443" s="14">
        <v>45520</v>
      </c>
      <c r="J443" s="12" t="s">
        <v>1117</v>
      </c>
    </row>
    <row r="444" spans="1:10" s="15" customFormat="1" x14ac:dyDescent="0.15">
      <c r="A444" s="11">
        <v>45527</v>
      </c>
      <c r="B444" s="12" t="s">
        <v>11</v>
      </c>
      <c r="C444" s="12" t="s">
        <v>11</v>
      </c>
      <c r="D444" s="13" t="str">
        <f>HYPERLINK("https://www.marklines.com/en/global/1935","Stellantis, Peugeot Citroen Automoviles Espana S.A., Villaverde (Madrid) Plant")</f>
        <v>Stellantis, Peugeot Citroen Automoviles Espana S.A., Villaverde (Madrid) Plant</v>
      </c>
      <c r="E444" s="12" t="s">
        <v>911</v>
      </c>
      <c r="F444" s="12" t="s">
        <v>13</v>
      </c>
      <c r="G444" s="12" t="s">
        <v>14</v>
      </c>
      <c r="H444" s="12"/>
      <c r="I444" s="14">
        <v>45526</v>
      </c>
      <c r="J444" s="12" t="s">
        <v>912</v>
      </c>
    </row>
    <row r="445" spans="1:10" s="15" customFormat="1" x14ac:dyDescent="0.15">
      <c r="A445" s="11">
        <v>45527</v>
      </c>
      <c r="B445" s="12" t="s">
        <v>11</v>
      </c>
      <c r="C445" s="12" t="s">
        <v>11</v>
      </c>
      <c r="D445" s="13" t="str">
        <f>HYPERLINK("https://www.marklines.com/en/global/1343","Stellantis, Fiat Powertrain Technologies, Termoli Plant / Automotive Cell Company (ACC), Termoli Plant")</f>
        <v>Stellantis, Fiat Powertrain Technologies, Termoli Plant / Automotive Cell Company (ACC), Termoli Plant</v>
      </c>
      <c r="E445" s="12" t="s">
        <v>491</v>
      </c>
      <c r="F445" s="12" t="s">
        <v>13</v>
      </c>
      <c r="G445" s="12" t="s">
        <v>216</v>
      </c>
      <c r="H445" s="12"/>
      <c r="I445" s="14">
        <v>45526</v>
      </c>
      <c r="J445" s="12" t="s">
        <v>913</v>
      </c>
    </row>
    <row r="446" spans="1:10" s="15" customFormat="1" x14ac:dyDescent="0.15">
      <c r="A446" s="11">
        <v>45527</v>
      </c>
      <c r="B446" s="12" t="s">
        <v>785</v>
      </c>
      <c r="C446" s="12" t="s">
        <v>914</v>
      </c>
      <c r="D446" s="13" t="str">
        <f>HYPERLINK("https://www.marklines.com/en/global/10442","KGM COMMERCIAL (formerly EDISON MOTORS Co., Ltd.), Hamyang Plant")</f>
        <v>KGM COMMERCIAL (formerly EDISON MOTORS Co., Ltd.), Hamyang Plant</v>
      </c>
      <c r="E446" s="12" t="s">
        <v>915</v>
      </c>
      <c r="F446" s="12" t="s">
        <v>21</v>
      </c>
      <c r="G446" s="12" t="s">
        <v>85</v>
      </c>
      <c r="H446" s="12"/>
      <c r="I446" s="14">
        <v>45526</v>
      </c>
      <c r="J446" s="12" t="s">
        <v>916</v>
      </c>
    </row>
    <row r="447" spans="1:10" s="15" customFormat="1" x14ac:dyDescent="0.15">
      <c r="A447" s="11">
        <v>45527</v>
      </c>
      <c r="B447" s="12" t="s">
        <v>78</v>
      </c>
      <c r="C447" s="12" t="s">
        <v>78</v>
      </c>
      <c r="D447" s="13" t="str">
        <f>HYPERLINK("https://www.marklines.com/en/global/1133","Daimler India Commercial Vehicles (DICV), Oragadam (Chennai) Plant")</f>
        <v>Daimler India Commercial Vehicles (DICV), Oragadam (Chennai) Plant</v>
      </c>
      <c r="E447" s="12" t="s">
        <v>917</v>
      </c>
      <c r="F447" s="12" t="s">
        <v>36</v>
      </c>
      <c r="G447" s="12" t="s">
        <v>37</v>
      </c>
      <c r="H447" s="12" t="s">
        <v>84</v>
      </c>
      <c r="I447" s="14">
        <v>45526</v>
      </c>
      <c r="J447" s="12" t="s">
        <v>918</v>
      </c>
    </row>
    <row r="448" spans="1:10" s="15" customFormat="1" x14ac:dyDescent="0.15">
      <c r="A448" s="11">
        <v>45527</v>
      </c>
      <c r="B448" s="12" t="s">
        <v>23</v>
      </c>
      <c r="C448" s="12" t="s">
        <v>23</v>
      </c>
      <c r="D448" s="13" t="str">
        <f>HYPERLINK("https://www.marklines.com/en/global/3283","Tesla, Fremont Plant")</f>
        <v>Tesla, Fremont Plant</v>
      </c>
      <c r="E448" s="12" t="s">
        <v>642</v>
      </c>
      <c r="F448" s="12" t="s">
        <v>16</v>
      </c>
      <c r="G448" s="12" t="s">
        <v>17</v>
      </c>
      <c r="H448" s="12" t="s">
        <v>445</v>
      </c>
      <c r="I448" s="14">
        <v>45526</v>
      </c>
      <c r="J448" s="12" t="s">
        <v>919</v>
      </c>
    </row>
    <row r="449" spans="1:10" s="15" customFormat="1" x14ac:dyDescent="0.15">
      <c r="A449" s="11">
        <v>45527</v>
      </c>
      <c r="B449" s="12" t="s">
        <v>23</v>
      </c>
      <c r="C449" s="12" t="s">
        <v>23</v>
      </c>
      <c r="D449" s="13" t="str">
        <f>HYPERLINK("https://www.marklines.com/en/global/4512","Tesla Gigafactory Nevada")</f>
        <v>Tesla Gigafactory Nevada</v>
      </c>
      <c r="E449" s="12" t="s">
        <v>347</v>
      </c>
      <c r="F449" s="12" t="s">
        <v>16</v>
      </c>
      <c r="G449" s="12" t="s">
        <v>17</v>
      </c>
      <c r="H449" s="12" t="s">
        <v>348</v>
      </c>
      <c r="I449" s="14">
        <v>45526</v>
      </c>
      <c r="J449" s="12" t="s">
        <v>919</v>
      </c>
    </row>
    <row r="450" spans="1:10" s="15" customFormat="1" x14ac:dyDescent="0.15">
      <c r="A450" s="11">
        <v>45527</v>
      </c>
      <c r="B450" s="12" t="s">
        <v>224</v>
      </c>
      <c r="C450" s="12" t="s">
        <v>570</v>
      </c>
      <c r="D450" s="13" t="str">
        <f>HYPERLINK("https://www.marklines.com/en/global/2459","General Motors, Factory ZERO (Detroit-Hamtramck Plant) ")</f>
        <v xml:space="preserve">General Motors, Factory ZERO (Detroit-Hamtramck Plant) </v>
      </c>
      <c r="E450" s="12" t="s">
        <v>520</v>
      </c>
      <c r="F450" s="12" t="s">
        <v>16</v>
      </c>
      <c r="G450" s="12" t="s">
        <v>17</v>
      </c>
      <c r="H450" s="12" t="s">
        <v>19</v>
      </c>
      <c r="I450" s="14">
        <v>45525</v>
      </c>
      <c r="J450" s="12" t="s">
        <v>920</v>
      </c>
    </row>
    <row r="451" spans="1:10" s="15" customFormat="1" x14ac:dyDescent="0.15">
      <c r="A451" s="11">
        <v>45527</v>
      </c>
      <c r="B451" s="12" t="s">
        <v>15</v>
      </c>
      <c r="C451" s="12" t="s">
        <v>15</v>
      </c>
      <c r="D451" s="13" t="str">
        <f>HYPERLINK("https://www.marklines.com/en/global/10759","Ford, BlueOval Battery Park Michigan")</f>
        <v>Ford, BlueOval Battery Park Michigan</v>
      </c>
      <c r="E451" s="12" t="s">
        <v>312</v>
      </c>
      <c r="F451" s="12" t="s">
        <v>16</v>
      </c>
      <c r="G451" s="12" t="s">
        <v>17</v>
      </c>
      <c r="H451" s="12" t="s">
        <v>19</v>
      </c>
      <c r="I451" s="14">
        <v>45525</v>
      </c>
      <c r="J451" s="12" t="s">
        <v>921</v>
      </c>
    </row>
    <row r="452" spans="1:10" s="15" customFormat="1" x14ac:dyDescent="0.15">
      <c r="A452" s="11">
        <v>45527</v>
      </c>
      <c r="B452" s="12" t="s">
        <v>15</v>
      </c>
      <c r="C452" s="12" t="s">
        <v>15</v>
      </c>
      <c r="D452" s="13" t="str">
        <f>HYPERLINK("https://www.marklines.com/en/global/2589","Ford Motor, Ohio Assembly Plant")</f>
        <v>Ford Motor, Ohio Assembly Plant</v>
      </c>
      <c r="E452" s="12" t="s">
        <v>922</v>
      </c>
      <c r="F452" s="12" t="s">
        <v>16</v>
      </c>
      <c r="G452" s="12" t="s">
        <v>17</v>
      </c>
      <c r="H452" s="12" t="s">
        <v>18</v>
      </c>
      <c r="I452" s="14">
        <v>45525</v>
      </c>
      <c r="J452" s="12" t="s">
        <v>921</v>
      </c>
    </row>
    <row r="453" spans="1:10" s="15" customFormat="1" x14ac:dyDescent="0.15">
      <c r="A453" s="11">
        <v>45527</v>
      </c>
      <c r="B453" s="12" t="s">
        <v>15</v>
      </c>
      <c r="C453" s="12" t="s">
        <v>15</v>
      </c>
      <c r="D453" s="13" t="str">
        <f>HYPERLINK("https://www.marklines.com/en/global/10432","Ford, BlueOval SK Battery Park ")</f>
        <v xml:space="preserve">Ford, BlueOval SK Battery Park </v>
      </c>
      <c r="E453" s="12" t="s">
        <v>923</v>
      </c>
      <c r="F453" s="12" t="s">
        <v>16</v>
      </c>
      <c r="G453" s="12" t="s">
        <v>17</v>
      </c>
      <c r="H453" s="12" t="s">
        <v>260</v>
      </c>
      <c r="I453" s="14">
        <v>45525</v>
      </c>
      <c r="J453" s="12" t="s">
        <v>921</v>
      </c>
    </row>
    <row r="454" spans="1:10" s="15" customFormat="1" x14ac:dyDescent="0.15">
      <c r="A454" s="11">
        <v>45527</v>
      </c>
      <c r="B454" s="12" t="s">
        <v>15</v>
      </c>
      <c r="C454" s="12" t="s">
        <v>15</v>
      </c>
      <c r="D454" s="13" t="str">
        <f>HYPERLINK("https://www.marklines.com/en/global/10431","Ford, BlueOval City/ BlueOval SK battery plant")</f>
        <v>Ford, BlueOval City/ BlueOval SK battery plant</v>
      </c>
      <c r="E454" s="12" t="s">
        <v>480</v>
      </c>
      <c r="F454" s="12" t="s">
        <v>16</v>
      </c>
      <c r="G454" s="12" t="s">
        <v>17</v>
      </c>
      <c r="H454" s="12" t="s">
        <v>481</v>
      </c>
      <c r="I454" s="14">
        <v>45525</v>
      </c>
      <c r="J454" s="12" t="s">
        <v>921</v>
      </c>
    </row>
    <row r="455" spans="1:10" s="15" customFormat="1" x14ac:dyDescent="0.15">
      <c r="A455" s="11">
        <v>45527</v>
      </c>
      <c r="B455" s="12" t="s">
        <v>55</v>
      </c>
      <c r="C455" s="12" t="s">
        <v>55</v>
      </c>
      <c r="D455" s="13" t="str">
        <f>HYPERLINK("https://www.marklines.com/en/global/3141","Hyundai Motor Manufacturing Alabama, LLC, Montgomery Plant")</f>
        <v>Hyundai Motor Manufacturing Alabama, LLC, Montgomery Plant</v>
      </c>
      <c r="E455" s="12" t="s">
        <v>924</v>
      </c>
      <c r="F455" s="12" t="s">
        <v>16</v>
      </c>
      <c r="G455" s="12" t="s">
        <v>17</v>
      </c>
      <c r="H455" s="12" t="s">
        <v>310</v>
      </c>
      <c r="I455" s="14">
        <v>45525</v>
      </c>
      <c r="J455" s="12" t="s">
        <v>925</v>
      </c>
    </row>
    <row r="456" spans="1:10" s="15" customFormat="1" x14ac:dyDescent="0.15">
      <c r="A456" s="11">
        <v>45527</v>
      </c>
      <c r="B456" s="12" t="s">
        <v>58</v>
      </c>
      <c r="C456" s="12" t="s">
        <v>58</v>
      </c>
      <c r="D456" s="13" t="str">
        <f>HYPERLINK("https://www.marklines.com/en/global/3339","China FAW Corporation Limited Weishan 2nd Plant")</f>
        <v>China FAW Corporation Limited Weishan 2nd Plant</v>
      </c>
      <c r="E456" s="12" t="s">
        <v>926</v>
      </c>
      <c r="F456" s="12" t="s">
        <v>21</v>
      </c>
      <c r="G456" s="12" t="s">
        <v>47</v>
      </c>
      <c r="H456" s="12" t="s">
        <v>57</v>
      </c>
      <c r="I456" s="14">
        <v>45524</v>
      </c>
      <c r="J456" s="12" t="s">
        <v>927</v>
      </c>
    </row>
    <row r="457" spans="1:10" s="15" customFormat="1" x14ac:dyDescent="0.15">
      <c r="A457" s="11">
        <v>45527</v>
      </c>
      <c r="B457" s="12" t="s">
        <v>30</v>
      </c>
      <c r="C457" s="12" t="s">
        <v>30</v>
      </c>
      <c r="D457" s="13" t="str">
        <f>HYPERLINK("https://www.marklines.com/en/global/3153","Rivian, Normal Plant (former Mitsubishi Motors North America, Normal Plant)")</f>
        <v>Rivian, Normal Plant (former Mitsubishi Motors North America, Normal Plant)</v>
      </c>
      <c r="E457" s="12" t="s">
        <v>31</v>
      </c>
      <c r="F457" s="12" t="s">
        <v>16</v>
      </c>
      <c r="G457" s="12" t="s">
        <v>17</v>
      </c>
      <c r="H457" s="12" t="s">
        <v>32</v>
      </c>
      <c r="I457" s="14">
        <v>45523</v>
      </c>
      <c r="J457" s="12" t="s">
        <v>928</v>
      </c>
    </row>
    <row r="458" spans="1:10" s="15" customFormat="1" x14ac:dyDescent="0.15">
      <c r="A458" s="11">
        <v>45526</v>
      </c>
      <c r="B458" s="12" t="s">
        <v>38</v>
      </c>
      <c r="C458" s="12" t="s">
        <v>38</v>
      </c>
      <c r="D458" s="13" t="str">
        <f>HYPERLINK("https://www.marklines.com/en/global/753","LLC PCMA Rus (Peugeot Citroen Mitsubishi Automotiv Rus), Kaluga Plant")</f>
        <v>LLC PCMA Rus (Peugeot Citroen Mitsubishi Automotiv Rus), Kaluga Plant</v>
      </c>
      <c r="E458" s="12" t="s">
        <v>929</v>
      </c>
      <c r="F458" s="12" t="s">
        <v>61</v>
      </c>
      <c r="G458" s="12" t="s">
        <v>235</v>
      </c>
      <c r="H458" s="12"/>
      <c r="I458" s="14">
        <v>45525</v>
      </c>
      <c r="J458" s="12" t="s">
        <v>930</v>
      </c>
    </row>
    <row r="459" spans="1:10" s="15" customFormat="1" x14ac:dyDescent="0.15">
      <c r="A459" s="11">
        <v>45526</v>
      </c>
      <c r="B459" s="12" t="s">
        <v>11</v>
      </c>
      <c r="C459" s="12" t="s">
        <v>11</v>
      </c>
      <c r="D459" s="13" t="str">
        <f>HYPERLINK("https://www.marklines.com/en/global/843","Stellantis, FCA Mexico, Toluca Assembly Plant")</f>
        <v>Stellantis, FCA Mexico, Toluca Assembly Plant</v>
      </c>
      <c r="E459" s="12" t="s">
        <v>931</v>
      </c>
      <c r="F459" s="12" t="s">
        <v>16</v>
      </c>
      <c r="G459" s="12" t="s">
        <v>229</v>
      </c>
      <c r="H459" s="12"/>
      <c r="I459" s="14">
        <v>45525</v>
      </c>
      <c r="J459" s="12" t="s">
        <v>932</v>
      </c>
    </row>
    <row r="460" spans="1:10" s="15" customFormat="1" x14ac:dyDescent="0.15">
      <c r="A460" s="11">
        <v>45526</v>
      </c>
      <c r="B460" s="12" t="s">
        <v>287</v>
      </c>
      <c r="C460" s="12" t="s">
        <v>287</v>
      </c>
      <c r="D460" s="13" t="str">
        <f>HYPERLINK("https://www.marklines.com/en/global/3449","China Changan Automobile Group Co., Ltd. ")</f>
        <v xml:space="preserve">China Changan Automobile Group Co., Ltd. </v>
      </c>
      <c r="E460" s="12" t="s">
        <v>288</v>
      </c>
      <c r="F460" s="12" t="s">
        <v>21</v>
      </c>
      <c r="G460" s="12" t="s">
        <v>47</v>
      </c>
      <c r="H460" s="12" t="s">
        <v>56</v>
      </c>
      <c r="I460" s="14">
        <v>45524</v>
      </c>
      <c r="J460" s="12" t="s">
        <v>933</v>
      </c>
    </row>
    <row r="461" spans="1:10" s="15" customFormat="1" x14ac:dyDescent="0.15">
      <c r="A461" s="11">
        <v>45526</v>
      </c>
      <c r="B461" s="12" t="s">
        <v>287</v>
      </c>
      <c r="C461" s="12" t="s">
        <v>934</v>
      </c>
      <c r="D461" s="13" t="str">
        <f>HYPERLINK("https://www.marklines.com/en/global/10637","Avatr Technology (Chongqing) Co., Ltd. ")</f>
        <v xml:space="preserve">Avatr Technology (Chongqing) Co., Ltd. </v>
      </c>
      <c r="E461" s="12" t="s">
        <v>935</v>
      </c>
      <c r="F461" s="12" t="s">
        <v>21</v>
      </c>
      <c r="G461" s="12" t="s">
        <v>47</v>
      </c>
      <c r="H461" s="12" t="s">
        <v>362</v>
      </c>
      <c r="I461" s="14">
        <v>45524</v>
      </c>
      <c r="J461" s="12" t="s">
        <v>933</v>
      </c>
    </row>
    <row r="462" spans="1:10" s="15" customFormat="1" x14ac:dyDescent="0.15">
      <c r="A462" s="11">
        <v>45526</v>
      </c>
      <c r="B462" s="12" t="s">
        <v>103</v>
      </c>
      <c r="C462" s="12" t="s">
        <v>103</v>
      </c>
      <c r="D462" s="13" t="str">
        <f>HYPERLINK("https://www.marklines.com/en/global/3879","Chery Automobile Co., Ltd. ")</f>
        <v xml:space="preserve">Chery Automobile Co., Ltd. </v>
      </c>
      <c r="E462" s="12" t="s">
        <v>112</v>
      </c>
      <c r="F462" s="12" t="s">
        <v>21</v>
      </c>
      <c r="G462" s="12" t="s">
        <v>47</v>
      </c>
      <c r="H462" s="12" t="s">
        <v>105</v>
      </c>
      <c r="I462" s="14">
        <v>45524</v>
      </c>
      <c r="J462" s="12" t="s">
        <v>936</v>
      </c>
    </row>
    <row r="463" spans="1:10" s="15" customFormat="1" x14ac:dyDescent="0.15">
      <c r="A463" s="11">
        <v>45526</v>
      </c>
      <c r="B463" s="12" t="s">
        <v>49</v>
      </c>
      <c r="C463" s="12" t="s">
        <v>227</v>
      </c>
      <c r="D463" s="13" t="str">
        <f>HYPERLINK("https://www.marklines.com/en/global/911","Volkswagen Mexico, Puebla Plant")</f>
        <v>Volkswagen Mexico, Puebla Plant</v>
      </c>
      <c r="E463" s="12" t="s">
        <v>228</v>
      </c>
      <c r="F463" s="12" t="s">
        <v>16</v>
      </c>
      <c r="G463" s="12" t="s">
        <v>229</v>
      </c>
      <c r="H463" s="12"/>
      <c r="I463" s="14">
        <v>45519</v>
      </c>
      <c r="J463" s="12" t="s">
        <v>937</v>
      </c>
    </row>
    <row r="464" spans="1:10" s="15" customFormat="1" x14ac:dyDescent="0.15">
      <c r="A464" s="11">
        <v>45525</v>
      </c>
      <c r="B464" s="12" t="s">
        <v>49</v>
      </c>
      <c r="C464" s="12" t="s">
        <v>98</v>
      </c>
      <c r="D464" s="13" t="str">
        <f>HYPERLINK("https://www.marklines.com/en/global/1514","Audi Brussels S.A./N.V., Brussels (Forest) Plant")</f>
        <v>Audi Brussels S.A./N.V., Brussels (Forest) Plant</v>
      </c>
      <c r="E464" s="12" t="s">
        <v>250</v>
      </c>
      <c r="F464" s="12" t="s">
        <v>13</v>
      </c>
      <c r="G464" s="12" t="s">
        <v>251</v>
      </c>
      <c r="H464" s="12"/>
      <c r="I464" s="14">
        <v>45525</v>
      </c>
      <c r="J464" s="12" t="s">
        <v>938</v>
      </c>
    </row>
    <row r="465" spans="1:10" s="15" customFormat="1" x14ac:dyDescent="0.15">
      <c r="A465" s="11">
        <v>45525</v>
      </c>
      <c r="B465" s="12" t="s">
        <v>224</v>
      </c>
      <c r="C465" s="12" t="s">
        <v>224</v>
      </c>
      <c r="D465" s="13" t="str">
        <f>HYPERLINK("https://www.marklines.com/en/global/8889","General Motors Egypt S. A. E., Cairo Plant")</f>
        <v>General Motors Egypt S. A. E., Cairo Plant</v>
      </c>
      <c r="E465" s="12" t="s">
        <v>939</v>
      </c>
      <c r="F465" s="12" t="s">
        <v>114</v>
      </c>
      <c r="G465" s="12" t="s">
        <v>940</v>
      </c>
      <c r="H465" s="12"/>
      <c r="I465" s="14">
        <v>45524</v>
      </c>
      <c r="J465" s="12" t="s">
        <v>941</v>
      </c>
    </row>
    <row r="466" spans="1:10" s="15" customFormat="1" x14ac:dyDescent="0.15">
      <c r="A466" s="11">
        <v>45525</v>
      </c>
      <c r="B466" s="12" t="s">
        <v>785</v>
      </c>
      <c r="C466" s="12" t="s">
        <v>785</v>
      </c>
      <c r="D466" s="13" t="str">
        <f>HYPERLINK("https://www.marklines.com/en/global/2429","KG Mobility (formerly Ssangyong Motor), Pyeongtaek Plant")</f>
        <v>KG Mobility (formerly Ssangyong Motor), Pyeongtaek Plant</v>
      </c>
      <c r="E466" s="12" t="s">
        <v>942</v>
      </c>
      <c r="F466" s="12" t="s">
        <v>21</v>
      </c>
      <c r="G466" s="12" t="s">
        <v>85</v>
      </c>
      <c r="H466" s="12"/>
      <c r="I466" s="14">
        <v>45524</v>
      </c>
      <c r="J466" s="12" t="s">
        <v>943</v>
      </c>
    </row>
    <row r="467" spans="1:10" s="15" customFormat="1" x14ac:dyDescent="0.15">
      <c r="A467" s="11">
        <v>45525</v>
      </c>
      <c r="B467" s="12" t="s">
        <v>44</v>
      </c>
      <c r="C467" s="12" t="s">
        <v>44</v>
      </c>
      <c r="D467" s="13" t="str">
        <f>HYPERLINK("https://www.marklines.com/en/global/1947","Renault Spain, Valladolid Plant")</f>
        <v>Renault Spain, Valladolid Plant</v>
      </c>
      <c r="E467" s="12" t="s">
        <v>944</v>
      </c>
      <c r="F467" s="12" t="s">
        <v>13</v>
      </c>
      <c r="G467" s="12" t="s">
        <v>14</v>
      </c>
      <c r="H467" s="12"/>
      <c r="I467" s="14">
        <v>45524</v>
      </c>
      <c r="J467" s="12" t="s">
        <v>945</v>
      </c>
    </row>
    <row r="468" spans="1:10" s="15" customFormat="1" x14ac:dyDescent="0.15">
      <c r="A468" s="11">
        <v>45525</v>
      </c>
      <c r="B468" s="12" t="s">
        <v>11</v>
      </c>
      <c r="C468" s="12" t="s">
        <v>11</v>
      </c>
      <c r="D468" s="13" t="str">
        <f>HYPERLINK("https://www.marklines.com/en/global/2663","Stellantis, FCA US, Belvidere Assembly Plant and Belvidere Satellite Stamping Plant")</f>
        <v>Stellantis, FCA US, Belvidere Assembly Plant and Belvidere Satellite Stamping Plant</v>
      </c>
      <c r="E468" s="12" t="s">
        <v>946</v>
      </c>
      <c r="F468" s="12" t="s">
        <v>16</v>
      </c>
      <c r="G468" s="12" t="s">
        <v>17</v>
      </c>
      <c r="H468" s="12" t="s">
        <v>32</v>
      </c>
      <c r="I468" s="14">
        <v>45524</v>
      </c>
      <c r="J468" s="12" t="s">
        <v>947</v>
      </c>
    </row>
    <row r="469" spans="1:10" s="15" customFormat="1" x14ac:dyDescent="0.15">
      <c r="A469" s="11">
        <v>45525</v>
      </c>
      <c r="B469" s="12" t="s">
        <v>38</v>
      </c>
      <c r="C469" s="12" t="s">
        <v>38</v>
      </c>
      <c r="D469" s="13" t="str">
        <f>HYPERLINK("https://www.marklines.com/en/global/757","JSC Moscow Automobile Plant Moskvich, Moscow Plant (former CJSC Renault Russia)")</f>
        <v>JSC Moscow Automobile Plant Moskvich, Moscow Plant (former CJSC Renault Russia)</v>
      </c>
      <c r="E469" s="12" t="s">
        <v>556</v>
      </c>
      <c r="F469" s="12" t="s">
        <v>61</v>
      </c>
      <c r="G469" s="12" t="s">
        <v>235</v>
      </c>
      <c r="H469" s="12"/>
      <c r="I469" s="14">
        <v>45523</v>
      </c>
      <c r="J469" s="12" t="s">
        <v>948</v>
      </c>
    </row>
    <row r="470" spans="1:10" s="15" customFormat="1" x14ac:dyDescent="0.15">
      <c r="A470" s="11">
        <v>45525</v>
      </c>
      <c r="B470" s="12" t="s">
        <v>224</v>
      </c>
      <c r="C470" s="12" t="s">
        <v>737</v>
      </c>
      <c r="D470" s="13" t="str">
        <f>HYPERLINK("https://www.marklines.com/en/global/2523","General Motors, Spring Hill Manufacturing (formerly Spring Hill Assembly)")</f>
        <v>General Motors, Spring Hill Manufacturing (formerly Spring Hill Assembly)</v>
      </c>
      <c r="E470" s="12" t="s">
        <v>697</v>
      </c>
      <c r="F470" s="12" t="s">
        <v>16</v>
      </c>
      <c r="G470" s="12" t="s">
        <v>17</v>
      </c>
      <c r="H470" s="12" t="s">
        <v>481</v>
      </c>
      <c r="I470" s="14">
        <v>45523</v>
      </c>
      <c r="J470" s="12" t="s">
        <v>949</v>
      </c>
    </row>
    <row r="471" spans="1:10" s="15" customFormat="1" x14ac:dyDescent="0.15">
      <c r="A471" s="11">
        <v>45525</v>
      </c>
      <c r="B471" s="12" t="s">
        <v>224</v>
      </c>
      <c r="C471" s="12" t="s">
        <v>224</v>
      </c>
      <c r="D471" s="13" t="str">
        <f>HYPERLINK("https://www.marklines.com/en/global/867","General Motors Mexico, Ramos Arizpe Plant")</f>
        <v>General Motors Mexico, Ramos Arizpe Plant</v>
      </c>
      <c r="E471" s="12" t="s">
        <v>415</v>
      </c>
      <c r="F471" s="12" t="s">
        <v>16</v>
      </c>
      <c r="G471" s="12" t="s">
        <v>229</v>
      </c>
      <c r="H471" s="12"/>
      <c r="I471" s="14">
        <v>45523</v>
      </c>
      <c r="J471" s="12" t="s">
        <v>949</v>
      </c>
    </row>
    <row r="472" spans="1:10" s="15" customFormat="1" x14ac:dyDescent="0.15">
      <c r="A472" s="11">
        <v>45525</v>
      </c>
      <c r="B472" s="12" t="s">
        <v>792</v>
      </c>
      <c r="C472" s="12" t="s">
        <v>792</v>
      </c>
      <c r="D472" s="13" t="str">
        <f>HYPERLINK("https://www.marklines.com/en/global/8492","Avtodiesel Yaroslavl Motor Works (YaMZ), Yaroslavl plant")</f>
        <v>Avtodiesel Yaroslavl Motor Works (YaMZ), Yaroslavl plant</v>
      </c>
      <c r="E472" s="12" t="s">
        <v>950</v>
      </c>
      <c r="F472" s="12" t="s">
        <v>61</v>
      </c>
      <c r="G472" s="12" t="s">
        <v>235</v>
      </c>
      <c r="H472" s="12"/>
      <c r="I472" s="14">
        <v>45523</v>
      </c>
      <c r="J472" s="12" t="s">
        <v>951</v>
      </c>
    </row>
    <row r="473" spans="1:10" s="15" customFormat="1" x14ac:dyDescent="0.15">
      <c r="A473" s="11">
        <v>45525</v>
      </c>
      <c r="B473" s="12" t="s">
        <v>77</v>
      </c>
      <c r="C473" s="12" t="s">
        <v>77</v>
      </c>
      <c r="D473" s="13" t="str">
        <f>HYPERLINK("https://www.marklines.com/en/global/3951","Zhengzhou Nissan Automobile Co., Ltd. ")</f>
        <v xml:space="preserve">Zhengzhou Nissan Automobile Co., Ltd. </v>
      </c>
      <c r="E473" s="12" t="s">
        <v>952</v>
      </c>
      <c r="F473" s="12" t="s">
        <v>21</v>
      </c>
      <c r="G473" s="12" t="s">
        <v>47</v>
      </c>
      <c r="H473" s="12" t="s">
        <v>478</v>
      </c>
      <c r="I473" s="14">
        <v>45522</v>
      </c>
      <c r="J473" s="12" t="s">
        <v>953</v>
      </c>
    </row>
    <row r="474" spans="1:10" s="15" customFormat="1" x14ac:dyDescent="0.15">
      <c r="A474" s="11">
        <v>45525</v>
      </c>
      <c r="B474" s="12" t="s">
        <v>785</v>
      </c>
      <c r="C474" s="12" t="s">
        <v>785</v>
      </c>
      <c r="D474" s="13" t="str">
        <f>HYPERLINK("https://www.marklines.com/en/global/2427","KG Mobility Co., Ltd. (formerly Ssangyong Motor Company)")</f>
        <v>KG Mobility Co., Ltd. (formerly Ssangyong Motor Company)</v>
      </c>
      <c r="E474" s="12" t="s">
        <v>954</v>
      </c>
      <c r="F474" s="12" t="s">
        <v>21</v>
      </c>
      <c r="G474" s="12" t="s">
        <v>85</v>
      </c>
      <c r="H474" s="12"/>
      <c r="I474" s="14">
        <v>45520</v>
      </c>
      <c r="J474" s="12" t="s">
        <v>955</v>
      </c>
    </row>
    <row r="475" spans="1:10" s="15" customFormat="1" x14ac:dyDescent="0.15">
      <c r="A475" s="11">
        <v>45525</v>
      </c>
      <c r="B475" s="12" t="s">
        <v>52</v>
      </c>
      <c r="C475" s="12" t="s">
        <v>956</v>
      </c>
      <c r="D475" s="13" t="str">
        <f>HYPERLINK("https://www.marklines.com/en/global/10391","Zhejiang Geely Automobile Co., Ltd. Meishan Plant")</f>
        <v>Zhejiang Geely Automobile Co., Ltd. Meishan Plant</v>
      </c>
      <c r="E475" s="12" t="s">
        <v>957</v>
      </c>
      <c r="F475" s="12" t="s">
        <v>21</v>
      </c>
      <c r="G475" s="12" t="s">
        <v>47</v>
      </c>
      <c r="H475" s="12" t="s">
        <v>54</v>
      </c>
      <c r="I475" s="14">
        <v>45519</v>
      </c>
      <c r="J475" s="12" t="s">
        <v>958</v>
      </c>
    </row>
    <row r="476" spans="1:10" s="15" customFormat="1" x14ac:dyDescent="0.15">
      <c r="A476" s="11">
        <v>45525</v>
      </c>
      <c r="B476" s="12" t="s">
        <v>109</v>
      </c>
      <c r="C476" s="12" t="s">
        <v>110</v>
      </c>
      <c r="D476" s="13" t="str">
        <f>HYPERLINK("https://www.marklines.com/en/global/9538","Hozon New Energy Automobile Co., Ltd. (formerly Zhejiang Hozon New Energy Automobile Co., Ltd.)")</f>
        <v>Hozon New Energy Automobile Co., Ltd. (formerly Zhejiang Hozon New Energy Automobile Co., Ltd.)</v>
      </c>
      <c r="E476" s="12" t="s">
        <v>117</v>
      </c>
      <c r="F476" s="12" t="s">
        <v>21</v>
      </c>
      <c r="G476" s="12" t="s">
        <v>47</v>
      </c>
      <c r="H476" s="12" t="s">
        <v>54</v>
      </c>
      <c r="I476" s="14">
        <v>45519</v>
      </c>
      <c r="J476" s="12" t="s">
        <v>959</v>
      </c>
    </row>
    <row r="477" spans="1:10" s="15" customFormat="1" x14ac:dyDescent="0.15">
      <c r="A477" s="11">
        <v>45525</v>
      </c>
      <c r="B477" s="12" t="s">
        <v>109</v>
      </c>
      <c r="C477" s="12" t="s">
        <v>110</v>
      </c>
      <c r="D477" s="13" t="str">
        <f>HYPERLINK("https://www.marklines.com/en/global/10404","Hozon New Energy Automobile Co., Ltd. Yichun Branch")</f>
        <v>Hozon New Energy Automobile Co., Ltd. Yichun Branch</v>
      </c>
      <c r="E477" s="12" t="s">
        <v>823</v>
      </c>
      <c r="F477" s="12" t="s">
        <v>21</v>
      </c>
      <c r="G477" s="12" t="s">
        <v>47</v>
      </c>
      <c r="H477" s="12" t="s">
        <v>824</v>
      </c>
      <c r="I477" s="14">
        <v>45519</v>
      </c>
      <c r="J477" s="12" t="s">
        <v>959</v>
      </c>
    </row>
    <row r="478" spans="1:10" s="15" customFormat="1" x14ac:dyDescent="0.15">
      <c r="A478" s="11">
        <v>45525</v>
      </c>
      <c r="B478" s="12" t="s">
        <v>423</v>
      </c>
      <c r="C478" s="12" t="s">
        <v>423</v>
      </c>
      <c r="D478" s="13" t="str">
        <f>HYPERLINK("https://www.marklines.com/en/global/3865","Anhui Jianghuai Automobile Group Corp., Ltd. (JAC)")</f>
        <v>Anhui Jianghuai Automobile Group Corp., Ltd. (JAC)</v>
      </c>
      <c r="E478" s="12" t="s">
        <v>960</v>
      </c>
      <c r="F478" s="12" t="s">
        <v>21</v>
      </c>
      <c r="G478" s="12" t="s">
        <v>47</v>
      </c>
      <c r="H478" s="12" t="s">
        <v>105</v>
      </c>
      <c r="I478" s="14">
        <v>45519</v>
      </c>
      <c r="J478" s="12" t="s">
        <v>961</v>
      </c>
    </row>
    <row r="479" spans="1:10" s="15" customFormat="1" x14ac:dyDescent="0.15">
      <c r="A479" s="11">
        <v>45525</v>
      </c>
      <c r="B479" s="12" t="s">
        <v>962</v>
      </c>
      <c r="C479" s="12" t="s">
        <v>963</v>
      </c>
      <c r="D479" s="13" t="str">
        <f>HYPERLINK("https://www.marklines.com/en/global/10444","NIO Automotive Technology (Anhui) Co., Ltd. Second Manufacturing Base Branch (formerly Anhui Jianghuai Automobile Group Corp., Ltd. New Energy Passenger Vehicle Branch Second Plant)")</f>
        <v>NIO Automotive Technology (Anhui) Co., Ltd. Second Manufacturing Base Branch (formerly Anhui Jianghuai Automobile Group Corp., Ltd. New Energy Passenger Vehicle Branch Second Plant)</v>
      </c>
      <c r="E479" s="12" t="s">
        <v>964</v>
      </c>
      <c r="F479" s="12" t="s">
        <v>21</v>
      </c>
      <c r="G479" s="12" t="s">
        <v>47</v>
      </c>
      <c r="H479" s="12" t="s">
        <v>105</v>
      </c>
      <c r="I479" s="14">
        <v>45519</v>
      </c>
      <c r="J479" s="12" t="s">
        <v>965</v>
      </c>
    </row>
    <row r="480" spans="1:10" s="15" customFormat="1" x14ac:dyDescent="0.15">
      <c r="A480" s="11">
        <v>45525</v>
      </c>
      <c r="B480" s="12" t="s">
        <v>38</v>
      </c>
      <c r="C480" s="12" t="s">
        <v>966</v>
      </c>
      <c r="D480" s="13" t="str">
        <f>HYPERLINK("https://www.marklines.com/en/global/10447","Beijing Automobile Works (Qingdao) Co., Ltd.")</f>
        <v>Beijing Automobile Works (Qingdao) Co., Ltd.</v>
      </c>
      <c r="E480" s="12" t="s">
        <v>967</v>
      </c>
      <c r="F480" s="12" t="s">
        <v>21</v>
      </c>
      <c r="G480" s="12" t="s">
        <v>47</v>
      </c>
      <c r="H480" s="12" t="s">
        <v>116</v>
      </c>
      <c r="I480" s="14">
        <v>45519</v>
      </c>
      <c r="J480" s="12" t="s">
        <v>968</v>
      </c>
    </row>
    <row r="481" spans="1:10" s="15" customFormat="1" x14ac:dyDescent="0.15">
      <c r="A481" s="11">
        <v>45525</v>
      </c>
      <c r="B481" s="12" t="s">
        <v>287</v>
      </c>
      <c r="C481" s="12" t="s">
        <v>287</v>
      </c>
      <c r="D481" s="13" t="str">
        <f>HYPERLINK("https://www.marklines.com/en/global/3875","Hefei Changan Automobile Co., Ltd.")</f>
        <v>Hefei Changan Automobile Co., Ltd.</v>
      </c>
      <c r="E481" s="12" t="s">
        <v>969</v>
      </c>
      <c r="F481" s="12" t="s">
        <v>21</v>
      </c>
      <c r="G481" s="12" t="s">
        <v>47</v>
      </c>
      <c r="H481" s="12" t="s">
        <v>105</v>
      </c>
      <c r="I481" s="14">
        <v>45518</v>
      </c>
      <c r="J481" s="12" t="s">
        <v>970</v>
      </c>
    </row>
    <row r="482" spans="1:10" s="15" customFormat="1" x14ac:dyDescent="0.15">
      <c r="A482" s="11">
        <v>45525</v>
      </c>
      <c r="B482" s="12" t="s">
        <v>33</v>
      </c>
      <c r="C482" s="12" t="s">
        <v>33</v>
      </c>
      <c r="D482" s="13" t="str">
        <f>HYPERLINK("https://www.marklines.com/en/global/3483","Mercedes-Benz Group China Ltd. (formerly Daimler Greater China Ltd.)")</f>
        <v>Mercedes-Benz Group China Ltd. (formerly Daimler Greater China Ltd.)</v>
      </c>
      <c r="E482" s="12" t="s">
        <v>971</v>
      </c>
      <c r="F482" s="12" t="s">
        <v>21</v>
      </c>
      <c r="G482" s="12" t="s">
        <v>47</v>
      </c>
      <c r="H482" s="12" t="s">
        <v>56</v>
      </c>
      <c r="I482" s="14">
        <v>45517</v>
      </c>
      <c r="J482" s="12" t="s">
        <v>972</v>
      </c>
    </row>
    <row r="483" spans="1:10" s="15" customFormat="1" x14ac:dyDescent="0.15">
      <c r="A483" s="11">
        <v>45525</v>
      </c>
      <c r="B483" s="12" t="s">
        <v>287</v>
      </c>
      <c r="C483" s="12" t="s">
        <v>287</v>
      </c>
      <c r="D483" s="13" t="str">
        <f>HYPERLINK("https://www.marklines.com/en/global/9429","Chongqing Lingyao Automobile Co.,Ltd. Second Plant (formerly Changan Suzuki Second Plant)")</f>
        <v>Chongqing Lingyao Automobile Co.,Ltd. Second Plant (formerly Changan Suzuki Second Plant)</v>
      </c>
      <c r="E483" s="12" t="s">
        <v>973</v>
      </c>
      <c r="F483" s="12" t="s">
        <v>21</v>
      </c>
      <c r="G483" s="12" t="s">
        <v>47</v>
      </c>
      <c r="H483" s="12" t="s">
        <v>362</v>
      </c>
      <c r="I483" s="14">
        <v>45516</v>
      </c>
      <c r="J483" s="12" t="s">
        <v>974</v>
      </c>
    </row>
    <row r="484" spans="1:10" s="15" customFormat="1" x14ac:dyDescent="0.15">
      <c r="A484" s="11">
        <v>45525</v>
      </c>
      <c r="B484" s="12" t="s">
        <v>82</v>
      </c>
      <c r="C484" s="12" t="s">
        <v>83</v>
      </c>
      <c r="D484" s="13" t="str">
        <f>HYPERLINK("https://www.marklines.com/en/global/10902","Foton Mexico LDR Solutions S.A. de C.V., Tlajomulco de Zúñiga Plant")</f>
        <v>Foton Mexico LDR Solutions S.A. de C.V., Tlajomulco de Zúñiga Plant</v>
      </c>
      <c r="E484" s="12" t="s">
        <v>975</v>
      </c>
      <c r="F484" s="12" t="s">
        <v>16</v>
      </c>
      <c r="G484" s="12" t="s">
        <v>229</v>
      </c>
      <c r="H484" s="12"/>
      <c r="I484" s="14">
        <v>45495</v>
      </c>
      <c r="J484" s="12" t="s">
        <v>976</v>
      </c>
    </row>
    <row r="485" spans="1:10" s="15" customFormat="1" x14ac:dyDescent="0.15">
      <c r="A485" s="11">
        <v>45524</v>
      </c>
      <c r="B485" s="12" t="s">
        <v>11</v>
      </c>
      <c r="C485" s="12" t="s">
        <v>11</v>
      </c>
      <c r="D485" s="13" t="str">
        <f>HYPERLINK("https://www.marklines.com/en/global/1931","Stellantis, Opel Espana de Automoviles, S.A., Zaragoza (Figueruelas) Plant")</f>
        <v>Stellantis, Opel Espana de Automoviles, S.A., Zaragoza (Figueruelas) Plant</v>
      </c>
      <c r="E485" s="12" t="s">
        <v>977</v>
      </c>
      <c r="F485" s="12" t="s">
        <v>13</v>
      </c>
      <c r="G485" s="12" t="s">
        <v>14</v>
      </c>
      <c r="H485" s="12"/>
      <c r="I485" s="14">
        <v>45523</v>
      </c>
      <c r="J485" s="12" t="s">
        <v>978</v>
      </c>
    </row>
    <row r="486" spans="1:10" s="15" customFormat="1" x14ac:dyDescent="0.15">
      <c r="A486" s="11">
        <v>45524</v>
      </c>
      <c r="B486" s="12" t="s">
        <v>243</v>
      </c>
      <c r="C486" s="12" t="s">
        <v>243</v>
      </c>
      <c r="D486" s="13" t="str">
        <f>HYPERLINK("https://www.marklines.com/en/global/10691","Volvo Battery cell, Mariestad plant (tentative name)")</f>
        <v>Volvo Battery cell, Mariestad plant (tentative name)</v>
      </c>
      <c r="E486" s="12" t="s">
        <v>244</v>
      </c>
      <c r="F486" s="12" t="s">
        <v>13</v>
      </c>
      <c r="G486" s="12" t="s">
        <v>245</v>
      </c>
      <c r="H486" s="12"/>
      <c r="I486" s="14">
        <v>45523</v>
      </c>
      <c r="J486" s="12" t="s">
        <v>979</v>
      </c>
    </row>
    <row r="487" spans="1:10" s="15" customFormat="1" x14ac:dyDescent="0.15">
      <c r="A487" s="11">
        <v>45524</v>
      </c>
      <c r="B487" s="12" t="s">
        <v>224</v>
      </c>
      <c r="C487" s="12" t="s">
        <v>570</v>
      </c>
      <c r="D487" s="13" t="str">
        <f>HYPERLINK("https://www.marklines.com/en/global/2525","General Motors, Arlington Assembly Plant")</f>
        <v>General Motors, Arlington Assembly Plant</v>
      </c>
      <c r="E487" s="12" t="s">
        <v>708</v>
      </c>
      <c r="F487" s="12" t="s">
        <v>16</v>
      </c>
      <c r="G487" s="12" t="s">
        <v>17</v>
      </c>
      <c r="H487" s="12" t="s">
        <v>574</v>
      </c>
      <c r="I487" s="14">
        <v>45523</v>
      </c>
      <c r="J487" s="12" t="s">
        <v>980</v>
      </c>
    </row>
    <row r="488" spans="1:10" s="15" customFormat="1" x14ac:dyDescent="0.15">
      <c r="A488" s="11">
        <v>45524</v>
      </c>
      <c r="B488" s="12" t="s">
        <v>11</v>
      </c>
      <c r="C488" s="12" t="s">
        <v>11</v>
      </c>
      <c r="D488" s="13" t="str">
        <f>HYPERLINK("https://www.marklines.com/en/global/2663","Stellantis, FCA US, Belvidere Assembly Plant and Belvidere Satellite Stamping Plant")</f>
        <v>Stellantis, FCA US, Belvidere Assembly Plant and Belvidere Satellite Stamping Plant</v>
      </c>
      <c r="E488" s="12" t="s">
        <v>946</v>
      </c>
      <c r="F488" s="12" t="s">
        <v>16</v>
      </c>
      <c r="G488" s="12" t="s">
        <v>17</v>
      </c>
      <c r="H488" s="12" t="s">
        <v>32</v>
      </c>
      <c r="I488" s="14">
        <v>45523</v>
      </c>
      <c r="J488" s="12" t="s">
        <v>981</v>
      </c>
    </row>
    <row r="489" spans="1:10" s="15" customFormat="1" x14ac:dyDescent="0.15">
      <c r="A489" s="11">
        <v>45524</v>
      </c>
      <c r="B489" s="12" t="s">
        <v>49</v>
      </c>
      <c r="C489" s="12" t="s">
        <v>227</v>
      </c>
      <c r="D489" s="13" t="str">
        <f>HYPERLINK("https://www.marklines.com/en/global/911","Volkswagen Mexico, Puebla Plant")</f>
        <v>Volkswagen Mexico, Puebla Plant</v>
      </c>
      <c r="E489" s="12" t="s">
        <v>228</v>
      </c>
      <c r="F489" s="12" t="s">
        <v>16</v>
      </c>
      <c r="G489" s="12" t="s">
        <v>229</v>
      </c>
      <c r="H489" s="12"/>
      <c r="I489" s="14">
        <v>45521</v>
      </c>
      <c r="J489" s="12" t="s">
        <v>982</v>
      </c>
    </row>
    <row r="490" spans="1:10" s="15" customFormat="1" x14ac:dyDescent="0.15">
      <c r="A490" s="11">
        <v>45523</v>
      </c>
      <c r="B490" s="12" t="s">
        <v>80</v>
      </c>
      <c r="C490" s="12" t="s">
        <v>80</v>
      </c>
      <c r="D490" s="13" t="str">
        <f>HYPERLINK("https://www.marklines.com/en/global/9285","Chechenavto OAO, Argun plant")</f>
        <v>Chechenavto OAO, Argun plant</v>
      </c>
      <c r="E490" s="12" t="s">
        <v>983</v>
      </c>
      <c r="F490" s="12" t="s">
        <v>61</v>
      </c>
      <c r="G490" s="12" t="s">
        <v>235</v>
      </c>
      <c r="H490" s="12"/>
      <c r="I490" s="14">
        <v>45523</v>
      </c>
      <c r="J490" s="12" t="s">
        <v>984</v>
      </c>
    </row>
    <row r="491" spans="1:10" s="15" customFormat="1" x14ac:dyDescent="0.15">
      <c r="A491" s="11">
        <v>45523</v>
      </c>
      <c r="B491" s="12" t="s">
        <v>80</v>
      </c>
      <c r="C491" s="12" t="s">
        <v>80</v>
      </c>
      <c r="D491" s="13" t="str">
        <f>HYPERLINK("https://www.marklines.com/en/global/729","LLC ""LADA Izhevsk"", LADA Izhevsk Automotive Plant (formerly OJSC Izh-Avto, Izhevsk Automobilny Zavod) ")</f>
        <v xml:space="preserve">LLC "LADA Izhevsk", LADA Izhevsk Automotive Plant (formerly OJSC Izh-Avto, Izhevsk Automobilny Zavod) </v>
      </c>
      <c r="E491" s="12" t="s">
        <v>880</v>
      </c>
      <c r="F491" s="12" t="s">
        <v>61</v>
      </c>
      <c r="G491" s="12" t="s">
        <v>235</v>
      </c>
      <c r="H491" s="12"/>
      <c r="I491" s="14">
        <v>45523</v>
      </c>
      <c r="J491" s="12" t="s">
        <v>984</v>
      </c>
    </row>
    <row r="492" spans="1:10" s="15" customFormat="1" x14ac:dyDescent="0.15">
      <c r="A492" s="11">
        <v>45523</v>
      </c>
      <c r="B492" s="12" t="s">
        <v>80</v>
      </c>
      <c r="C492" s="12" t="s">
        <v>80</v>
      </c>
      <c r="D492" s="13" t="str">
        <f>HYPERLINK("https://www.marklines.com/en/global/675","AvtoVAZ, Togliatti Plant")</f>
        <v>AvtoVAZ, Togliatti Plant</v>
      </c>
      <c r="E492" s="12" t="s">
        <v>882</v>
      </c>
      <c r="F492" s="12" t="s">
        <v>61</v>
      </c>
      <c r="G492" s="12" t="s">
        <v>235</v>
      </c>
      <c r="H492" s="12"/>
      <c r="I492" s="14">
        <v>45523</v>
      </c>
      <c r="J492" s="12" t="s">
        <v>984</v>
      </c>
    </row>
    <row r="493" spans="1:10" s="15" customFormat="1" x14ac:dyDescent="0.15">
      <c r="A493" s="11">
        <v>45523</v>
      </c>
      <c r="B493" s="12" t="s">
        <v>78</v>
      </c>
      <c r="C493" s="12" t="s">
        <v>78</v>
      </c>
      <c r="D493" s="13" t="str">
        <f>HYPERLINK("https://www.marklines.com/en/global/1133","Daimler India Commercial Vehicles (DICV), Oragadam (Chennai) Plant")</f>
        <v>Daimler India Commercial Vehicles (DICV), Oragadam (Chennai) Plant</v>
      </c>
      <c r="E493" s="12" t="s">
        <v>917</v>
      </c>
      <c r="F493" s="12" t="s">
        <v>36</v>
      </c>
      <c r="G493" s="12" t="s">
        <v>37</v>
      </c>
      <c r="H493" s="12" t="s">
        <v>84</v>
      </c>
      <c r="I493" s="14">
        <v>45523</v>
      </c>
      <c r="J493" s="12" t="s">
        <v>985</v>
      </c>
    </row>
    <row r="494" spans="1:10" s="15" customFormat="1" x14ac:dyDescent="0.15">
      <c r="A494" s="11">
        <v>45523</v>
      </c>
      <c r="B494" s="12" t="s">
        <v>77</v>
      </c>
      <c r="C494" s="12" t="s">
        <v>77</v>
      </c>
      <c r="D494" s="13" t="str">
        <f>HYPERLINK("https://www.marklines.com/en/global/8883","Nissan Motor Egypt S. A. E., Egypt Plant")</f>
        <v>Nissan Motor Egypt S. A. E., Egypt Plant</v>
      </c>
      <c r="E494" s="12" t="s">
        <v>986</v>
      </c>
      <c r="F494" s="12" t="s">
        <v>114</v>
      </c>
      <c r="G494" s="12" t="s">
        <v>940</v>
      </c>
      <c r="H494" s="12"/>
      <c r="I494" s="14">
        <v>45522</v>
      </c>
      <c r="J494" s="12" t="s">
        <v>987</v>
      </c>
    </row>
    <row r="495" spans="1:10" s="15" customFormat="1" x14ac:dyDescent="0.15">
      <c r="A495" s="11">
        <v>45523</v>
      </c>
      <c r="B495" s="12" t="s">
        <v>70</v>
      </c>
      <c r="C495" s="12" t="s">
        <v>70</v>
      </c>
      <c r="D495" s="13" t="str">
        <f>HYPERLINK("https://www.marklines.com/en/global/4269","BYD Automobile Co., Ltd.")</f>
        <v>BYD Automobile Co., Ltd.</v>
      </c>
      <c r="E495" s="12" t="s">
        <v>869</v>
      </c>
      <c r="F495" s="12" t="s">
        <v>21</v>
      </c>
      <c r="G495" s="12" t="s">
        <v>47</v>
      </c>
      <c r="H495" s="12" t="s">
        <v>859</v>
      </c>
      <c r="I495" s="14">
        <v>45520</v>
      </c>
      <c r="J495" s="12" t="s">
        <v>988</v>
      </c>
    </row>
    <row r="496" spans="1:10" s="15" customFormat="1" x14ac:dyDescent="0.15">
      <c r="A496" s="11">
        <v>45523</v>
      </c>
      <c r="B496" s="12" t="s">
        <v>49</v>
      </c>
      <c r="C496" s="12" t="s">
        <v>989</v>
      </c>
      <c r="D496" s="13" t="str">
        <f>HYPERLINK("https://www.marklines.com/en/global/1357","Automobili Lamborghini S.p.A., Sant'Agata Bolognese Plant")</f>
        <v>Automobili Lamborghini S.p.A., Sant'Agata Bolognese Plant</v>
      </c>
      <c r="E496" s="12" t="s">
        <v>990</v>
      </c>
      <c r="F496" s="12" t="s">
        <v>13</v>
      </c>
      <c r="G496" s="12" t="s">
        <v>216</v>
      </c>
      <c r="H496" s="12"/>
      <c r="I496" s="14">
        <v>45520</v>
      </c>
      <c r="J496" s="12" t="s">
        <v>991</v>
      </c>
    </row>
    <row r="497" spans="1:10" s="15" customFormat="1" x14ac:dyDescent="0.15">
      <c r="A497" s="11">
        <v>45523</v>
      </c>
      <c r="B497" s="12" t="s">
        <v>95</v>
      </c>
      <c r="C497" s="12" t="s">
        <v>95</v>
      </c>
      <c r="D497" s="13" t="str">
        <f>HYPERLINK("https://www.marklines.com/en/global/2215","BMW AG, Leipzig Plant")</f>
        <v>BMW AG, Leipzig Plant</v>
      </c>
      <c r="E497" s="12" t="s">
        <v>136</v>
      </c>
      <c r="F497" s="12" t="s">
        <v>13</v>
      </c>
      <c r="G497" s="12" t="s">
        <v>25</v>
      </c>
      <c r="H497" s="12"/>
      <c r="I497" s="14">
        <v>45520</v>
      </c>
      <c r="J497" s="12" t="s">
        <v>992</v>
      </c>
    </row>
    <row r="498" spans="1:10" s="15" customFormat="1" x14ac:dyDescent="0.15">
      <c r="A498" s="11">
        <v>45523</v>
      </c>
      <c r="B498" s="12" t="s">
        <v>95</v>
      </c>
      <c r="C498" s="12" t="s">
        <v>95</v>
      </c>
      <c r="D498" s="13" t="str">
        <f>HYPERLINK("https://www.marklines.com/en/global/2209","BMW AG, Regensburg Plant")</f>
        <v>BMW AG, Regensburg Plant</v>
      </c>
      <c r="E498" s="12" t="s">
        <v>432</v>
      </c>
      <c r="F498" s="12" t="s">
        <v>13</v>
      </c>
      <c r="G498" s="12" t="s">
        <v>25</v>
      </c>
      <c r="H498" s="12"/>
      <c r="I498" s="14">
        <v>45520</v>
      </c>
      <c r="J498" s="12" t="s">
        <v>992</v>
      </c>
    </row>
    <row r="499" spans="1:10" s="15" customFormat="1" x14ac:dyDescent="0.15">
      <c r="A499" s="11">
        <v>45523</v>
      </c>
      <c r="B499" s="12" t="s">
        <v>95</v>
      </c>
      <c r="C499" s="12" t="s">
        <v>95</v>
      </c>
      <c r="D499" s="13" t="str">
        <f>HYPERLINK("https://www.marklines.com/en/global/2207","BMW AG, Dingolfing Plant")</f>
        <v>BMW AG, Dingolfing Plant</v>
      </c>
      <c r="E499" s="12" t="s">
        <v>198</v>
      </c>
      <c r="F499" s="12" t="s">
        <v>13</v>
      </c>
      <c r="G499" s="12" t="s">
        <v>25</v>
      </c>
      <c r="H499" s="12"/>
      <c r="I499" s="14">
        <v>45520</v>
      </c>
      <c r="J499" s="12" t="s">
        <v>992</v>
      </c>
    </row>
    <row r="500" spans="1:10" s="15" customFormat="1" x14ac:dyDescent="0.15">
      <c r="A500" s="11">
        <v>45523</v>
      </c>
      <c r="B500" s="12" t="s">
        <v>38</v>
      </c>
      <c r="C500" s="12" t="s">
        <v>264</v>
      </c>
      <c r="D500" s="13" t="str">
        <f>HYPERLINK("https://www.marklines.com/en/global/10409","Zavolzhsky Motor Plant (ZMZ), Sollers Group")</f>
        <v>Zavolzhsky Motor Plant (ZMZ), Sollers Group</v>
      </c>
      <c r="E500" s="12" t="s">
        <v>296</v>
      </c>
      <c r="F500" s="12" t="s">
        <v>61</v>
      </c>
      <c r="G500" s="12" t="s">
        <v>235</v>
      </c>
      <c r="H500" s="12"/>
      <c r="I500" s="14">
        <v>45519</v>
      </c>
      <c r="J500" s="12" t="s">
        <v>993</v>
      </c>
    </row>
    <row r="501" spans="1:10" s="15" customFormat="1" x14ac:dyDescent="0.15">
      <c r="A501" s="11">
        <v>45523</v>
      </c>
      <c r="B501" s="12" t="s">
        <v>95</v>
      </c>
      <c r="C501" s="12" t="s">
        <v>95</v>
      </c>
      <c r="D501" s="13" t="str">
        <f>HYPERLINK("https://www.marklines.com/en/global/2207","BMW AG, Dingolfing Plant")</f>
        <v>BMW AG, Dingolfing Plant</v>
      </c>
      <c r="E501" s="12" t="s">
        <v>198</v>
      </c>
      <c r="F501" s="12" t="s">
        <v>13</v>
      </c>
      <c r="G501" s="12" t="s">
        <v>25</v>
      </c>
      <c r="H501" s="12"/>
      <c r="I501" s="14">
        <v>45519</v>
      </c>
      <c r="J501" s="12" t="s">
        <v>994</v>
      </c>
    </row>
    <row r="502" spans="1:10" s="15" customFormat="1" x14ac:dyDescent="0.15">
      <c r="A502" s="11">
        <v>45523</v>
      </c>
      <c r="B502" s="12" t="s">
        <v>52</v>
      </c>
      <c r="C502" s="12" t="s">
        <v>995</v>
      </c>
      <c r="D502" s="13" t="str">
        <f>HYPERLINK("https://www.marklines.com/en/global/10387","Zeekr Automobile (Ningbo Hangzhou Bay New Zone) Co., Ltd. (formerly Ningbo Zeekr Intelligent Technology Co., Ltd.")</f>
        <v>Zeekr Automobile (Ningbo Hangzhou Bay New Zone) Co., Ltd. (formerly Ningbo Zeekr Intelligent Technology Co., Ltd.</v>
      </c>
      <c r="E502" s="12" t="s">
        <v>996</v>
      </c>
      <c r="F502" s="12" t="s">
        <v>21</v>
      </c>
      <c r="G502" s="12" t="s">
        <v>47</v>
      </c>
      <c r="H502" s="12" t="s">
        <v>54</v>
      </c>
      <c r="I502" s="14">
        <v>45517</v>
      </c>
      <c r="J502" s="12" t="s">
        <v>997</v>
      </c>
    </row>
    <row r="503" spans="1:10" s="15" customFormat="1" x14ac:dyDescent="0.15">
      <c r="A503" s="11">
        <v>45523</v>
      </c>
      <c r="B503" s="12" t="s">
        <v>33</v>
      </c>
      <c r="C503" s="12" t="s">
        <v>34</v>
      </c>
      <c r="D503" s="13" t="str">
        <f>HYPERLINK("https://www.marklines.com/en/global/2225","Mercedes-Benz Group AG, Sindelfingen Plant")</f>
        <v>Mercedes-Benz Group AG, Sindelfingen Plant</v>
      </c>
      <c r="E503" s="12" t="s">
        <v>467</v>
      </c>
      <c r="F503" s="12" t="s">
        <v>13</v>
      </c>
      <c r="G503" s="12" t="s">
        <v>25</v>
      </c>
      <c r="H503" s="12"/>
      <c r="I503" s="14">
        <v>45505</v>
      </c>
      <c r="J503" s="12" t="s">
        <v>998</v>
      </c>
    </row>
    <row r="504" spans="1:10" s="15" customFormat="1" x14ac:dyDescent="0.15">
      <c r="A504" s="11">
        <v>45521</v>
      </c>
      <c r="B504" s="12" t="s">
        <v>30</v>
      </c>
      <c r="C504" s="12" t="s">
        <v>30</v>
      </c>
      <c r="D504" s="13" t="str">
        <f>HYPERLINK("https://www.marklines.com/en/global/3153","Rivian, Normal Plant (former Mitsubishi Motors North America, Normal Plant)")</f>
        <v>Rivian, Normal Plant (former Mitsubishi Motors North America, Normal Plant)</v>
      </c>
      <c r="E504" s="12" t="s">
        <v>31</v>
      </c>
      <c r="F504" s="12" t="s">
        <v>16</v>
      </c>
      <c r="G504" s="12" t="s">
        <v>17</v>
      </c>
      <c r="H504" s="12" t="s">
        <v>32</v>
      </c>
      <c r="I504" s="14">
        <v>45520</v>
      </c>
      <c r="J504" s="12" t="s">
        <v>999</v>
      </c>
    </row>
    <row r="505" spans="1:10" s="15" customFormat="1" x14ac:dyDescent="0.15">
      <c r="A505" s="11">
        <v>45521</v>
      </c>
      <c r="B505" s="12" t="s">
        <v>11</v>
      </c>
      <c r="C505" s="12" t="s">
        <v>11</v>
      </c>
      <c r="D505" s="13" t="str">
        <f>HYPERLINK("https://www.marklines.com/en/global/2673","Stellantis, FCA Canada, Etobicoke Casting Plant")</f>
        <v>Stellantis, FCA Canada, Etobicoke Casting Plant</v>
      </c>
      <c r="E505" s="12" t="s">
        <v>1000</v>
      </c>
      <c r="F505" s="12" t="s">
        <v>16</v>
      </c>
      <c r="G505" s="12" t="s">
        <v>241</v>
      </c>
      <c r="H505" s="12"/>
      <c r="I505" s="14">
        <v>45519</v>
      </c>
      <c r="J505" s="12" t="s">
        <v>1001</v>
      </c>
    </row>
    <row r="506" spans="1:10" s="15" customFormat="1" x14ac:dyDescent="0.15">
      <c r="A506" s="11">
        <v>45521</v>
      </c>
      <c r="B506" s="12" t="s">
        <v>11</v>
      </c>
      <c r="C506" s="12" t="s">
        <v>11</v>
      </c>
      <c r="D506" s="13" t="str">
        <f>HYPERLINK("https://www.marklines.com/en/global/2659","Stellantis, FCA US, Kokomo Casting Plant")</f>
        <v>Stellantis, FCA US, Kokomo Casting Plant</v>
      </c>
      <c r="E506" s="12" t="s">
        <v>1002</v>
      </c>
      <c r="F506" s="12" t="s">
        <v>16</v>
      </c>
      <c r="G506" s="12" t="s">
        <v>17</v>
      </c>
      <c r="H506" s="12" t="s">
        <v>263</v>
      </c>
      <c r="I506" s="14">
        <v>45519</v>
      </c>
      <c r="J506" s="12" t="s">
        <v>1001</v>
      </c>
    </row>
    <row r="507" spans="1:10" s="15" customFormat="1" x14ac:dyDescent="0.15">
      <c r="A507" s="11">
        <v>45521</v>
      </c>
      <c r="B507" s="12" t="s">
        <v>49</v>
      </c>
      <c r="C507" s="12" t="s">
        <v>86</v>
      </c>
      <c r="D507" s="13" t="str">
        <f>HYPERLINK("https://www.marklines.com/en/global/2815","Volkswagen Argentina, General Pacheco Plant")</f>
        <v>Volkswagen Argentina, General Pacheco Plant</v>
      </c>
      <c r="E507" s="12" t="s">
        <v>154</v>
      </c>
      <c r="F507" s="12" t="s">
        <v>45</v>
      </c>
      <c r="G507" s="12" t="s">
        <v>79</v>
      </c>
      <c r="H507" s="12"/>
      <c r="I507" s="14">
        <v>45517</v>
      </c>
      <c r="J507" s="12" t="s">
        <v>1003</v>
      </c>
    </row>
    <row r="508" spans="1:10" s="15" customFormat="1" x14ac:dyDescent="0.15">
      <c r="A508" s="11">
        <v>45521</v>
      </c>
      <c r="B508" s="12" t="s">
        <v>49</v>
      </c>
      <c r="C508" s="12" t="s">
        <v>86</v>
      </c>
      <c r="D508" s="13" t="str">
        <f>HYPERLINK("https://www.marklines.com/en/global/3031","Volkswagen Argentina S.A., Volkswagen Truck &amp; Bus (VWTB) / Volkswagen Camiones y Buses (VWCB), Cordoba Plant")</f>
        <v>Volkswagen Argentina S.A., Volkswagen Truck &amp; Bus (VWTB) / Volkswagen Camiones y Buses (VWCB), Cordoba Plant</v>
      </c>
      <c r="E508" s="12" t="s">
        <v>1004</v>
      </c>
      <c r="F508" s="12" t="s">
        <v>45</v>
      </c>
      <c r="G508" s="12" t="s">
        <v>79</v>
      </c>
      <c r="H508" s="12"/>
      <c r="I508" s="14">
        <v>45517</v>
      </c>
      <c r="J508" s="12" t="s">
        <v>1003</v>
      </c>
    </row>
    <row r="509" spans="1:10" s="15" customFormat="1" x14ac:dyDescent="0.15">
      <c r="A509" s="11">
        <v>45520</v>
      </c>
      <c r="B509" s="12" t="s">
        <v>128</v>
      </c>
      <c r="C509" s="12" t="s">
        <v>129</v>
      </c>
      <c r="D509" s="13" t="str">
        <f>HYPERLINK("https://www.marklines.com/en/global/1205","Mahindra, Nashik (Satpur) Plant")</f>
        <v>Mahindra, Nashik (Satpur) Plant</v>
      </c>
      <c r="E509" s="12" t="s">
        <v>806</v>
      </c>
      <c r="F509" s="12" t="s">
        <v>36</v>
      </c>
      <c r="G509" s="12" t="s">
        <v>37</v>
      </c>
      <c r="H509" s="12" t="s">
        <v>67</v>
      </c>
      <c r="I509" s="14">
        <v>45519</v>
      </c>
      <c r="J509" s="12" t="s">
        <v>807</v>
      </c>
    </row>
    <row r="510" spans="1:10" s="15" customFormat="1" x14ac:dyDescent="0.15">
      <c r="A510" s="11">
        <v>45520</v>
      </c>
      <c r="B510" s="12" t="s">
        <v>43</v>
      </c>
      <c r="C510" s="12" t="s">
        <v>732</v>
      </c>
      <c r="D510" s="13" t="str">
        <f>HYPERLINK("https://www.marklines.com/en/global/10661","L-H Battery Company, Inc., Ohio Plant (tentative name)")</f>
        <v>L-H Battery Company, Inc., Ohio Plant (tentative name)</v>
      </c>
      <c r="E510" s="12" t="s">
        <v>808</v>
      </c>
      <c r="F510" s="12" t="s">
        <v>16</v>
      </c>
      <c r="G510" s="12" t="s">
        <v>17</v>
      </c>
      <c r="H510" s="12" t="s">
        <v>18</v>
      </c>
      <c r="I510" s="14">
        <v>45519</v>
      </c>
      <c r="J510" s="12" t="s">
        <v>809</v>
      </c>
    </row>
    <row r="511" spans="1:10" s="15" customFormat="1" x14ac:dyDescent="0.15">
      <c r="A511" s="11">
        <v>45520</v>
      </c>
      <c r="B511" s="12" t="s">
        <v>43</v>
      </c>
      <c r="C511" s="12" t="s">
        <v>732</v>
      </c>
      <c r="D511" s="13" t="str">
        <f>HYPERLINK("https://www.marklines.com/en/global/3109","Honda Development &amp; Manufacturing of America, LLC (HDMA), Marysville Auto Plant")</f>
        <v>Honda Development &amp; Manufacturing of America, LLC (HDMA), Marysville Auto Plant</v>
      </c>
      <c r="E511" s="12" t="s">
        <v>810</v>
      </c>
      <c r="F511" s="12" t="s">
        <v>16</v>
      </c>
      <c r="G511" s="12" t="s">
        <v>17</v>
      </c>
      <c r="H511" s="12" t="s">
        <v>18</v>
      </c>
      <c r="I511" s="14">
        <v>45519</v>
      </c>
      <c r="J511" s="12" t="s">
        <v>809</v>
      </c>
    </row>
    <row r="512" spans="1:10" s="15" customFormat="1" x14ac:dyDescent="0.15">
      <c r="A512" s="11">
        <v>45520</v>
      </c>
      <c r="B512" s="12" t="s">
        <v>43</v>
      </c>
      <c r="C512" s="12" t="s">
        <v>732</v>
      </c>
      <c r="D512" s="13" t="str">
        <f>HYPERLINK("https://www.marklines.com/en/global/3111","Honda Development &amp; Manufacturing of America, LLC (HDMA), East Liberty Auto Plant")</f>
        <v>Honda Development &amp; Manufacturing of America, LLC (HDMA), East Liberty Auto Plant</v>
      </c>
      <c r="E512" s="12" t="s">
        <v>733</v>
      </c>
      <c r="F512" s="12" t="s">
        <v>16</v>
      </c>
      <c r="G512" s="12" t="s">
        <v>17</v>
      </c>
      <c r="H512" s="12" t="s">
        <v>18</v>
      </c>
      <c r="I512" s="14">
        <v>45519</v>
      </c>
      <c r="J512" s="12" t="s">
        <v>809</v>
      </c>
    </row>
    <row r="513" spans="1:10" s="15" customFormat="1" x14ac:dyDescent="0.15">
      <c r="A513" s="11">
        <v>45520</v>
      </c>
      <c r="B513" s="12" t="s">
        <v>43</v>
      </c>
      <c r="C513" s="12" t="s">
        <v>732</v>
      </c>
      <c r="D513" s="13" t="str">
        <f>HYPERLINK("https://www.marklines.com/en/global/3113","Honda Development &amp; Manufacturing of America, LLC (HDMA), Anna Engine Plant")</f>
        <v>Honda Development &amp; Manufacturing of America, LLC (HDMA), Anna Engine Plant</v>
      </c>
      <c r="E513" s="12" t="s">
        <v>583</v>
      </c>
      <c r="F513" s="12" t="s">
        <v>16</v>
      </c>
      <c r="G513" s="12" t="s">
        <v>17</v>
      </c>
      <c r="H513" s="12" t="s">
        <v>18</v>
      </c>
      <c r="I513" s="14">
        <v>45519</v>
      </c>
      <c r="J513" s="12" t="s">
        <v>809</v>
      </c>
    </row>
    <row r="514" spans="1:10" s="15" customFormat="1" x14ac:dyDescent="0.15">
      <c r="A514" s="11">
        <v>45520</v>
      </c>
      <c r="B514" s="12" t="s">
        <v>11</v>
      </c>
      <c r="C514" s="12" t="s">
        <v>11</v>
      </c>
      <c r="D514" s="13" t="str">
        <f>HYPERLINK("https://www.marklines.com/en/global/2645","Stellantis, FCA US, Trenton Engine Complex")</f>
        <v>Stellantis, FCA US, Trenton Engine Complex</v>
      </c>
      <c r="E514" s="12" t="s">
        <v>811</v>
      </c>
      <c r="F514" s="12" t="s">
        <v>16</v>
      </c>
      <c r="G514" s="12" t="s">
        <v>17</v>
      </c>
      <c r="H514" s="12" t="s">
        <v>19</v>
      </c>
      <c r="I514" s="14">
        <v>45519</v>
      </c>
      <c r="J514" s="12" t="s">
        <v>812</v>
      </c>
    </row>
    <row r="515" spans="1:10" s="15" customFormat="1" x14ac:dyDescent="0.15">
      <c r="A515" s="11">
        <v>45520</v>
      </c>
      <c r="B515" s="12" t="s">
        <v>51</v>
      </c>
      <c r="C515" s="12" t="s">
        <v>813</v>
      </c>
      <c r="D515" s="13" t="str">
        <f>HYPERLINK("https://www.marklines.com/en/global/9045","SAIC Motor - CP Co., Ltd., Chonburi Plant")</f>
        <v>SAIC Motor - CP Co., Ltd., Chonburi Plant</v>
      </c>
      <c r="E515" s="12" t="s">
        <v>814</v>
      </c>
      <c r="F515" s="12" t="s">
        <v>60</v>
      </c>
      <c r="G515" s="12" t="s">
        <v>72</v>
      </c>
      <c r="H515" s="12" t="s">
        <v>73</v>
      </c>
      <c r="I515" s="14">
        <v>45518</v>
      </c>
      <c r="J515" s="12" t="s">
        <v>815</v>
      </c>
    </row>
    <row r="516" spans="1:10" s="15" customFormat="1" x14ac:dyDescent="0.15">
      <c r="A516" s="11">
        <v>45520</v>
      </c>
      <c r="B516" s="12" t="s">
        <v>77</v>
      </c>
      <c r="C516" s="12" t="s">
        <v>207</v>
      </c>
      <c r="D516" s="13" t="str">
        <f>HYPERLINK("https://www.marklines.com/en/global/475","Nissan Shatai Kyushu Co., Ltd.")</f>
        <v>Nissan Shatai Kyushu Co., Ltd.</v>
      </c>
      <c r="E516" s="12" t="s">
        <v>141</v>
      </c>
      <c r="F516" s="12" t="s">
        <v>21</v>
      </c>
      <c r="G516" s="12" t="s">
        <v>22</v>
      </c>
      <c r="H516" s="12" t="s">
        <v>142</v>
      </c>
      <c r="I516" s="14">
        <v>45518</v>
      </c>
      <c r="J516" s="12" t="s">
        <v>816</v>
      </c>
    </row>
    <row r="517" spans="1:10" s="15" customFormat="1" x14ac:dyDescent="0.15">
      <c r="A517" s="11">
        <v>45520</v>
      </c>
      <c r="B517" s="12" t="s">
        <v>224</v>
      </c>
      <c r="C517" s="12" t="s">
        <v>224</v>
      </c>
      <c r="D517" s="13" t="str">
        <f>HYPERLINK("https://www.marklines.com/en/global/2509","General Motors, Fort Wayne Plant")</f>
        <v>General Motors, Fort Wayne Plant</v>
      </c>
      <c r="E517" s="12" t="s">
        <v>817</v>
      </c>
      <c r="F517" s="12" t="s">
        <v>16</v>
      </c>
      <c r="G517" s="12" t="s">
        <v>17</v>
      </c>
      <c r="H517" s="12" t="s">
        <v>263</v>
      </c>
      <c r="I517" s="14">
        <v>45518</v>
      </c>
      <c r="J517" s="12" t="s">
        <v>818</v>
      </c>
    </row>
    <row r="518" spans="1:10" s="15" customFormat="1" x14ac:dyDescent="0.15">
      <c r="A518" s="11">
        <v>45520</v>
      </c>
      <c r="B518" s="12" t="s">
        <v>224</v>
      </c>
      <c r="C518" s="12" t="s">
        <v>224</v>
      </c>
      <c r="D518" s="13" t="str">
        <f>HYPERLINK("https://www.marklines.com/en/global/2549","General Motors Canada, St. Catharines Plant")</f>
        <v>General Motors Canada, St. Catharines Plant</v>
      </c>
      <c r="E518" s="12" t="s">
        <v>819</v>
      </c>
      <c r="F518" s="12" t="s">
        <v>16</v>
      </c>
      <c r="G518" s="12" t="s">
        <v>241</v>
      </c>
      <c r="H518" s="12"/>
      <c r="I518" s="14">
        <v>45518</v>
      </c>
      <c r="J518" s="12" t="s">
        <v>818</v>
      </c>
    </row>
    <row r="519" spans="1:10" s="15" customFormat="1" x14ac:dyDescent="0.15">
      <c r="A519" s="11">
        <v>45520</v>
      </c>
      <c r="B519" s="12" t="s">
        <v>46</v>
      </c>
      <c r="C519" s="12" t="s">
        <v>46</v>
      </c>
      <c r="D519" s="13" t="str">
        <f>HYPERLINK("https://www.marklines.com/en/global/9485","Guangzhou Xiaopeng Motors Technology Co., Ltd. ")</f>
        <v xml:space="preserve">Guangzhou Xiaopeng Motors Technology Co., Ltd. </v>
      </c>
      <c r="E519" s="12" t="s">
        <v>350</v>
      </c>
      <c r="F519" s="12" t="s">
        <v>21</v>
      </c>
      <c r="G519" s="12" t="s">
        <v>47</v>
      </c>
      <c r="H519" s="12" t="s">
        <v>48</v>
      </c>
      <c r="I519" s="14">
        <v>45517</v>
      </c>
      <c r="J519" s="12" t="s">
        <v>820</v>
      </c>
    </row>
    <row r="520" spans="1:10" s="15" customFormat="1" x14ac:dyDescent="0.15">
      <c r="A520" s="11">
        <v>45520</v>
      </c>
      <c r="B520" s="12" t="s">
        <v>46</v>
      </c>
      <c r="C520" s="12" t="s">
        <v>46</v>
      </c>
      <c r="D520" s="13" t="str">
        <f>HYPERLINK("https://www.marklines.com/en/global/9486","Zhaoqing Xiaopeng New Energy Investment Co., Ltd. (Formerly : Guangzhou Xiaopeng Motors Technology Co., Ltd.  Zhaoqing Plant)")</f>
        <v>Zhaoqing Xiaopeng New Energy Investment Co., Ltd. (Formerly : Guangzhou Xiaopeng Motors Technology Co., Ltd.  Zhaoqing Plant)</v>
      </c>
      <c r="E520" s="12" t="s">
        <v>821</v>
      </c>
      <c r="F520" s="12" t="s">
        <v>21</v>
      </c>
      <c r="G520" s="12" t="s">
        <v>47</v>
      </c>
      <c r="H520" s="12" t="s">
        <v>48</v>
      </c>
      <c r="I520" s="14">
        <v>45517</v>
      </c>
      <c r="J520" s="12" t="s">
        <v>820</v>
      </c>
    </row>
    <row r="521" spans="1:10" s="15" customFormat="1" x14ac:dyDescent="0.15">
      <c r="A521" s="11">
        <v>45520</v>
      </c>
      <c r="B521" s="12" t="s">
        <v>109</v>
      </c>
      <c r="C521" s="12" t="s">
        <v>110</v>
      </c>
      <c r="D521" s="13" t="str">
        <f>HYPERLINK("https://www.marklines.com/en/global/9538","Hozon New Energy Automobile Co., Ltd. (formerly Zhejiang Hozon New Energy Automobile Co., Ltd.)")</f>
        <v>Hozon New Energy Automobile Co., Ltd. (formerly Zhejiang Hozon New Energy Automobile Co., Ltd.)</v>
      </c>
      <c r="E521" s="12" t="s">
        <v>117</v>
      </c>
      <c r="F521" s="12" t="s">
        <v>21</v>
      </c>
      <c r="G521" s="12" t="s">
        <v>47</v>
      </c>
      <c r="H521" s="12" t="s">
        <v>54</v>
      </c>
      <c r="I521" s="14">
        <v>45517</v>
      </c>
      <c r="J521" s="12" t="s">
        <v>822</v>
      </c>
    </row>
    <row r="522" spans="1:10" s="15" customFormat="1" x14ac:dyDescent="0.15">
      <c r="A522" s="11">
        <v>45520</v>
      </c>
      <c r="B522" s="12" t="s">
        <v>109</v>
      </c>
      <c r="C522" s="12" t="s">
        <v>110</v>
      </c>
      <c r="D522" s="13" t="str">
        <f>HYPERLINK("https://www.marklines.com/en/global/10404","Hozon New Energy Automobile Co., Ltd. Yichun Branch")</f>
        <v>Hozon New Energy Automobile Co., Ltd. Yichun Branch</v>
      </c>
      <c r="E522" s="12" t="s">
        <v>823</v>
      </c>
      <c r="F522" s="12" t="s">
        <v>21</v>
      </c>
      <c r="G522" s="12" t="s">
        <v>47</v>
      </c>
      <c r="H522" s="12" t="s">
        <v>824</v>
      </c>
      <c r="I522" s="14">
        <v>45517</v>
      </c>
      <c r="J522" s="12" t="s">
        <v>822</v>
      </c>
    </row>
    <row r="523" spans="1:10" s="15" customFormat="1" x14ac:dyDescent="0.15">
      <c r="A523" s="11">
        <v>45520</v>
      </c>
      <c r="B523" s="12" t="s">
        <v>52</v>
      </c>
      <c r="C523" s="12" t="s">
        <v>825</v>
      </c>
      <c r="D523" s="13" t="str">
        <f>HYPERLINK("https://www.marklines.com/en/global/10796","Polestar Era Technology (Nanjing) Co., Ltd.")</f>
        <v>Polestar Era Technology (Nanjing) Co., Ltd.</v>
      </c>
      <c r="E523" s="12" t="s">
        <v>826</v>
      </c>
      <c r="F523" s="12" t="s">
        <v>21</v>
      </c>
      <c r="G523" s="12" t="s">
        <v>47</v>
      </c>
      <c r="H523" s="12" t="s">
        <v>354</v>
      </c>
      <c r="I523" s="14">
        <v>45517</v>
      </c>
      <c r="J523" s="12" t="s">
        <v>827</v>
      </c>
    </row>
    <row r="524" spans="1:10" s="15" customFormat="1" x14ac:dyDescent="0.15">
      <c r="A524" s="11">
        <v>45520</v>
      </c>
      <c r="B524" s="12" t="s">
        <v>103</v>
      </c>
      <c r="C524" s="12" t="s">
        <v>103</v>
      </c>
      <c r="D524" s="13" t="str">
        <f>HYPERLINK("https://www.marklines.com/en/global/3883","Chery Commercial Vehicle (Anhui) Co., Ltd.")</f>
        <v>Chery Commercial Vehicle (Anhui) Co., Ltd.</v>
      </c>
      <c r="E524" s="12" t="s">
        <v>104</v>
      </c>
      <c r="F524" s="12" t="s">
        <v>21</v>
      </c>
      <c r="G524" s="12" t="s">
        <v>47</v>
      </c>
      <c r="H524" s="12" t="s">
        <v>105</v>
      </c>
      <c r="I524" s="14">
        <v>45517</v>
      </c>
      <c r="J524" s="12" t="s">
        <v>828</v>
      </c>
    </row>
    <row r="525" spans="1:10" s="15" customFormat="1" x14ac:dyDescent="0.15">
      <c r="A525" s="11">
        <v>45520</v>
      </c>
      <c r="B525" s="12" t="s">
        <v>290</v>
      </c>
      <c r="C525" s="12" t="s">
        <v>290</v>
      </c>
      <c r="D525" s="13" t="str">
        <f>HYPERLINK("https://www.marklines.com/en/global/9605","Dongfeng Motor Co., Ltd. Wuhan Branch (formerly Dongfeng Nissan Passenger Vehicle Company Wuhan Plant)")</f>
        <v>Dongfeng Motor Co., Ltd. Wuhan Branch (formerly Dongfeng Nissan Passenger Vehicle Company Wuhan Plant)</v>
      </c>
      <c r="E525" s="12" t="s">
        <v>829</v>
      </c>
      <c r="F525" s="12" t="s">
        <v>21</v>
      </c>
      <c r="G525" s="12" t="s">
        <v>47</v>
      </c>
      <c r="H525" s="12" t="s">
        <v>294</v>
      </c>
      <c r="I525" s="14">
        <v>45517</v>
      </c>
      <c r="J525" s="12" t="s">
        <v>830</v>
      </c>
    </row>
    <row r="526" spans="1:10" s="15" customFormat="1" x14ac:dyDescent="0.15">
      <c r="A526" s="11">
        <v>45520</v>
      </c>
      <c r="B526" s="12" t="s">
        <v>33</v>
      </c>
      <c r="C526" s="12" t="s">
        <v>34</v>
      </c>
      <c r="D526" s="13" t="str">
        <f>HYPERLINK("https://www.marklines.com/en/global/3933","Fujian Benz Automotive Co., Ltd. (FBAC)")</f>
        <v>Fujian Benz Automotive Co., Ltd. (FBAC)</v>
      </c>
      <c r="E526" s="12" t="s">
        <v>831</v>
      </c>
      <c r="F526" s="12" t="s">
        <v>21</v>
      </c>
      <c r="G526" s="12" t="s">
        <v>47</v>
      </c>
      <c r="H526" s="12" t="s">
        <v>832</v>
      </c>
      <c r="I526" s="14">
        <v>45516</v>
      </c>
      <c r="J526" s="12" t="s">
        <v>833</v>
      </c>
    </row>
    <row r="527" spans="1:10" s="15" customFormat="1" x14ac:dyDescent="0.15">
      <c r="A527" s="11">
        <v>45520</v>
      </c>
      <c r="B527" s="12" t="s">
        <v>95</v>
      </c>
      <c r="C527" s="12" t="s">
        <v>95</v>
      </c>
      <c r="D527" s="13" t="str">
        <f>HYPERLINK("https://www.marklines.com/en/global/3485","BMW China Automotive Trading Ltd.(Formerly BMW Group Posh China Area) ")</f>
        <v xml:space="preserve">BMW China Automotive Trading Ltd.(Formerly BMW Group Posh China Area) </v>
      </c>
      <c r="E527" s="12" t="s">
        <v>834</v>
      </c>
      <c r="F527" s="12" t="s">
        <v>21</v>
      </c>
      <c r="G527" s="12" t="s">
        <v>47</v>
      </c>
      <c r="H527" s="12" t="s">
        <v>56</v>
      </c>
      <c r="I527" s="14">
        <v>45516</v>
      </c>
      <c r="J527" s="12" t="s">
        <v>835</v>
      </c>
    </row>
    <row r="528" spans="1:10" s="15" customFormat="1" x14ac:dyDescent="0.15">
      <c r="A528" s="11">
        <v>45520</v>
      </c>
      <c r="B528" s="12" t="s">
        <v>95</v>
      </c>
      <c r="C528" s="12" t="s">
        <v>95</v>
      </c>
      <c r="D528" s="13" t="str">
        <f>HYPERLINK("https://www.marklines.com/en/global/3375","BMW Brilliance Automotive Limited (BBA), Dadong Plant")</f>
        <v>BMW Brilliance Automotive Limited (BBA), Dadong Plant</v>
      </c>
      <c r="E528" s="12" t="s">
        <v>836</v>
      </c>
      <c r="F528" s="12" t="s">
        <v>21</v>
      </c>
      <c r="G528" s="12" t="s">
        <v>47</v>
      </c>
      <c r="H528" s="12" t="s">
        <v>622</v>
      </c>
      <c r="I528" s="14">
        <v>45516</v>
      </c>
      <c r="J528" s="12" t="s">
        <v>835</v>
      </c>
    </row>
    <row r="529" spans="1:10" s="15" customFormat="1" x14ac:dyDescent="0.15">
      <c r="A529" s="11">
        <v>45520</v>
      </c>
      <c r="B529" s="12" t="s">
        <v>77</v>
      </c>
      <c r="C529" s="12" t="s">
        <v>77</v>
      </c>
      <c r="D529" s="13" t="str">
        <f>HYPERLINK("https://www.marklines.com/en/global/893","Nissan Mexico, Aguascalientes Plant 1")</f>
        <v>Nissan Mexico, Aguascalientes Plant 1</v>
      </c>
      <c r="E529" s="12" t="s">
        <v>837</v>
      </c>
      <c r="F529" s="12" t="s">
        <v>16</v>
      </c>
      <c r="G529" s="12" t="s">
        <v>229</v>
      </c>
      <c r="H529" s="12"/>
      <c r="I529" s="14">
        <v>45516</v>
      </c>
      <c r="J529" s="12" t="s">
        <v>838</v>
      </c>
    </row>
    <row r="530" spans="1:10" s="15" customFormat="1" x14ac:dyDescent="0.15">
      <c r="A530" s="11">
        <v>45520</v>
      </c>
      <c r="B530" s="12" t="s">
        <v>52</v>
      </c>
      <c r="C530" s="12" t="s">
        <v>839</v>
      </c>
      <c r="D530" s="13" t="str">
        <f>HYPERLINK("https://www.marklines.com/en/global/3895","Hanma Technology Group Co.,Ltd.  (formerly Hualing Xingma Automobile (Group) Co., Ltd.)")</f>
        <v>Hanma Technology Group Co.,Ltd.  (formerly Hualing Xingma Automobile (Group) Co., Ltd.)</v>
      </c>
      <c r="E530" s="12" t="s">
        <v>840</v>
      </c>
      <c r="F530" s="12" t="s">
        <v>21</v>
      </c>
      <c r="G530" s="12" t="s">
        <v>47</v>
      </c>
      <c r="H530" s="12" t="s">
        <v>105</v>
      </c>
      <c r="I530" s="14">
        <v>45512</v>
      </c>
      <c r="J530" s="12" t="s">
        <v>841</v>
      </c>
    </row>
    <row r="531" spans="1:10" s="15" customFormat="1" x14ac:dyDescent="0.15">
      <c r="A531" s="11">
        <v>45520</v>
      </c>
      <c r="B531" s="12" t="s">
        <v>52</v>
      </c>
      <c r="C531" s="12" t="s">
        <v>378</v>
      </c>
      <c r="D531" s="13" t="str">
        <f>HYPERLINK("https://www.marklines.com/en/global/10797","Zhejiang Geely Farizon New Energy Commercial Vehicle Group Co., Ltd. ")</f>
        <v xml:space="preserve">Zhejiang Geely Farizon New Energy Commercial Vehicle Group Co., Ltd. </v>
      </c>
      <c r="E531" s="12" t="s">
        <v>379</v>
      </c>
      <c r="F531" s="12" t="s">
        <v>21</v>
      </c>
      <c r="G531" s="12" t="s">
        <v>47</v>
      </c>
      <c r="H531" s="12" t="s">
        <v>54</v>
      </c>
      <c r="I531" s="14">
        <v>45512</v>
      </c>
      <c r="J531" s="12" t="s">
        <v>841</v>
      </c>
    </row>
    <row r="532" spans="1:10" s="15" customFormat="1" x14ac:dyDescent="0.15">
      <c r="A532" s="11">
        <v>45520</v>
      </c>
      <c r="B532" s="12" t="s">
        <v>70</v>
      </c>
      <c r="C532" s="12" t="s">
        <v>70</v>
      </c>
      <c r="D532" s="13" t="str">
        <f>HYPERLINK("https://www.marklines.com/en/global/4125","BYD Automobile Industry Co., Ltd., Shenzhen Plant")</f>
        <v>BYD Automobile Industry Co., Ltd., Shenzhen Plant</v>
      </c>
      <c r="E532" s="12" t="s">
        <v>273</v>
      </c>
      <c r="F532" s="12" t="s">
        <v>21</v>
      </c>
      <c r="G532" s="12" t="s">
        <v>47</v>
      </c>
      <c r="H532" s="12" t="s">
        <v>48</v>
      </c>
      <c r="I532" s="14">
        <v>45511</v>
      </c>
      <c r="J532" s="12" t="s">
        <v>842</v>
      </c>
    </row>
    <row r="533" spans="1:10" s="15" customFormat="1" x14ac:dyDescent="0.15">
      <c r="A533" s="11">
        <v>45519</v>
      </c>
      <c r="B533" s="12" t="s">
        <v>52</v>
      </c>
      <c r="C533" s="12" t="s">
        <v>825</v>
      </c>
      <c r="D533" s="13" t="str">
        <f>HYPERLINK("https://www.marklines.com/en/global/4303"," Zhongjia Automobile Manufacturing (Chengdu) Co., Ltd. ")</f>
        <v xml:space="preserve"> Zhongjia Automobile Manufacturing (Chengdu) Co., Ltd. </v>
      </c>
      <c r="E533" s="12" t="s">
        <v>843</v>
      </c>
      <c r="F533" s="12" t="s">
        <v>21</v>
      </c>
      <c r="G533" s="12" t="s">
        <v>47</v>
      </c>
      <c r="H533" s="12" t="s">
        <v>547</v>
      </c>
      <c r="I533" s="14">
        <v>45518</v>
      </c>
      <c r="J533" s="12" t="s">
        <v>844</v>
      </c>
    </row>
    <row r="534" spans="1:10" s="15" customFormat="1" x14ac:dyDescent="0.15">
      <c r="A534" s="11">
        <v>45519</v>
      </c>
      <c r="B534" s="12" t="s">
        <v>52</v>
      </c>
      <c r="C534" s="12" t="s">
        <v>825</v>
      </c>
      <c r="D534" s="13" t="str">
        <f>HYPERLINK("https://www.marklines.com/en/global/9324","Volvo Cars, Ridgeville Plant")</f>
        <v>Volvo Cars, Ridgeville Plant</v>
      </c>
      <c r="E534" s="12" t="s">
        <v>323</v>
      </c>
      <c r="F534" s="12" t="s">
        <v>16</v>
      </c>
      <c r="G534" s="12" t="s">
        <v>17</v>
      </c>
      <c r="H534" s="12" t="s">
        <v>324</v>
      </c>
      <c r="I534" s="14">
        <v>45518</v>
      </c>
      <c r="J534" s="12" t="s">
        <v>844</v>
      </c>
    </row>
    <row r="535" spans="1:10" s="15" customFormat="1" x14ac:dyDescent="0.15">
      <c r="A535" s="11">
        <v>45519</v>
      </c>
      <c r="B535" s="12" t="s">
        <v>49</v>
      </c>
      <c r="C535" s="12" t="s">
        <v>586</v>
      </c>
      <c r="D535" s="13" t="str">
        <f>HYPERLINK("https://www.marklines.com/en/global/1378","Bentley Motors Ltd., Crewe Plant")</f>
        <v>Bentley Motors Ltd., Crewe Plant</v>
      </c>
      <c r="E535" s="12" t="s">
        <v>587</v>
      </c>
      <c r="F535" s="12" t="s">
        <v>13</v>
      </c>
      <c r="G535" s="12" t="s">
        <v>588</v>
      </c>
      <c r="H535" s="12"/>
      <c r="I535" s="14">
        <v>45518</v>
      </c>
      <c r="J535" s="12" t="s">
        <v>845</v>
      </c>
    </row>
    <row r="536" spans="1:10" s="15" customFormat="1" x14ac:dyDescent="0.15">
      <c r="A536" s="11">
        <v>45519</v>
      </c>
      <c r="B536" s="12" t="s">
        <v>49</v>
      </c>
      <c r="C536" s="12" t="s">
        <v>227</v>
      </c>
      <c r="D536" s="13" t="str">
        <f>HYPERLINK("https://www.marklines.com/en/global/911","Volkswagen Mexico, Puebla Plant")</f>
        <v>Volkswagen Mexico, Puebla Plant</v>
      </c>
      <c r="E536" s="12" t="s">
        <v>228</v>
      </c>
      <c r="F536" s="12" t="s">
        <v>16</v>
      </c>
      <c r="G536" s="12" t="s">
        <v>229</v>
      </c>
      <c r="H536" s="12"/>
      <c r="I536" s="14">
        <v>45517</v>
      </c>
      <c r="J536" s="12" t="s">
        <v>846</v>
      </c>
    </row>
    <row r="537" spans="1:10" s="15" customFormat="1" x14ac:dyDescent="0.15">
      <c r="A537" s="11">
        <v>45519</v>
      </c>
      <c r="B537" s="12" t="s">
        <v>70</v>
      </c>
      <c r="C537" s="12" t="s">
        <v>70</v>
      </c>
      <c r="D537" s="13" t="str">
        <f>HYPERLINK("https://www.marklines.com/en/global/10904","BYD Auto Factory, Izmir Plant (tentative name)")</f>
        <v>BYD Auto Factory, Izmir Plant (tentative name)</v>
      </c>
      <c r="E537" s="12" t="s">
        <v>847</v>
      </c>
      <c r="F537" s="12" t="s">
        <v>41</v>
      </c>
      <c r="G537" s="12" t="s">
        <v>42</v>
      </c>
      <c r="H537" s="12"/>
      <c r="I537" s="14">
        <v>45495</v>
      </c>
      <c r="J537" s="12" t="s">
        <v>848</v>
      </c>
    </row>
    <row r="538" spans="1:10" s="15" customFormat="1" x14ac:dyDescent="0.15">
      <c r="A538" s="11">
        <v>45518</v>
      </c>
      <c r="B538" s="12" t="s">
        <v>49</v>
      </c>
      <c r="C538" s="12" t="s">
        <v>98</v>
      </c>
      <c r="D538" s="13" t="str">
        <f>HYPERLINK("https://www.marklines.com/en/global/1777","Audi Hungaria Zrt., Győr Plant (formerly Audi Hungaria Motor Kft.)")</f>
        <v>Audi Hungaria Zrt., Győr Plant (formerly Audi Hungaria Motor Kft.)</v>
      </c>
      <c r="E538" s="12" t="s">
        <v>99</v>
      </c>
      <c r="F538" s="12" t="s">
        <v>61</v>
      </c>
      <c r="G538" s="12" t="s">
        <v>96</v>
      </c>
      <c r="H538" s="12"/>
      <c r="I538" s="14">
        <v>45518</v>
      </c>
      <c r="J538" s="12" t="s">
        <v>849</v>
      </c>
    </row>
    <row r="539" spans="1:10" s="15" customFormat="1" x14ac:dyDescent="0.15">
      <c r="A539" s="11">
        <v>45518</v>
      </c>
      <c r="B539" s="12" t="s">
        <v>725</v>
      </c>
      <c r="C539" s="12" t="s">
        <v>850</v>
      </c>
      <c r="D539" s="13" t="str">
        <f>HYPERLINK("https://www.marklines.com/en/global/2653","Stellantis, FCA US, Toledo Assembly Complex (Toledo North)")</f>
        <v>Stellantis, FCA US, Toledo Assembly Complex (Toledo North)</v>
      </c>
      <c r="E539" s="12" t="s">
        <v>130</v>
      </c>
      <c r="F539" s="12" t="s">
        <v>16</v>
      </c>
      <c r="G539" s="12" t="s">
        <v>17</v>
      </c>
      <c r="H539" s="12" t="s">
        <v>18</v>
      </c>
      <c r="I539" s="14">
        <v>45517</v>
      </c>
      <c r="J539" s="12" t="s">
        <v>851</v>
      </c>
    </row>
    <row r="540" spans="1:10" s="15" customFormat="1" x14ac:dyDescent="0.15">
      <c r="A540" s="11">
        <v>45518</v>
      </c>
      <c r="B540" s="12" t="s">
        <v>38</v>
      </c>
      <c r="C540" s="12" t="s">
        <v>38</v>
      </c>
      <c r="D540" s="13" t="str">
        <f>HYPERLINK("https://www.marklines.com/en/global/10768","NexV Manufacturing Sdn Bhd (NMSB), Chembong Plant")</f>
        <v>NexV Manufacturing Sdn Bhd (NMSB), Chembong Plant</v>
      </c>
      <c r="E540" s="12" t="s">
        <v>852</v>
      </c>
      <c r="F540" s="12" t="s">
        <v>60</v>
      </c>
      <c r="G540" s="12" t="s">
        <v>532</v>
      </c>
      <c r="H540" s="12"/>
      <c r="I540" s="14">
        <v>45517</v>
      </c>
      <c r="J540" s="12" t="s">
        <v>853</v>
      </c>
    </row>
    <row r="541" spans="1:10" s="15" customFormat="1" x14ac:dyDescent="0.15">
      <c r="A541" s="11">
        <v>45518</v>
      </c>
      <c r="B541" s="12" t="s">
        <v>77</v>
      </c>
      <c r="C541" s="12" t="s">
        <v>77</v>
      </c>
      <c r="D541" s="13" t="str">
        <f>HYPERLINK("https://www.marklines.com/en/global/893","Nissan Mexico, Aguascalientes Plant 1")</f>
        <v>Nissan Mexico, Aguascalientes Plant 1</v>
      </c>
      <c r="E541" s="12" t="s">
        <v>837</v>
      </c>
      <c r="F541" s="12" t="s">
        <v>16</v>
      </c>
      <c r="G541" s="12" t="s">
        <v>229</v>
      </c>
      <c r="H541" s="12"/>
      <c r="I541" s="14">
        <v>45517</v>
      </c>
      <c r="J541" s="12" t="s">
        <v>854</v>
      </c>
    </row>
    <row r="542" spans="1:10" s="15" customFormat="1" x14ac:dyDescent="0.15">
      <c r="A542" s="11">
        <v>45518</v>
      </c>
      <c r="B542" s="12" t="s">
        <v>55</v>
      </c>
      <c r="C542" s="12" t="s">
        <v>74</v>
      </c>
      <c r="D542" s="13" t="str">
        <f>HYPERLINK("https://www.marklines.com/en/global/9270","Kia Motors Mexico, Pesqueria Plant")</f>
        <v>Kia Motors Mexico, Pesqueria Plant</v>
      </c>
      <c r="E542" s="12" t="s">
        <v>855</v>
      </c>
      <c r="F542" s="12" t="s">
        <v>16</v>
      </c>
      <c r="G542" s="12" t="s">
        <v>229</v>
      </c>
      <c r="H542" s="12"/>
      <c r="I542" s="14">
        <v>45517</v>
      </c>
      <c r="J542" s="12" t="s">
        <v>856</v>
      </c>
    </row>
    <row r="543" spans="1:10" s="15" customFormat="1" x14ac:dyDescent="0.15">
      <c r="A543" s="11">
        <v>45518</v>
      </c>
      <c r="B543" s="12" t="s">
        <v>857</v>
      </c>
      <c r="C543" s="12" t="s">
        <v>857</v>
      </c>
      <c r="D543" s="13" t="str">
        <f>HYPERLINK("https://www.marklines.com/en/global/4271","Shaanxi Automobile Group Co., Ltd.")</f>
        <v>Shaanxi Automobile Group Co., Ltd.</v>
      </c>
      <c r="E543" s="12" t="s">
        <v>858</v>
      </c>
      <c r="F543" s="12" t="s">
        <v>21</v>
      </c>
      <c r="G543" s="12" t="s">
        <v>47</v>
      </c>
      <c r="H543" s="12" t="s">
        <v>859</v>
      </c>
      <c r="I543" s="14">
        <v>45515</v>
      </c>
      <c r="J543" s="12" t="s">
        <v>860</v>
      </c>
    </row>
    <row r="544" spans="1:10" s="15" customFormat="1" x14ac:dyDescent="0.15">
      <c r="A544" s="11">
        <v>45518</v>
      </c>
      <c r="B544" s="12" t="s">
        <v>109</v>
      </c>
      <c r="C544" s="12" t="s">
        <v>110</v>
      </c>
      <c r="D544" s="13" t="str">
        <f>HYPERLINK("https://www.marklines.com/en/global/10712","Neta Zhihe New Energy Vehicle Technology (Shanghai) Co., Ltd.")</f>
        <v>Neta Zhihe New Energy Vehicle Technology (Shanghai) Co., Ltd.</v>
      </c>
      <c r="E544" s="12" t="s">
        <v>111</v>
      </c>
      <c r="F544" s="12" t="s">
        <v>21</v>
      </c>
      <c r="G544" s="12" t="s">
        <v>47</v>
      </c>
      <c r="H544" s="12" t="s">
        <v>94</v>
      </c>
      <c r="I544" s="14">
        <v>45513</v>
      </c>
      <c r="J544" s="12" t="s">
        <v>861</v>
      </c>
    </row>
    <row r="545" spans="1:10" s="15" customFormat="1" x14ac:dyDescent="0.15">
      <c r="A545" s="11">
        <v>45518</v>
      </c>
      <c r="B545" s="12" t="s">
        <v>52</v>
      </c>
      <c r="C545" s="12" t="s">
        <v>52</v>
      </c>
      <c r="D545" s="13" t="str">
        <f>HYPERLINK("https://www.marklines.com/en/global/9345","Geely Sichuan Commercial Vehicle Co., Ltd.")</f>
        <v>Geely Sichuan Commercial Vehicle Co., Ltd.</v>
      </c>
      <c r="E545" s="12" t="s">
        <v>719</v>
      </c>
      <c r="F545" s="12" t="s">
        <v>21</v>
      </c>
      <c r="G545" s="12" t="s">
        <v>47</v>
      </c>
      <c r="H545" s="12" t="s">
        <v>547</v>
      </c>
      <c r="I545" s="14">
        <v>45513</v>
      </c>
      <c r="J545" s="12" t="s">
        <v>862</v>
      </c>
    </row>
    <row r="546" spans="1:10" s="15" customFormat="1" x14ac:dyDescent="0.15">
      <c r="A546" s="11">
        <v>45518</v>
      </c>
      <c r="B546" s="12" t="s">
        <v>38</v>
      </c>
      <c r="C546" s="12" t="s">
        <v>863</v>
      </c>
      <c r="D546" s="13" t="str">
        <f>HYPERLINK("https://www.marklines.com/en/global/3767","Jiangsu Yueda Kia Motors Co., Ltd. (First Plant) (formerly Kia Motors Co., Ltd. (First Plant))")</f>
        <v>Jiangsu Yueda Kia Motors Co., Ltd. (First Plant) (formerly Kia Motors Co., Ltd. (First Plant))</v>
      </c>
      <c r="E546" s="12" t="s">
        <v>864</v>
      </c>
      <c r="F546" s="12" t="s">
        <v>21</v>
      </c>
      <c r="G546" s="12" t="s">
        <v>47</v>
      </c>
      <c r="H546" s="12" t="s">
        <v>354</v>
      </c>
      <c r="I546" s="14">
        <v>45513</v>
      </c>
      <c r="J546" s="12" t="s">
        <v>865</v>
      </c>
    </row>
    <row r="547" spans="1:10" s="15" customFormat="1" x14ac:dyDescent="0.15">
      <c r="A547" s="11">
        <v>45518</v>
      </c>
      <c r="B547" s="12" t="s">
        <v>46</v>
      </c>
      <c r="C547" s="12" t="s">
        <v>46</v>
      </c>
      <c r="D547" s="13" t="str">
        <f>HYPERLINK("https://www.marklines.com/en/global/9486","Zhaoqing Xiaopeng New Energy Investment Co., Ltd. (Formerly : Guangzhou Xiaopeng Motors Technology Co., Ltd.  Zhaoqing Plant)")</f>
        <v>Zhaoqing Xiaopeng New Energy Investment Co., Ltd. (Formerly : Guangzhou Xiaopeng Motors Technology Co., Ltd.  Zhaoqing Plant)</v>
      </c>
      <c r="E547" s="12" t="s">
        <v>821</v>
      </c>
      <c r="F547" s="12" t="s">
        <v>21</v>
      </c>
      <c r="G547" s="12" t="s">
        <v>47</v>
      </c>
      <c r="H547" s="12" t="s">
        <v>48</v>
      </c>
      <c r="I547" s="14">
        <v>45512</v>
      </c>
      <c r="J547" s="12" t="s">
        <v>866</v>
      </c>
    </row>
    <row r="548" spans="1:10" s="15" customFormat="1" x14ac:dyDescent="0.15">
      <c r="A548" s="11">
        <v>45518</v>
      </c>
      <c r="B548" s="12" t="s">
        <v>70</v>
      </c>
      <c r="C548" s="12" t="s">
        <v>70</v>
      </c>
      <c r="D548" s="13" t="str">
        <f>HYPERLINK("https://www.marklines.com/en/global/10441","BYD Automobile Co., Ltd. Changzhou Branch")</f>
        <v>BYD Automobile Co., Ltd. Changzhou Branch</v>
      </c>
      <c r="E548" s="12" t="s">
        <v>867</v>
      </c>
      <c r="F548" s="12" t="s">
        <v>21</v>
      </c>
      <c r="G548" s="12" t="s">
        <v>47</v>
      </c>
      <c r="H548" s="12" t="s">
        <v>354</v>
      </c>
      <c r="I548" s="14">
        <v>45512</v>
      </c>
      <c r="J548" s="12" t="s">
        <v>868</v>
      </c>
    </row>
    <row r="549" spans="1:10" s="15" customFormat="1" x14ac:dyDescent="0.15">
      <c r="A549" s="11">
        <v>45518</v>
      </c>
      <c r="B549" s="12" t="s">
        <v>70</v>
      </c>
      <c r="C549" s="12" t="s">
        <v>70</v>
      </c>
      <c r="D549" s="13" t="str">
        <f>HYPERLINK("https://www.marklines.com/en/global/4269","BYD Automobile Co., Ltd.")</f>
        <v>BYD Automobile Co., Ltd.</v>
      </c>
      <c r="E549" s="12" t="s">
        <v>869</v>
      </c>
      <c r="F549" s="12" t="s">
        <v>21</v>
      </c>
      <c r="G549" s="12" t="s">
        <v>47</v>
      </c>
      <c r="H549" s="12" t="s">
        <v>859</v>
      </c>
      <c r="I549" s="14">
        <v>45512</v>
      </c>
      <c r="J549" s="12" t="s">
        <v>868</v>
      </c>
    </row>
    <row r="550" spans="1:10" s="15" customFormat="1" x14ac:dyDescent="0.15">
      <c r="A550" s="11">
        <v>45518</v>
      </c>
      <c r="B550" s="12" t="s">
        <v>70</v>
      </c>
      <c r="C550" s="12" t="s">
        <v>70</v>
      </c>
      <c r="D550" s="13" t="str">
        <f>HYPERLINK("https://www.marklines.com/en/global/10678","BYD Automobile Industry Co., Ltd., Zhengzhou Branch")</f>
        <v>BYD Automobile Industry Co., Ltd., Zhengzhou Branch</v>
      </c>
      <c r="E550" s="12" t="s">
        <v>870</v>
      </c>
      <c r="F550" s="12" t="s">
        <v>21</v>
      </c>
      <c r="G550" s="12" t="s">
        <v>47</v>
      </c>
      <c r="H550" s="12" t="s">
        <v>478</v>
      </c>
      <c r="I550" s="14">
        <v>45512</v>
      </c>
      <c r="J550" s="12" t="s">
        <v>868</v>
      </c>
    </row>
    <row r="551" spans="1:10" s="15" customFormat="1" x14ac:dyDescent="0.15">
      <c r="A551" s="11">
        <v>45518</v>
      </c>
      <c r="B551" s="12" t="s">
        <v>70</v>
      </c>
      <c r="C551" s="12" t="s">
        <v>70</v>
      </c>
      <c r="D551" s="13" t="str">
        <f>HYPERLINK("https://www.marklines.com/en/global/10574","BYD Automobile Industry Co., Ltd., Jinan Branch")</f>
        <v>BYD Automobile Industry Co., Ltd., Jinan Branch</v>
      </c>
      <c r="E551" s="12" t="s">
        <v>871</v>
      </c>
      <c r="F551" s="12" t="s">
        <v>21</v>
      </c>
      <c r="G551" s="12" t="s">
        <v>47</v>
      </c>
      <c r="H551" s="12" t="s">
        <v>116</v>
      </c>
      <c r="I551" s="14">
        <v>45512</v>
      </c>
      <c r="J551" s="12" t="s">
        <v>868</v>
      </c>
    </row>
    <row r="552" spans="1:10" s="15" customFormat="1" x14ac:dyDescent="0.15">
      <c r="A552" s="11">
        <v>45518</v>
      </c>
      <c r="B552" s="12" t="s">
        <v>70</v>
      </c>
      <c r="C552" s="12" t="s">
        <v>70</v>
      </c>
      <c r="D552" s="13" t="str">
        <f>HYPERLINK("https://www.marklines.com/en/global/4043","BYD Automobile Industry Co., Ltd., Changsha Branch")</f>
        <v>BYD Automobile Industry Co., Ltd., Changsha Branch</v>
      </c>
      <c r="E552" s="12" t="s">
        <v>699</v>
      </c>
      <c r="F552" s="12" t="s">
        <v>21</v>
      </c>
      <c r="G552" s="12" t="s">
        <v>47</v>
      </c>
      <c r="H552" s="12" t="s">
        <v>700</v>
      </c>
      <c r="I552" s="14">
        <v>45512</v>
      </c>
      <c r="J552" s="12" t="s">
        <v>868</v>
      </c>
    </row>
    <row r="553" spans="1:10" s="15" customFormat="1" x14ac:dyDescent="0.15">
      <c r="A553" s="11">
        <v>45518</v>
      </c>
      <c r="B553" s="12" t="s">
        <v>70</v>
      </c>
      <c r="C553" s="12" t="s">
        <v>70</v>
      </c>
      <c r="D553" s="13" t="str">
        <f>HYPERLINK("https://www.marklines.com/en/global/10526","BYD Automobile Industry Co., Ltd., Hefei Branch")</f>
        <v>BYD Automobile Industry Co., Ltd., Hefei Branch</v>
      </c>
      <c r="E553" s="12" t="s">
        <v>702</v>
      </c>
      <c r="F553" s="12" t="s">
        <v>21</v>
      </c>
      <c r="G553" s="12" t="s">
        <v>47</v>
      </c>
      <c r="H553" s="12" t="s">
        <v>105</v>
      </c>
      <c r="I553" s="14">
        <v>45512</v>
      </c>
      <c r="J553" s="12" t="s">
        <v>868</v>
      </c>
    </row>
    <row r="554" spans="1:10" s="15" customFormat="1" x14ac:dyDescent="0.15">
      <c r="A554" s="11">
        <v>45518</v>
      </c>
      <c r="B554" s="12" t="s">
        <v>70</v>
      </c>
      <c r="C554" s="12" t="s">
        <v>70</v>
      </c>
      <c r="D554" s="13" t="str">
        <f>HYPERLINK("https://www.marklines.com/en/global/4125","BYD Automobile Industry Co., Ltd., Shenzhen Plant")</f>
        <v>BYD Automobile Industry Co., Ltd., Shenzhen Plant</v>
      </c>
      <c r="E554" s="12" t="s">
        <v>273</v>
      </c>
      <c r="F554" s="12" t="s">
        <v>21</v>
      </c>
      <c r="G554" s="12" t="s">
        <v>47</v>
      </c>
      <c r="H554" s="12" t="s">
        <v>48</v>
      </c>
      <c r="I554" s="14">
        <v>45512</v>
      </c>
      <c r="J554" s="12" t="s">
        <v>868</v>
      </c>
    </row>
    <row r="555" spans="1:10" s="15" customFormat="1" x14ac:dyDescent="0.15">
      <c r="A555" s="11">
        <v>45518</v>
      </c>
      <c r="B555" s="12" t="s">
        <v>103</v>
      </c>
      <c r="C555" s="12" t="s">
        <v>103</v>
      </c>
      <c r="D555" s="13" t="str">
        <f>HYPERLINK("https://www.marklines.com/en/global/10481","Chery Automobile Co., Ltd. Qingdao Branch")</f>
        <v>Chery Automobile Co., Ltd. Qingdao Branch</v>
      </c>
      <c r="E555" s="12" t="s">
        <v>872</v>
      </c>
      <c r="F555" s="12" t="s">
        <v>21</v>
      </c>
      <c r="G555" s="12" t="s">
        <v>47</v>
      </c>
      <c r="H555" s="12" t="s">
        <v>116</v>
      </c>
      <c r="I555" s="14">
        <v>45512</v>
      </c>
      <c r="J555" s="12" t="s">
        <v>873</v>
      </c>
    </row>
    <row r="556" spans="1:10" s="15" customFormat="1" x14ac:dyDescent="0.15">
      <c r="A556" s="11">
        <v>45518</v>
      </c>
      <c r="B556" s="12" t="s">
        <v>11</v>
      </c>
      <c r="C556" s="12" t="s">
        <v>874</v>
      </c>
      <c r="D556" s="13" t="str">
        <f>HYPERLINK("https://www.marklines.com/en/global/10873","PT National Assemblers, Purwakarta Plant")</f>
        <v>PT National Assemblers, Purwakarta Plant</v>
      </c>
      <c r="E556" s="12" t="s">
        <v>875</v>
      </c>
      <c r="F556" s="12" t="s">
        <v>60</v>
      </c>
      <c r="G556" s="12" t="s">
        <v>118</v>
      </c>
      <c r="H556" s="12"/>
      <c r="I556" s="14">
        <v>45511</v>
      </c>
      <c r="J556" s="12" t="s">
        <v>876</v>
      </c>
    </row>
    <row r="557" spans="1:10" s="15" customFormat="1" x14ac:dyDescent="0.15">
      <c r="A557" s="11">
        <v>45518</v>
      </c>
      <c r="B557" s="12" t="s">
        <v>38</v>
      </c>
      <c r="C557" s="12" t="s">
        <v>877</v>
      </c>
      <c r="D557" s="13" t="str">
        <f>HYPERLINK("https://www.marklines.com/en/global/10873","PT National Assemblers, Purwakarta Plant")</f>
        <v>PT National Assemblers, Purwakarta Plant</v>
      </c>
      <c r="E557" s="12" t="s">
        <v>875</v>
      </c>
      <c r="F557" s="12" t="s">
        <v>60</v>
      </c>
      <c r="G557" s="12" t="s">
        <v>118</v>
      </c>
      <c r="H557" s="12"/>
      <c r="I557" s="14">
        <v>45511</v>
      </c>
      <c r="J557" s="12" t="s">
        <v>876</v>
      </c>
    </row>
    <row r="558" spans="1:10" s="15" customFormat="1" x14ac:dyDescent="0.15">
      <c r="A558" s="11">
        <v>45518</v>
      </c>
      <c r="B558" s="12" t="s">
        <v>38</v>
      </c>
      <c r="C558" s="12" t="s">
        <v>878</v>
      </c>
      <c r="D558" s="13" t="str">
        <f>HYPERLINK("https://www.marklines.com/en/global/10873","PT National Assemblers, Purwakarta Plant")</f>
        <v>PT National Assemblers, Purwakarta Plant</v>
      </c>
      <c r="E558" s="12" t="s">
        <v>875</v>
      </c>
      <c r="F558" s="12" t="s">
        <v>60</v>
      </c>
      <c r="G558" s="12" t="s">
        <v>118</v>
      </c>
      <c r="H558" s="12"/>
      <c r="I558" s="14">
        <v>45511</v>
      </c>
      <c r="J558" s="12" t="s">
        <v>876</v>
      </c>
    </row>
    <row r="559" spans="1:10" s="15" customFormat="1" x14ac:dyDescent="0.15">
      <c r="A559" s="11">
        <v>45517</v>
      </c>
      <c r="B559" s="12" t="s">
        <v>49</v>
      </c>
      <c r="C559" s="12" t="s">
        <v>101</v>
      </c>
      <c r="D559" s="13" t="str">
        <f>HYPERLINK("https://www.marklines.com/en/global/115","Scania Production Angers S.A.S., Angers Plant")</f>
        <v>Scania Production Angers S.A.S., Angers Plant</v>
      </c>
      <c r="E559" s="12" t="s">
        <v>150</v>
      </c>
      <c r="F559" s="12" t="s">
        <v>13</v>
      </c>
      <c r="G559" s="12" t="s">
        <v>29</v>
      </c>
      <c r="H559" s="12"/>
      <c r="I559" s="14">
        <v>45517</v>
      </c>
      <c r="J559" s="12" t="s">
        <v>879</v>
      </c>
    </row>
    <row r="560" spans="1:10" s="15" customFormat="1" x14ac:dyDescent="0.15">
      <c r="A560" s="11">
        <v>45517</v>
      </c>
      <c r="B560" s="12" t="s">
        <v>80</v>
      </c>
      <c r="C560" s="12" t="s">
        <v>81</v>
      </c>
      <c r="D560" s="13" t="str">
        <f>HYPERLINK("https://www.marklines.com/en/global/729","LLC ""LADA Izhevsk"", LADA Izhevsk Automotive Plant (formerly OJSC Izh-Avto, Izhevsk Automobilny Zavod) ")</f>
        <v xml:space="preserve">LLC "LADA Izhevsk", LADA Izhevsk Automotive Plant (formerly OJSC Izh-Avto, Izhevsk Automobilny Zavod) </v>
      </c>
      <c r="E560" s="12" t="s">
        <v>880</v>
      </c>
      <c r="F560" s="12" t="s">
        <v>61</v>
      </c>
      <c r="G560" s="12" t="s">
        <v>235</v>
      </c>
      <c r="H560" s="12"/>
      <c r="I560" s="14">
        <v>45517</v>
      </c>
      <c r="J560" s="12" t="s">
        <v>881</v>
      </c>
    </row>
    <row r="561" spans="1:10" s="15" customFormat="1" x14ac:dyDescent="0.15">
      <c r="A561" s="11">
        <v>45517</v>
      </c>
      <c r="B561" s="12" t="s">
        <v>80</v>
      </c>
      <c r="C561" s="12" t="s">
        <v>81</v>
      </c>
      <c r="D561" s="13" t="str">
        <f>HYPERLINK("https://www.marklines.com/en/global/675","AvtoVAZ, Togliatti Plant")</f>
        <v>AvtoVAZ, Togliatti Plant</v>
      </c>
      <c r="E561" s="12" t="s">
        <v>882</v>
      </c>
      <c r="F561" s="12" t="s">
        <v>61</v>
      </c>
      <c r="G561" s="12" t="s">
        <v>235</v>
      </c>
      <c r="H561" s="12"/>
      <c r="I561" s="14">
        <v>45517</v>
      </c>
      <c r="J561" s="12" t="s">
        <v>881</v>
      </c>
    </row>
    <row r="562" spans="1:10" s="15" customFormat="1" x14ac:dyDescent="0.15">
      <c r="A562" s="11">
        <v>45517</v>
      </c>
      <c r="B562" s="12" t="s">
        <v>55</v>
      </c>
      <c r="C562" s="12" t="s">
        <v>74</v>
      </c>
      <c r="D562" s="13" t="str">
        <f>HYPERLINK("https://www.marklines.com/en/global/9893","SPA GLOVIZ")</f>
        <v>SPA GLOVIZ</v>
      </c>
      <c r="E562" s="12" t="s">
        <v>883</v>
      </c>
      <c r="F562" s="12"/>
      <c r="G562" s="12" t="s">
        <v>884</v>
      </c>
      <c r="H562" s="12"/>
      <c r="I562" s="14">
        <v>45517</v>
      </c>
      <c r="J562" s="12" t="s">
        <v>885</v>
      </c>
    </row>
    <row r="563" spans="1:10" s="15" customFormat="1" x14ac:dyDescent="0.15">
      <c r="A563" s="11">
        <v>45517</v>
      </c>
      <c r="B563" s="12" t="s">
        <v>52</v>
      </c>
      <c r="C563" s="12" t="s">
        <v>322</v>
      </c>
      <c r="D563" s="13" t="str">
        <f>HYPERLINK("https://www.marklines.com/en/global/1017","Volvo Car Manufacturing Malaysia Sdn. Bhd., Shah Alam Plant (former Swedish Motor Assemblies Sdn Bhd)")</f>
        <v>Volvo Car Manufacturing Malaysia Sdn. Bhd., Shah Alam Plant (former Swedish Motor Assemblies Sdn Bhd)</v>
      </c>
      <c r="E563" s="12" t="s">
        <v>886</v>
      </c>
      <c r="F563" s="12" t="s">
        <v>60</v>
      </c>
      <c r="G563" s="12" t="s">
        <v>532</v>
      </c>
      <c r="H563" s="12"/>
      <c r="I563" s="14">
        <v>45516</v>
      </c>
      <c r="J563" s="12" t="s">
        <v>887</v>
      </c>
    </row>
    <row r="564" spans="1:10" s="15" customFormat="1" x14ac:dyDescent="0.15">
      <c r="A564" s="11">
        <v>45517</v>
      </c>
      <c r="B564" s="12" t="s">
        <v>224</v>
      </c>
      <c r="C564" s="12" t="s">
        <v>570</v>
      </c>
      <c r="D564" s="13" t="str">
        <f>HYPERLINK("https://www.marklines.com/en/global/873","General Motors Mexico, San Luis Potosi Plant")</f>
        <v>General Motors Mexico, San Luis Potosi Plant</v>
      </c>
      <c r="E564" s="12" t="s">
        <v>888</v>
      </c>
      <c r="F564" s="12" t="s">
        <v>16</v>
      </c>
      <c r="G564" s="12" t="s">
        <v>229</v>
      </c>
      <c r="H564" s="12"/>
      <c r="I564" s="14">
        <v>45516</v>
      </c>
      <c r="J564" s="12" t="s">
        <v>889</v>
      </c>
    </row>
    <row r="565" spans="1:10" s="15" customFormat="1" x14ac:dyDescent="0.15">
      <c r="A565" s="11">
        <v>45517</v>
      </c>
      <c r="B565" s="12" t="s">
        <v>224</v>
      </c>
      <c r="C565" s="12" t="s">
        <v>570</v>
      </c>
      <c r="D565" s="13" t="str">
        <f>HYPERLINK("https://www.marklines.com/en/global/2459","General Motors, Factory ZERO (Detroit-Hamtramck Plant) ")</f>
        <v xml:space="preserve">General Motors, Factory ZERO (Detroit-Hamtramck Plant) </v>
      </c>
      <c r="E565" s="12" t="s">
        <v>520</v>
      </c>
      <c r="F565" s="12" t="s">
        <v>16</v>
      </c>
      <c r="G565" s="12" t="s">
        <v>17</v>
      </c>
      <c r="H565" s="12" t="s">
        <v>19</v>
      </c>
      <c r="I565" s="14">
        <v>45512</v>
      </c>
      <c r="J565" s="12" t="s">
        <v>890</v>
      </c>
    </row>
    <row r="566" spans="1:10" s="15" customFormat="1" x14ac:dyDescent="0.15">
      <c r="A566" s="11">
        <v>45517</v>
      </c>
      <c r="B566" s="12" t="s">
        <v>35</v>
      </c>
      <c r="C566" s="12" t="s">
        <v>35</v>
      </c>
      <c r="D566" s="13" t="str">
        <f>HYPERLINK("https://www.marklines.com/en/global/393","Toyota Motor Kyushu, Miyata Plant")</f>
        <v>Toyota Motor Kyushu, Miyata Plant</v>
      </c>
      <c r="E566" s="12" t="s">
        <v>891</v>
      </c>
      <c r="F566" s="12" t="s">
        <v>21</v>
      </c>
      <c r="G566" s="12" t="s">
        <v>22</v>
      </c>
      <c r="H566" s="12" t="s">
        <v>142</v>
      </c>
      <c r="I566" s="14">
        <v>45504</v>
      </c>
      <c r="J566" s="12" t="s">
        <v>892</v>
      </c>
    </row>
    <row r="567" spans="1:10" s="15" customFormat="1" x14ac:dyDescent="0.15">
      <c r="A567" s="11">
        <v>45517</v>
      </c>
      <c r="B567" s="12" t="s">
        <v>35</v>
      </c>
      <c r="C567" s="12" t="s">
        <v>35</v>
      </c>
      <c r="D567" s="13" t="str">
        <f>HYPERLINK("https://www.marklines.com/en/global/409","Toyota Auto Body, Fujimatsu Plant")</f>
        <v>Toyota Auto Body, Fujimatsu Plant</v>
      </c>
      <c r="E567" s="12" t="s">
        <v>127</v>
      </c>
      <c r="F567" s="12" t="s">
        <v>21</v>
      </c>
      <c r="G567" s="12" t="s">
        <v>22</v>
      </c>
      <c r="H567" s="12" t="s">
        <v>92</v>
      </c>
      <c r="I567" s="14">
        <v>45504</v>
      </c>
      <c r="J567" s="12" t="s">
        <v>892</v>
      </c>
    </row>
    <row r="568" spans="1:10" s="15" customFormat="1" x14ac:dyDescent="0.15">
      <c r="A568" s="11">
        <v>45517</v>
      </c>
      <c r="B568" s="12" t="s">
        <v>35</v>
      </c>
      <c r="C568" s="12" t="s">
        <v>35</v>
      </c>
      <c r="D568" s="13" t="str">
        <f>HYPERLINK("https://www.marklines.com/en/global/433","Toyota Industries Corporation, Nagakusa Plant")</f>
        <v>Toyota Industries Corporation, Nagakusa Plant</v>
      </c>
      <c r="E568" s="12" t="s">
        <v>893</v>
      </c>
      <c r="F568" s="12" t="s">
        <v>21</v>
      </c>
      <c r="G568" s="12" t="s">
        <v>22</v>
      </c>
      <c r="H568" s="12" t="s">
        <v>92</v>
      </c>
      <c r="I568" s="14">
        <v>45504</v>
      </c>
      <c r="J568" s="12" t="s">
        <v>892</v>
      </c>
    </row>
    <row r="569" spans="1:10" s="15" customFormat="1" x14ac:dyDescent="0.15">
      <c r="A569" s="11">
        <v>45517</v>
      </c>
      <c r="B569" s="12" t="s">
        <v>35</v>
      </c>
      <c r="C569" s="12" t="s">
        <v>35</v>
      </c>
      <c r="D569" s="13" t="str">
        <f>HYPERLINK("https://www.marklines.com/en/global/375","Toyota Motor, Takaoka Plant")</f>
        <v>Toyota Motor, Takaoka Plant</v>
      </c>
      <c r="E569" s="12" t="s">
        <v>894</v>
      </c>
      <c r="F569" s="12" t="s">
        <v>21</v>
      </c>
      <c r="G569" s="12" t="s">
        <v>22</v>
      </c>
      <c r="H569" s="12" t="s">
        <v>92</v>
      </c>
      <c r="I569" s="14">
        <v>45504</v>
      </c>
      <c r="J569" s="12" t="s">
        <v>892</v>
      </c>
    </row>
    <row r="570" spans="1:10" s="15" customFormat="1" x14ac:dyDescent="0.15">
      <c r="A570" s="11">
        <v>45517</v>
      </c>
      <c r="B570" s="12" t="s">
        <v>35</v>
      </c>
      <c r="C570" s="12" t="s">
        <v>35</v>
      </c>
      <c r="D570" s="13" t="str">
        <f>HYPERLINK("https://www.marklines.com/en/global/379","Toyota Motor, Tsutsumi Plant")</f>
        <v>Toyota Motor, Tsutsumi Plant</v>
      </c>
      <c r="E570" s="12" t="s">
        <v>895</v>
      </c>
      <c r="F570" s="12" t="s">
        <v>21</v>
      </c>
      <c r="G570" s="12" t="s">
        <v>22</v>
      </c>
      <c r="H570" s="12" t="s">
        <v>92</v>
      </c>
      <c r="I570" s="14">
        <v>45504</v>
      </c>
      <c r="J570" s="12" t="s">
        <v>892</v>
      </c>
    </row>
    <row r="571" spans="1:10" s="15" customFormat="1" x14ac:dyDescent="0.15">
      <c r="A571" s="11">
        <v>45517</v>
      </c>
      <c r="B571" s="12" t="s">
        <v>35</v>
      </c>
      <c r="C571" s="12" t="s">
        <v>35</v>
      </c>
      <c r="D571" s="13" t="str">
        <f>HYPERLINK("https://www.marklines.com/en/global/381","Toyota Motor, Tahara Plant")</f>
        <v>Toyota Motor, Tahara Plant</v>
      </c>
      <c r="E571" s="12" t="s">
        <v>93</v>
      </c>
      <c r="F571" s="12" t="s">
        <v>21</v>
      </c>
      <c r="G571" s="12" t="s">
        <v>22</v>
      </c>
      <c r="H571" s="12" t="s">
        <v>92</v>
      </c>
      <c r="I571" s="14">
        <v>45504</v>
      </c>
      <c r="J571" s="12" t="s">
        <v>892</v>
      </c>
    </row>
    <row r="572" spans="1:10" s="15" customFormat="1" x14ac:dyDescent="0.15">
      <c r="A572" s="11">
        <v>45517</v>
      </c>
      <c r="B572" s="12" t="s">
        <v>35</v>
      </c>
      <c r="C572" s="12" t="s">
        <v>133</v>
      </c>
      <c r="D572" s="13" t="str">
        <f>HYPERLINK("https://www.marklines.com/en/global/393","Toyota Motor Kyushu, Miyata Plant")</f>
        <v>Toyota Motor Kyushu, Miyata Plant</v>
      </c>
      <c r="E572" s="12" t="s">
        <v>891</v>
      </c>
      <c r="F572" s="12" t="s">
        <v>21</v>
      </c>
      <c r="G572" s="12" t="s">
        <v>22</v>
      </c>
      <c r="H572" s="12" t="s">
        <v>142</v>
      </c>
      <c r="I572" s="14">
        <v>45504</v>
      </c>
      <c r="J572" s="12" t="s">
        <v>892</v>
      </c>
    </row>
    <row r="573" spans="1:10" s="15" customFormat="1" x14ac:dyDescent="0.15">
      <c r="A573" s="11">
        <v>45517</v>
      </c>
      <c r="B573" s="12" t="s">
        <v>314</v>
      </c>
      <c r="C573" s="12" t="s">
        <v>314</v>
      </c>
      <c r="D573" s="13" t="str">
        <f>HYPERLINK("https://www.marklines.com/en/global/409","Toyota Auto Body, Fujimatsu Plant")</f>
        <v>Toyota Auto Body, Fujimatsu Plant</v>
      </c>
      <c r="E573" s="12" t="s">
        <v>127</v>
      </c>
      <c r="F573" s="12" t="s">
        <v>21</v>
      </c>
      <c r="G573" s="12" t="s">
        <v>22</v>
      </c>
      <c r="H573" s="12" t="s">
        <v>92</v>
      </c>
      <c r="I573" s="14">
        <v>45504</v>
      </c>
      <c r="J573" s="12" t="s">
        <v>892</v>
      </c>
    </row>
    <row r="574" spans="1:10" s="15" customFormat="1" x14ac:dyDescent="0.15">
      <c r="A574" s="11">
        <v>45516</v>
      </c>
      <c r="B574" s="12" t="s">
        <v>38</v>
      </c>
      <c r="C574" s="12" t="s">
        <v>356</v>
      </c>
      <c r="D574" s="13" t="str">
        <f>HYPERLINK("https://www.marklines.com/en/global/803","JSC UralAZ (Ural Avtomobilny Zavod), Chelyabinsk Plant")</f>
        <v>JSC UralAZ (Ural Avtomobilny Zavod), Chelyabinsk Plant</v>
      </c>
      <c r="E574" s="12" t="s">
        <v>357</v>
      </c>
      <c r="F574" s="12" t="s">
        <v>61</v>
      </c>
      <c r="G574" s="12" t="s">
        <v>235</v>
      </c>
      <c r="H574" s="12"/>
      <c r="I574" s="14">
        <v>45516</v>
      </c>
      <c r="J574" s="12" t="s">
        <v>896</v>
      </c>
    </row>
    <row r="575" spans="1:10" s="15" customFormat="1" x14ac:dyDescent="0.15">
      <c r="A575" s="11">
        <v>45516</v>
      </c>
      <c r="B575" s="12" t="s">
        <v>38</v>
      </c>
      <c r="C575" s="12" t="s">
        <v>38</v>
      </c>
      <c r="D575" s="13" t="str">
        <f>HYPERLINK("https://www.marklines.com/en/global/757","JSC Moscow Automobile Plant Moskvich, Moscow Plant (former CJSC Renault Russia)")</f>
        <v>JSC Moscow Automobile Plant Moskvich, Moscow Plant (former CJSC Renault Russia)</v>
      </c>
      <c r="E575" s="12" t="s">
        <v>556</v>
      </c>
      <c r="F575" s="12" t="s">
        <v>61</v>
      </c>
      <c r="G575" s="12" t="s">
        <v>235</v>
      </c>
      <c r="H575" s="12"/>
      <c r="I575" s="14">
        <v>45516</v>
      </c>
      <c r="J575" s="12" t="s">
        <v>897</v>
      </c>
    </row>
    <row r="576" spans="1:10" s="15" customFormat="1" x14ac:dyDescent="0.15">
      <c r="A576" s="11">
        <v>45516</v>
      </c>
      <c r="B576" s="12" t="s">
        <v>38</v>
      </c>
      <c r="C576" s="12" t="s">
        <v>38</v>
      </c>
      <c r="D576" s="13" t="str">
        <f>HYPERLINK("https://www.marklines.com/en/global/817","AGR Automotive Plant, Kaluga (formerly OOO Volkswagen Russia)")</f>
        <v>AGR Automotive Plant, Kaluga (formerly OOO Volkswagen Russia)</v>
      </c>
      <c r="E576" s="12" t="s">
        <v>342</v>
      </c>
      <c r="F576" s="12" t="s">
        <v>61</v>
      </c>
      <c r="G576" s="12" t="s">
        <v>235</v>
      </c>
      <c r="H576" s="12"/>
      <c r="I576" s="14">
        <v>45516</v>
      </c>
      <c r="J576" s="12" t="s">
        <v>898</v>
      </c>
    </row>
    <row r="577" spans="1:10" s="15" customFormat="1" x14ac:dyDescent="0.15">
      <c r="A577" s="11">
        <v>45516</v>
      </c>
      <c r="B577" s="12" t="s">
        <v>49</v>
      </c>
      <c r="C577" s="12" t="s">
        <v>98</v>
      </c>
      <c r="D577" s="13" t="str">
        <f>HYPERLINK("https://www.marklines.com/en/global/2201","Audi AG, Audi Sport GmbH, Neckarsulm Plant")</f>
        <v>Audi AG, Audi Sport GmbH, Neckarsulm Plant</v>
      </c>
      <c r="E577" s="12" t="s">
        <v>465</v>
      </c>
      <c r="F577" s="12" t="s">
        <v>13</v>
      </c>
      <c r="G577" s="12" t="s">
        <v>25</v>
      </c>
      <c r="H577" s="12"/>
      <c r="I577" s="14">
        <v>45516</v>
      </c>
      <c r="J577" s="12" t="s">
        <v>899</v>
      </c>
    </row>
    <row r="578" spans="1:10" s="15" customFormat="1" x14ac:dyDescent="0.15">
      <c r="A578" s="11">
        <v>45516</v>
      </c>
      <c r="B578" s="12" t="s">
        <v>314</v>
      </c>
      <c r="C578" s="12" t="s">
        <v>314</v>
      </c>
      <c r="D578" s="13" t="str">
        <f>HYPERLINK("https://www.marklines.com/en/global/1061","Pak Suzuki Motor Co., Ltd. (PSMCL), Karachi Plant")</f>
        <v>Pak Suzuki Motor Co., Ltd. (PSMCL), Karachi Plant</v>
      </c>
      <c r="E578" s="12" t="s">
        <v>900</v>
      </c>
      <c r="F578" s="12" t="s">
        <v>36</v>
      </c>
      <c r="G578" s="12" t="s">
        <v>510</v>
      </c>
      <c r="H578" s="12"/>
      <c r="I578" s="14">
        <v>45513</v>
      </c>
      <c r="J578" s="12" t="s">
        <v>901</v>
      </c>
    </row>
    <row r="579" spans="1:10" s="15" customFormat="1" x14ac:dyDescent="0.15">
      <c r="A579" s="11">
        <v>45516</v>
      </c>
      <c r="B579" s="12" t="s">
        <v>82</v>
      </c>
      <c r="C579" s="12" t="s">
        <v>82</v>
      </c>
      <c r="D579" s="13" t="str">
        <f>HYPERLINK("https://www.marklines.com/en/global/10895","Beijing Electric Vehicle Co., Ltd. Beijing Branch")</f>
        <v>Beijing Electric Vehicle Co., Ltd. Beijing Branch</v>
      </c>
      <c r="E579" s="12" t="s">
        <v>902</v>
      </c>
      <c r="F579" s="12" t="s">
        <v>21</v>
      </c>
      <c r="G579" s="12" t="s">
        <v>47</v>
      </c>
      <c r="H579" s="12" t="s">
        <v>56</v>
      </c>
      <c r="I579" s="14">
        <v>45510</v>
      </c>
      <c r="J579" s="12" t="s">
        <v>903</v>
      </c>
    </row>
    <row r="580" spans="1:10" s="15" customFormat="1" x14ac:dyDescent="0.15">
      <c r="A580" s="11">
        <v>45516</v>
      </c>
      <c r="B580" s="12" t="s">
        <v>82</v>
      </c>
      <c r="C580" s="12" t="s">
        <v>82</v>
      </c>
      <c r="D580" s="13" t="str">
        <f>HYPERLINK("https://www.marklines.com/en/global/10895","Beijing Electric Vehicle Co., Ltd. Beijing Branch")</f>
        <v>Beijing Electric Vehicle Co., Ltd. Beijing Branch</v>
      </c>
      <c r="E580" s="12" t="s">
        <v>902</v>
      </c>
      <c r="F580" s="12" t="s">
        <v>21</v>
      </c>
      <c r="G580" s="12" t="s">
        <v>47</v>
      </c>
      <c r="H580" s="12" t="s">
        <v>56</v>
      </c>
      <c r="I580" s="14">
        <v>45510</v>
      </c>
      <c r="J580" s="12" t="s">
        <v>904</v>
      </c>
    </row>
    <row r="581" spans="1:10" s="15" customFormat="1" x14ac:dyDescent="0.15">
      <c r="A581" s="11">
        <v>45516</v>
      </c>
      <c r="B581" s="12" t="s">
        <v>58</v>
      </c>
      <c r="C581" s="12" t="s">
        <v>58</v>
      </c>
      <c r="D581" s="13" t="str">
        <f>HYPERLINK("https://www.marklines.com/en/global/3333","China FAW Group Co., Ltd.  (Formerly China FAW Group Corporation)")</f>
        <v>China FAW Group Co., Ltd.  (Formerly China FAW Group Corporation)</v>
      </c>
      <c r="E581" s="12" t="s">
        <v>123</v>
      </c>
      <c r="F581" s="12" t="s">
        <v>21</v>
      </c>
      <c r="G581" s="12" t="s">
        <v>47</v>
      </c>
      <c r="H581" s="12" t="s">
        <v>57</v>
      </c>
      <c r="I581" s="14">
        <v>45509</v>
      </c>
      <c r="J581" s="12" t="s">
        <v>905</v>
      </c>
    </row>
    <row r="582" spans="1:10" s="15" customFormat="1" x14ac:dyDescent="0.15">
      <c r="A582" s="11">
        <v>45514</v>
      </c>
      <c r="B582" s="12" t="s">
        <v>725</v>
      </c>
      <c r="C582" s="12" t="s">
        <v>780</v>
      </c>
      <c r="D582" s="13" t="str">
        <f>HYPERLINK("https://www.marklines.com/en/global/2647","Stellantis, FCA US, Warren Truck Assembly Plant")</f>
        <v>Stellantis, FCA US, Warren Truck Assembly Plant</v>
      </c>
      <c r="E582" s="12" t="s">
        <v>164</v>
      </c>
      <c r="F582" s="12" t="s">
        <v>16</v>
      </c>
      <c r="G582" s="12" t="s">
        <v>17</v>
      </c>
      <c r="H582" s="12" t="s">
        <v>19</v>
      </c>
      <c r="I582" s="14">
        <v>45513</v>
      </c>
      <c r="J582" s="12" t="s">
        <v>906</v>
      </c>
    </row>
    <row r="583" spans="1:10" s="15" customFormat="1" x14ac:dyDescent="0.15">
      <c r="A583" s="11">
        <v>45514</v>
      </c>
      <c r="B583" s="12" t="s">
        <v>725</v>
      </c>
      <c r="C583" s="12" t="s">
        <v>780</v>
      </c>
      <c r="D583" s="13" t="str">
        <f>HYPERLINK("https://www.marklines.com/en/global/2641","Stellantis, FCA US, Sterling Heights Assembly Plant")</f>
        <v>Stellantis, FCA US, Sterling Heights Assembly Plant</v>
      </c>
      <c r="E583" s="12" t="s">
        <v>907</v>
      </c>
      <c r="F583" s="12" t="s">
        <v>16</v>
      </c>
      <c r="G583" s="12" t="s">
        <v>17</v>
      </c>
      <c r="H583" s="12" t="s">
        <v>19</v>
      </c>
      <c r="I583" s="14">
        <v>45513</v>
      </c>
      <c r="J583" s="12" t="s">
        <v>906</v>
      </c>
    </row>
    <row r="584" spans="1:10" s="15" customFormat="1" x14ac:dyDescent="0.15">
      <c r="A584" s="11">
        <v>45514</v>
      </c>
      <c r="B584" s="12" t="s">
        <v>224</v>
      </c>
      <c r="C584" s="12" t="s">
        <v>224</v>
      </c>
      <c r="D584" s="13" t="str">
        <f>HYPERLINK("https://www.marklines.com/en/global/2465","General Motors, Flint Engine Operations")</f>
        <v>General Motors, Flint Engine Operations</v>
      </c>
      <c r="E584" s="12" t="s">
        <v>908</v>
      </c>
      <c r="F584" s="12" t="s">
        <v>16</v>
      </c>
      <c r="G584" s="12" t="s">
        <v>17</v>
      </c>
      <c r="H584" s="12" t="s">
        <v>19</v>
      </c>
      <c r="I584" s="14">
        <v>45513</v>
      </c>
      <c r="J584" s="12" t="s">
        <v>909</v>
      </c>
    </row>
    <row r="585" spans="1:10" s="15" customFormat="1" x14ac:dyDescent="0.15">
      <c r="A585" s="11">
        <v>45514</v>
      </c>
      <c r="B585" s="12" t="s">
        <v>224</v>
      </c>
      <c r="C585" s="12" t="s">
        <v>224</v>
      </c>
      <c r="D585" s="13" t="str">
        <f>HYPERLINK("https://www.marklines.com/en/global/2525","General Motors, Arlington Assembly Plant")</f>
        <v>General Motors, Arlington Assembly Plant</v>
      </c>
      <c r="E585" s="12" t="s">
        <v>708</v>
      </c>
      <c r="F585" s="12" t="s">
        <v>16</v>
      </c>
      <c r="G585" s="12" t="s">
        <v>17</v>
      </c>
      <c r="H585" s="12" t="s">
        <v>574</v>
      </c>
      <c r="I585" s="14">
        <v>45513</v>
      </c>
      <c r="J585" s="12" t="s">
        <v>909</v>
      </c>
    </row>
    <row r="586" spans="1:10" s="15" customFormat="1" x14ac:dyDescent="0.15">
      <c r="A586" s="11">
        <v>45514</v>
      </c>
      <c r="B586" s="12" t="s">
        <v>26</v>
      </c>
      <c r="C586" s="12" t="s">
        <v>26</v>
      </c>
      <c r="D586" s="13" t="str">
        <f>HYPERLINK("https://www.marklines.com/en/global/10448","Nikola Coolidge Manufacturing Facility")</f>
        <v>Nikola Coolidge Manufacturing Facility</v>
      </c>
      <c r="E586" s="12" t="s">
        <v>27</v>
      </c>
      <c r="F586" s="12" t="s">
        <v>16</v>
      </c>
      <c r="G586" s="12" t="s">
        <v>17</v>
      </c>
      <c r="H586" s="12" t="s">
        <v>28</v>
      </c>
      <c r="I586" s="14">
        <v>45513</v>
      </c>
      <c r="J586" s="12" t="s">
        <v>910</v>
      </c>
    </row>
    <row r="587" spans="1:10" s="15" customFormat="1" x14ac:dyDescent="0.15">
      <c r="A587" s="11">
        <v>45513</v>
      </c>
      <c r="B587" s="12" t="s">
        <v>70</v>
      </c>
      <c r="C587" s="12" t="s">
        <v>70</v>
      </c>
      <c r="D587" s="13" t="str">
        <f>HYPERLINK("https://www.marklines.com/en/global/10566","BYD Auto (Thailand), Rayong Plant")</f>
        <v>BYD Auto (Thailand), Rayong Plant</v>
      </c>
      <c r="E587" s="12" t="s">
        <v>71</v>
      </c>
      <c r="F587" s="12" t="s">
        <v>60</v>
      </c>
      <c r="G587" s="12" t="s">
        <v>72</v>
      </c>
      <c r="H587" s="12" t="s">
        <v>73</v>
      </c>
      <c r="I587" s="14">
        <v>45512</v>
      </c>
      <c r="J587" s="12" t="s">
        <v>723</v>
      </c>
    </row>
    <row r="588" spans="1:10" s="15" customFormat="1" x14ac:dyDescent="0.15">
      <c r="A588" s="11">
        <v>45513</v>
      </c>
      <c r="B588" s="12" t="s">
        <v>102</v>
      </c>
      <c r="C588" s="12" t="s">
        <v>102</v>
      </c>
      <c r="D588" s="13" t="str">
        <f>HYPERLINK("https://www.marklines.com/en/global/2789","Iveco Argentina S.A., Ferreyra (Córdoba) Plant")</f>
        <v>Iveco Argentina S.A., Ferreyra (Córdoba) Plant</v>
      </c>
      <c r="E588" s="12" t="s">
        <v>159</v>
      </c>
      <c r="F588" s="12" t="s">
        <v>45</v>
      </c>
      <c r="G588" s="12" t="s">
        <v>79</v>
      </c>
      <c r="H588" s="12"/>
      <c r="I588" s="14">
        <v>45511</v>
      </c>
      <c r="J588" s="12" t="s">
        <v>724</v>
      </c>
    </row>
    <row r="589" spans="1:10" s="15" customFormat="1" x14ac:dyDescent="0.15">
      <c r="A589" s="11">
        <v>45513</v>
      </c>
      <c r="B589" s="12" t="s">
        <v>725</v>
      </c>
      <c r="C589" s="12" t="s">
        <v>726</v>
      </c>
      <c r="D589" s="13" t="str">
        <f>HYPERLINK("https://www.marklines.com/en/global/2675","Stellantis, FCA Canada, Windsor Assembly Plant")</f>
        <v>Stellantis, FCA Canada, Windsor Assembly Plant</v>
      </c>
      <c r="E589" s="12" t="s">
        <v>727</v>
      </c>
      <c r="F589" s="12" t="s">
        <v>16</v>
      </c>
      <c r="G589" s="12" t="s">
        <v>241</v>
      </c>
      <c r="H589" s="12"/>
      <c r="I589" s="14">
        <v>45511</v>
      </c>
      <c r="J589" s="12" t="s">
        <v>728</v>
      </c>
    </row>
    <row r="590" spans="1:10" s="15" customFormat="1" x14ac:dyDescent="0.15">
      <c r="A590" s="11">
        <v>45513</v>
      </c>
      <c r="B590" s="12" t="s">
        <v>725</v>
      </c>
      <c r="C590" s="12" t="s">
        <v>729</v>
      </c>
      <c r="D590" s="13" t="str">
        <f>HYPERLINK("https://www.marklines.com/en/global/2675","Stellantis, FCA Canada, Windsor Assembly Plant")</f>
        <v>Stellantis, FCA Canada, Windsor Assembly Plant</v>
      </c>
      <c r="E590" s="12" t="s">
        <v>727</v>
      </c>
      <c r="F590" s="12" t="s">
        <v>16</v>
      </c>
      <c r="G590" s="12" t="s">
        <v>241</v>
      </c>
      <c r="H590" s="12"/>
      <c r="I590" s="14">
        <v>45511</v>
      </c>
      <c r="J590" s="12" t="s">
        <v>728</v>
      </c>
    </row>
    <row r="591" spans="1:10" s="15" customFormat="1" x14ac:dyDescent="0.15">
      <c r="A591" s="11">
        <v>45513</v>
      </c>
      <c r="B591" s="12" t="s">
        <v>43</v>
      </c>
      <c r="C591" s="12" t="s">
        <v>43</v>
      </c>
      <c r="D591" s="13" t="str">
        <f>HYPERLINK("https://www.marklines.com/en/global/3133","Honda Development &amp; Manufacturing of America, LLC (HDMA), Ohio Transmission Plant")</f>
        <v>Honda Development &amp; Manufacturing of America, LLC (HDMA), Ohio Transmission Plant</v>
      </c>
      <c r="E591" s="12" t="s">
        <v>730</v>
      </c>
      <c r="F591" s="12" t="s">
        <v>16</v>
      </c>
      <c r="G591" s="12" t="s">
        <v>17</v>
      </c>
      <c r="H591" s="12" t="s">
        <v>18</v>
      </c>
      <c r="I591" s="14">
        <v>45511</v>
      </c>
      <c r="J591" s="12" t="s">
        <v>731</v>
      </c>
    </row>
    <row r="592" spans="1:10" s="15" customFormat="1" x14ac:dyDescent="0.15">
      <c r="A592" s="11">
        <v>45513</v>
      </c>
      <c r="B592" s="12" t="s">
        <v>43</v>
      </c>
      <c r="C592" s="12" t="s">
        <v>43</v>
      </c>
      <c r="D592" s="13" t="str">
        <f>HYPERLINK("https://www.marklines.com/en/global/3137","Honda Development &amp; Manufacturing of America, LLC (HDMA), Georgia Transmission Plant")</f>
        <v>Honda Development &amp; Manufacturing of America, LLC (HDMA), Georgia Transmission Plant</v>
      </c>
      <c r="E592" s="12" t="s">
        <v>618</v>
      </c>
      <c r="F592" s="12" t="s">
        <v>16</v>
      </c>
      <c r="G592" s="12" t="s">
        <v>17</v>
      </c>
      <c r="H592" s="12" t="s">
        <v>76</v>
      </c>
      <c r="I592" s="14">
        <v>45511</v>
      </c>
      <c r="J592" s="12" t="s">
        <v>731</v>
      </c>
    </row>
    <row r="593" spans="1:10" s="15" customFormat="1" x14ac:dyDescent="0.15">
      <c r="A593" s="11">
        <v>45513</v>
      </c>
      <c r="B593" s="12" t="s">
        <v>43</v>
      </c>
      <c r="C593" s="12" t="s">
        <v>732</v>
      </c>
      <c r="D593" s="13" t="str">
        <f>HYPERLINK("https://www.marklines.com/en/global/3111","Honda Development &amp; Manufacturing of America, LLC (HDMA), East Liberty Auto Plant")</f>
        <v>Honda Development &amp; Manufacturing of America, LLC (HDMA), East Liberty Auto Plant</v>
      </c>
      <c r="E593" s="12" t="s">
        <v>733</v>
      </c>
      <c r="F593" s="12" t="s">
        <v>16</v>
      </c>
      <c r="G593" s="12" t="s">
        <v>17</v>
      </c>
      <c r="H593" s="12" t="s">
        <v>18</v>
      </c>
      <c r="I593" s="14">
        <v>45511</v>
      </c>
      <c r="J593" s="12" t="s">
        <v>731</v>
      </c>
    </row>
    <row r="594" spans="1:10" s="15" customFormat="1" x14ac:dyDescent="0.15">
      <c r="A594" s="11">
        <v>45513</v>
      </c>
      <c r="B594" s="12" t="s">
        <v>43</v>
      </c>
      <c r="C594" s="12" t="s">
        <v>732</v>
      </c>
      <c r="D594" s="13" t="str">
        <f>HYPERLINK("https://www.marklines.com/en/global/3113","Honda Development &amp; Manufacturing of America, LLC (HDMA), Anna Engine Plant")</f>
        <v>Honda Development &amp; Manufacturing of America, LLC (HDMA), Anna Engine Plant</v>
      </c>
      <c r="E594" s="12" t="s">
        <v>583</v>
      </c>
      <c r="F594" s="12" t="s">
        <v>16</v>
      </c>
      <c r="G594" s="12" t="s">
        <v>17</v>
      </c>
      <c r="H594" s="12" t="s">
        <v>18</v>
      </c>
      <c r="I594" s="14">
        <v>45511</v>
      </c>
      <c r="J594" s="12" t="s">
        <v>731</v>
      </c>
    </row>
    <row r="595" spans="1:10" s="15" customFormat="1" x14ac:dyDescent="0.15">
      <c r="A595" s="11">
        <v>45513</v>
      </c>
      <c r="B595" s="12" t="s">
        <v>224</v>
      </c>
      <c r="C595" s="12" t="s">
        <v>414</v>
      </c>
      <c r="D595" s="13" t="str">
        <f>HYPERLINK("https://www.marklines.com/en/global/2475","General Motors, Lansing Grand River Assembly / Stamping Plant")</f>
        <v>General Motors, Lansing Grand River Assembly / Stamping Plant</v>
      </c>
      <c r="E595" s="12" t="s">
        <v>225</v>
      </c>
      <c r="F595" s="12" t="s">
        <v>16</v>
      </c>
      <c r="G595" s="12" t="s">
        <v>17</v>
      </c>
      <c r="H595" s="12" t="s">
        <v>19</v>
      </c>
      <c r="I595" s="14">
        <v>45511</v>
      </c>
      <c r="J595" s="12" t="s">
        <v>734</v>
      </c>
    </row>
    <row r="596" spans="1:10" s="15" customFormat="1" x14ac:dyDescent="0.15">
      <c r="A596" s="11">
        <v>45513</v>
      </c>
      <c r="B596" s="12" t="s">
        <v>224</v>
      </c>
      <c r="C596" s="12" t="s">
        <v>414</v>
      </c>
      <c r="D596" s="13" t="str">
        <f>HYPERLINK("https://www.marklines.com/en/global/2517","General Motors, Wentzville Assembly Plant")</f>
        <v>General Motors, Wentzville Assembly Plant</v>
      </c>
      <c r="E596" s="12" t="s">
        <v>525</v>
      </c>
      <c r="F596" s="12" t="s">
        <v>16</v>
      </c>
      <c r="G596" s="12" t="s">
        <v>17</v>
      </c>
      <c r="H596" s="12" t="s">
        <v>526</v>
      </c>
      <c r="I596" s="14">
        <v>45511</v>
      </c>
      <c r="J596" s="12" t="s">
        <v>734</v>
      </c>
    </row>
    <row r="597" spans="1:10" s="15" customFormat="1" x14ac:dyDescent="0.15">
      <c r="A597" s="11">
        <v>45513</v>
      </c>
      <c r="B597" s="12" t="s">
        <v>224</v>
      </c>
      <c r="C597" s="12" t="s">
        <v>414</v>
      </c>
      <c r="D597" s="13" t="str">
        <f>HYPERLINK("https://www.marklines.com/en/global/2473","General Motors, Lansing Delta Township / Lansing Regional Stamping Plant")</f>
        <v>General Motors, Lansing Delta Township / Lansing Regional Stamping Plant</v>
      </c>
      <c r="E597" s="12" t="s">
        <v>735</v>
      </c>
      <c r="F597" s="12" t="s">
        <v>16</v>
      </c>
      <c r="G597" s="12" t="s">
        <v>17</v>
      </c>
      <c r="H597" s="12" t="s">
        <v>19</v>
      </c>
      <c r="I597" s="14">
        <v>45511</v>
      </c>
      <c r="J597" s="12" t="s">
        <v>734</v>
      </c>
    </row>
    <row r="598" spans="1:10" s="15" customFormat="1" x14ac:dyDescent="0.15">
      <c r="A598" s="11">
        <v>45513</v>
      </c>
      <c r="B598" s="12" t="s">
        <v>224</v>
      </c>
      <c r="C598" s="12" t="s">
        <v>736</v>
      </c>
      <c r="D598" s="13" t="str">
        <f>HYPERLINK("https://www.marklines.com/en/global/2473","General Motors, Lansing Delta Township / Lansing Regional Stamping Plant")</f>
        <v>General Motors, Lansing Delta Township / Lansing Regional Stamping Plant</v>
      </c>
      <c r="E598" s="12" t="s">
        <v>735</v>
      </c>
      <c r="F598" s="12" t="s">
        <v>16</v>
      </c>
      <c r="G598" s="12" t="s">
        <v>17</v>
      </c>
      <c r="H598" s="12" t="s">
        <v>19</v>
      </c>
      <c r="I598" s="14">
        <v>45511</v>
      </c>
      <c r="J598" s="12" t="s">
        <v>734</v>
      </c>
    </row>
    <row r="599" spans="1:10" s="15" customFormat="1" x14ac:dyDescent="0.15">
      <c r="A599" s="11">
        <v>45513</v>
      </c>
      <c r="B599" s="12" t="s">
        <v>224</v>
      </c>
      <c r="C599" s="12" t="s">
        <v>737</v>
      </c>
      <c r="D599" s="13" t="str">
        <f>HYPERLINK("https://www.marklines.com/en/global/2475","General Motors, Lansing Grand River Assembly / Stamping Plant")</f>
        <v>General Motors, Lansing Grand River Assembly / Stamping Plant</v>
      </c>
      <c r="E599" s="12" t="s">
        <v>225</v>
      </c>
      <c r="F599" s="12" t="s">
        <v>16</v>
      </c>
      <c r="G599" s="12" t="s">
        <v>17</v>
      </c>
      <c r="H599" s="12" t="s">
        <v>19</v>
      </c>
      <c r="I599" s="14">
        <v>45511</v>
      </c>
      <c r="J599" s="12" t="s">
        <v>734</v>
      </c>
    </row>
    <row r="600" spans="1:10" s="15" customFormat="1" x14ac:dyDescent="0.15">
      <c r="A600" s="11">
        <v>45513</v>
      </c>
      <c r="B600" s="12" t="s">
        <v>224</v>
      </c>
      <c r="C600" s="12" t="s">
        <v>570</v>
      </c>
      <c r="D600" s="13" t="str">
        <f>HYPERLINK("https://www.marklines.com/en/global/2517","General Motors, Wentzville Assembly Plant")</f>
        <v>General Motors, Wentzville Assembly Plant</v>
      </c>
      <c r="E600" s="12" t="s">
        <v>525</v>
      </c>
      <c r="F600" s="12" t="s">
        <v>16</v>
      </c>
      <c r="G600" s="12" t="s">
        <v>17</v>
      </c>
      <c r="H600" s="12" t="s">
        <v>526</v>
      </c>
      <c r="I600" s="14">
        <v>45511</v>
      </c>
      <c r="J600" s="12" t="s">
        <v>734</v>
      </c>
    </row>
    <row r="601" spans="1:10" s="15" customFormat="1" x14ac:dyDescent="0.15">
      <c r="A601" s="11">
        <v>45513</v>
      </c>
      <c r="B601" s="12" t="s">
        <v>224</v>
      </c>
      <c r="C601" s="12" t="s">
        <v>570</v>
      </c>
      <c r="D601" s="13" t="str">
        <f>HYPERLINK("https://www.marklines.com/en/global/2473","General Motors, Lansing Delta Township / Lansing Regional Stamping Plant")</f>
        <v>General Motors, Lansing Delta Township / Lansing Regional Stamping Plant</v>
      </c>
      <c r="E601" s="12" t="s">
        <v>735</v>
      </c>
      <c r="F601" s="12" t="s">
        <v>16</v>
      </c>
      <c r="G601" s="12" t="s">
        <v>17</v>
      </c>
      <c r="H601" s="12" t="s">
        <v>19</v>
      </c>
      <c r="I601" s="14">
        <v>45511</v>
      </c>
      <c r="J601" s="12" t="s">
        <v>734</v>
      </c>
    </row>
    <row r="602" spans="1:10" s="15" customFormat="1" x14ac:dyDescent="0.15">
      <c r="A602" s="11">
        <v>45513</v>
      </c>
      <c r="B602" s="12" t="s">
        <v>224</v>
      </c>
      <c r="C602" s="12" t="s">
        <v>224</v>
      </c>
      <c r="D602" s="13" t="str">
        <f>HYPERLINK("https://www.marklines.com/en/global/2475","General Motors, Lansing Grand River Assembly / Stamping Plant")</f>
        <v>General Motors, Lansing Grand River Assembly / Stamping Plant</v>
      </c>
      <c r="E602" s="12" t="s">
        <v>225</v>
      </c>
      <c r="F602" s="12" t="s">
        <v>16</v>
      </c>
      <c r="G602" s="12" t="s">
        <v>17</v>
      </c>
      <c r="H602" s="12" t="s">
        <v>19</v>
      </c>
      <c r="I602" s="14">
        <v>45511</v>
      </c>
      <c r="J602" s="12" t="s">
        <v>734</v>
      </c>
    </row>
    <row r="603" spans="1:10" s="15" customFormat="1" x14ac:dyDescent="0.15">
      <c r="A603" s="11">
        <v>45513</v>
      </c>
      <c r="B603" s="12" t="s">
        <v>224</v>
      </c>
      <c r="C603" s="12" t="s">
        <v>224</v>
      </c>
      <c r="D603" s="13" t="str">
        <f>HYPERLINK("https://www.marklines.com/en/global/2517","General Motors, Wentzville Assembly Plant")</f>
        <v>General Motors, Wentzville Assembly Plant</v>
      </c>
      <c r="E603" s="12" t="s">
        <v>525</v>
      </c>
      <c r="F603" s="12" t="s">
        <v>16</v>
      </c>
      <c r="G603" s="12" t="s">
        <v>17</v>
      </c>
      <c r="H603" s="12" t="s">
        <v>526</v>
      </c>
      <c r="I603" s="14">
        <v>45511</v>
      </c>
      <c r="J603" s="12" t="s">
        <v>734</v>
      </c>
    </row>
    <row r="604" spans="1:10" s="15" customFormat="1" x14ac:dyDescent="0.15">
      <c r="A604" s="11">
        <v>45513</v>
      </c>
      <c r="B604" s="12" t="s">
        <v>224</v>
      </c>
      <c r="C604" s="12" t="s">
        <v>224</v>
      </c>
      <c r="D604" s="13" t="str">
        <f>HYPERLINK("https://www.marklines.com/en/global/2473","General Motors, Lansing Delta Township / Lansing Regional Stamping Plant")</f>
        <v>General Motors, Lansing Delta Township / Lansing Regional Stamping Plant</v>
      </c>
      <c r="E604" s="12" t="s">
        <v>735</v>
      </c>
      <c r="F604" s="12" t="s">
        <v>16</v>
      </c>
      <c r="G604" s="12" t="s">
        <v>17</v>
      </c>
      <c r="H604" s="12" t="s">
        <v>19</v>
      </c>
      <c r="I604" s="14">
        <v>45511</v>
      </c>
      <c r="J604" s="12" t="s">
        <v>734</v>
      </c>
    </row>
    <row r="605" spans="1:10" s="15" customFormat="1" x14ac:dyDescent="0.15">
      <c r="A605" s="11">
        <v>45513</v>
      </c>
      <c r="B605" s="12" t="s">
        <v>423</v>
      </c>
      <c r="C605" s="12" t="s">
        <v>423</v>
      </c>
      <c r="D605" s="13" t="str">
        <f>HYPERLINK("https://www.marklines.com/en/global/757","JSC Moscow Automobile Plant Moskvich, Moscow Plant (former CJSC Renault Russia)")</f>
        <v>JSC Moscow Automobile Plant Moskvich, Moscow Plant (former CJSC Renault Russia)</v>
      </c>
      <c r="E605" s="12" t="s">
        <v>556</v>
      </c>
      <c r="F605" s="12" t="s">
        <v>61</v>
      </c>
      <c r="G605" s="12" t="s">
        <v>235</v>
      </c>
      <c r="H605" s="12"/>
      <c r="I605" s="14">
        <v>45509</v>
      </c>
      <c r="J605" s="12" t="s">
        <v>738</v>
      </c>
    </row>
    <row r="606" spans="1:10" s="15" customFormat="1" x14ac:dyDescent="0.15">
      <c r="A606" s="11">
        <v>45513</v>
      </c>
      <c r="B606" s="12" t="s">
        <v>38</v>
      </c>
      <c r="C606" s="12" t="s">
        <v>739</v>
      </c>
      <c r="D606" s="13" t="str">
        <f>HYPERLINK("https://www.marklines.com/en/global/757","JSC Moscow Automobile Plant Moskvich, Moscow Plant (former CJSC Renault Russia)")</f>
        <v>JSC Moscow Automobile Plant Moskvich, Moscow Plant (former CJSC Renault Russia)</v>
      </c>
      <c r="E606" s="12" t="s">
        <v>556</v>
      </c>
      <c r="F606" s="12" t="s">
        <v>61</v>
      </c>
      <c r="G606" s="12" t="s">
        <v>235</v>
      </c>
      <c r="H606" s="12"/>
      <c r="I606" s="14">
        <v>45509</v>
      </c>
      <c r="J606" s="12" t="s">
        <v>738</v>
      </c>
    </row>
    <row r="607" spans="1:10" s="15" customFormat="1" x14ac:dyDescent="0.15">
      <c r="A607" s="11">
        <v>45513</v>
      </c>
      <c r="B607" s="12" t="s">
        <v>38</v>
      </c>
      <c r="C607" s="12" t="s">
        <v>38</v>
      </c>
      <c r="D607" s="13" t="str">
        <f>HYPERLINK("https://www.marklines.com/en/global/757","JSC Moscow Automobile Plant Moskvich, Moscow Plant (former CJSC Renault Russia)")</f>
        <v>JSC Moscow Automobile Plant Moskvich, Moscow Plant (former CJSC Renault Russia)</v>
      </c>
      <c r="E607" s="12" t="s">
        <v>556</v>
      </c>
      <c r="F607" s="12" t="s">
        <v>61</v>
      </c>
      <c r="G607" s="12" t="s">
        <v>235</v>
      </c>
      <c r="H607" s="12"/>
      <c r="I607" s="14">
        <v>45509</v>
      </c>
      <c r="J607" s="12" t="s">
        <v>738</v>
      </c>
    </row>
    <row r="608" spans="1:10" s="15" customFormat="1" x14ac:dyDescent="0.15">
      <c r="A608" s="11">
        <v>45513</v>
      </c>
      <c r="B608" s="12" t="s">
        <v>412</v>
      </c>
      <c r="C608" s="12" t="s">
        <v>413</v>
      </c>
      <c r="D608" s="13" t="str">
        <f>HYPERLINK("https://www.marklines.com/en/global/515","Mitsubishi Motors, Okazaki Plant")</f>
        <v>Mitsubishi Motors, Okazaki Plant</v>
      </c>
      <c r="E608" s="12" t="s">
        <v>740</v>
      </c>
      <c r="F608" s="12" t="s">
        <v>21</v>
      </c>
      <c r="G608" s="12" t="s">
        <v>22</v>
      </c>
      <c r="H608" s="12" t="s">
        <v>92</v>
      </c>
      <c r="I608" s="14">
        <v>45505</v>
      </c>
      <c r="J608" s="12" t="s">
        <v>741</v>
      </c>
    </row>
    <row r="609" spans="1:10" s="15" customFormat="1" x14ac:dyDescent="0.15">
      <c r="A609" s="11">
        <v>45513</v>
      </c>
      <c r="B609" s="12" t="s">
        <v>35</v>
      </c>
      <c r="C609" s="12" t="s">
        <v>35</v>
      </c>
      <c r="D609" s="13" t="str">
        <f>HYPERLINK("https://www.marklines.com/en/global/409","Toyota Auto Body, Fujimatsu Plant")</f>
        <v>Toyota Auto Body, Fujimatsu Plant</v>
      </c>
      <c r="E609" s="12" t="s">
        <v>127</v>
      </c>
      <c r="F609" s="12" t="s">
        <v>21</v>
      </c>
      <c r="G609" s="12" t="s">
        <v>22</v>
      </c>
      <c r="H609" s="12" t="s">
        <v>92</v>
      </c>
      <c r="I609" s="14">
        <v>45497</v>
      </c>
      <c r="J609" s="12" t="s">
        <v>742</v>
      </c>
    </row>
    <row r="610" spans="1:10" s="15" customFormat="1" x14ac:dyDescent="0.15">
      <c r="A610" s="11">
        <v>45513</v>
      </c>
      <c r="B610" s="12" t="s">
        <v>35</v>
      </c>
      <c r="C610" s="12" t="s">
        <v>35</v>
      </c>
      <c r="D610" s="13" t="str">
        <f>HYPERLINK("https://www.marklines.com/en/global/411","Toyota Auto Body, Yoshiwara Plant")</f>
        <v>Toyota Auto Body, Yoshiwara Plant</v>
      </c>
      <c r="E610" s="12" t="s">
        <v>211</v>
      </c>
      <c r="F610" s="12" t="s">
        <v>21</v>
      </c>
      <c r="G610" s="12" t="s">
        <v>22</v>
      </c>
      <c r="H610" s="12" t="s">
        <v>92</v>
      </c>
      <c r="I610" s="14">
        <v>45497</v>
      </c>
      <c r="J610" s="12" t="s">
        <v>742</v>
      </c>
    </row>
    <row r="611" spans="1:10" s="15" customFormat="1" x14ac:dyDescent="0.15">
      <c r="A611" s="11">
        <v>45513</v>
      </c>
      <c r="B611" s="12" t="s">
        <v>35</v>
      </c>
      <c r="C611" s="12" t="s">
        <v>35</v>
      </c>
      <c r="D611" s="13" t="str">
        <f>HYPERLINK("https://www.marklines.com/en/global/413","Toyota Auto Body, Inabe Plant")</f>
        <v>Toyota Auto Body, Inabe Plant</v>
      </c>
      <c r="E611" s="12" t="s">
        <v>743</v>
      </c>
      <c r="F611" s="12" t="s">
        <v>21</v>
      </c>
      <c r="G611" s="12" t="s">
        <v>22</v>
      </c>
      <c r="H611" s="12" t="s">
        <v>405</v>
      </c>
      <c r="I611" s="14">
        <v>45497</v>
      </c>
      <c r="J611" s="12" t="s">
        <v>742</v>
      </c>
    </row>
    <row r="612" spans="1:10" s="15" customFormat="1" x14ac:dyDescent="0.15">
      <c r="A612" s="11">
        <v>45513</v>
      </c>
      <c r="B612" s="12" t="s">
        <v>35</v>
      </c>
      <c r="C612" s="12" t="s">
        <v>133</v>
      </c>
      <c r="D612" s="13" t="str">
        <f>HYPERLINK("https://www.marklines.com/en/global/411","Toyota Auto Body, Yoshiwara Plant")</f>
        <v>Toyota Auto Body, Yoshiwara Plant</v>
      </c>
      <c r="E612" s="12" t="s">
        <v>211</v>
      </c>
      <c r="F612" s="12" t="s">
        <v>21</v>
      </c>
      <c r="G612" s="12" t="s">
        <v>22</v>
      </c>
      <c r="H612" s="12" t="s">
        <v>92</v>
      </c>
      <c r="I612" s="14">
        <v>45497</v>
      </c>
      <c r="J612" s="12" t="s">
        <v>742</v>
      </c>
    </row>
    <row r="613" spans="1:10" s="15" customFormat="1" x14ac:dyDescent="0.15">
      <c r="A613" s="11">
        <v>45513</v>
      </c>
      <c r="B613" s="12" t="s">
        <v>314</v>
      </c>
      <c r="C613" s="12" t="s">
        <v>314</v>
      </c>
      <c r="D613" s="13" t="str">
        <f>HYPERLINK("https://www.marklines.com/en/global/409","Toyota Auto Body, Fujimatsu Plant")</f>
        <v>Toyota Auto Body, Fujimatsu Plant</v>
      </c>
      <c r="E613" s="12" t="s">
        <v>127</v>
      </c>
      <c r="F613" s="12" t="s">
        <v>21</v>
      </c>
      <c r="G613" s="12" t="s">
        <v>22</v>
      </c>
      <c r="H613" s="12" t="s">
        <v>92</v>
      </c>
      <c r="I613" s="14">
        <v>45497</v>
      </c>
      <c r="J613" s="12" t="s">
        <v>742</v>
      </c>
    </row>
    <row r="614" spans="1:10" s="15" customFormat="1" x14ac:dyDescent="0.15">
      <c r="A614" s="11">
        <v>45513</v>
      </c>
      <c r="B614" s="12" t="s">
        <v>386</v>
      </c>
      <c r="C614" s="12" t="s">
        <v>386</v>
      </c>
      <c r="D614" s="13" t="str">
        <f>HYPERLINK("https://www.marklines.com/en/global/553","Isuzu Motors, Fujisawa Plant")</f>
        <v>Isuzu Motors, Fujisawa Plant</v>
      </c>
      <c r="E614" s="12" t="s">
        <v>387</v>
      </c>
      <c r="F614" s="12" t="s">
        <v>21</v>
      </c>
      <c r="G614" s="12" t="s">
        <v>22</v>
      </c>
      <c r="H614" s="12" t="s">
        <v>388</v>
      </c>
      <c r="I614" s="14">
        <v>45497</v>
      </c>
      <c r="J614" s="12" t="s">
        <v>744</v>
      </c>
    </row>
    <row r="615" spans="1:10" s="15" customFormat="1" x14ac:dyDescent="0.15">
      <c r="A615" s="11">
        <v>45513</v>
      </c>
      <c r="B615" s="12" t="s">
        <v>386</v>
      </c>
      <c r="C615" s="12" t="s">
        <v>386</v>
      </c>
      <c r="D615" s="13" t="str">
        <f>HYPERLINK("https://www.marklines.com/en/global/555","Isuzu Motors, Tochigi Plant")</f>
        <v>Isuzu Motors, Tochigi Plant</v>
      </c>
      <c r="E615" s="12" t="s">
        <v>745</v>
      </c>
      <c r="F615" s="12" t="s">
        <v>21</v>
      </c>
      <c r="G615" s="12" t="s">
        <v>22</v>
      </c>
      <c r="H615" s="12" t="s">
        <v>390</v>
      </c>
      <c r="I615" s="14">
        <v>45496</v>
      </c>
      <c r="J615" s="12" t="s">
        <v>746</v>
      </c>
    </row>
    <row r="616" spans="1:10" s="15" customFormat="1" x14ac:dyDescent="0.15">
      <c r="A616" s="11">
        <v>45513</v>
      </c>
      <c r="B616" s="12" t="s">
        <v>386</v>
      </c>
      <c r="C616" s="12" t="s">
        <v>386</v>
      </c>
      <c r="D616" s="13" t="str">
        <f>HYPERLINK("https://www.marklines.com/en/global/553","Isuzu Motors, Fujisawa Plant")</f>
        <v>Isuzu Motors, Fujisawa Plant</v>
      </c>
      <c r="E616" s="12" t="s">
        <v>387</v>
      </c>
      <c r="F616" s="12" t="s">
        <v>21</v>
      </c>
      <c r="G616" s="12" t="s">
        <v>22</v>
      </c>
      <c r="H616" s="12" t="s">
        <v>388</v>
      </c>
      <c r="I616" s="14">
        <v>45496</v>
      </c>
      <c r="J616" s="12" t="s">
        <v>746</v>
      </c>
    </row>
    <row r="617" spans="1:10" s="15" customFormat="1" x14ac:dyDescent="0.15">
      <c r="A617" s="11">
        <v>45513</v>
      </c>
      <c r="B617" s="12" t="s">
        <v>386</v>
      </c>
      <c r="C617" s="12" t="s">
        <v>689</v>
      </c>
      <c r="D617" s="13" t="str">
        <f>HYPERLINK("https://www.marklines.com/en/global/553","Isuzu Motors, Fujisawa Plant")</f>
        <v>Isuzu Motors, Fujisawa Plant</v>
      </c>
      <c r="E617" s="12" t="s">
        <v>387</v>
      </c>
      <c r="F617" s="12" t="s">
        <v>21</v>
      </c>
      <c r="G617" s="12" t="s">
        <v>22</v>
      </c>
      <c r="H617" s="12" t="s">
        <v>388</v>
      </c>
      <c r="I617" s="14">
        <v>45496</v>
      </c>
      <c r="J617" s="12" t="s">
        <v>746</v>
      </c>
    </row>
    <row r="618" spans="1:10" s="15" customFormat="1" x14ac:dyDescent="0.15">
      <c r="A618" s="11">
        <v>45513</v>
      </c>
      <c r="B618" s="12" t="s">
        <v>38</v>
      </c>
      <c r="C618" s="12" t="s">
        <v>38</v>
      </c>
      <c r="D618" s="13" t="str">
        <f>HYPERLINK("https://www.marklines.com/en/global/553","Isuzu Motors, Fujisawa Plant")</f>
        <v>Isuzu Motors, Fujisawa Plant</v>
      </c>
      <c r="E618" s="12" t="s">
        <v>387</v>
      </c>
      <c r="F618" s="12" t="s">
        <v>21</v>
      </c>
      <c r="G618" s="12" t="s">
        <v>22</v>
      </c>
      <c r="H618" s="12" t="s">
        <v>388</v>
      </c>
      <c r="I618" s="14">
        <v>45496</v>
      </c>
      <c r="J618" s="12" t="s">
        <v>746</v>
      </c>
    </row>
    <row r="619" spans="1:10" s="15" customFormat="1" x14ac:dyDescent="0.15">
      <c r="A619" s="11">
        <v>45513</v>
      </c>
      <c r="B619" s="12" t="s">
        <v>386</v>
      </c>
      <c r="C619" s="12" t="s">
        <v>689</v>
      </c>
      <c r="D619" s="13" t="str">
        <f>HYPERLINK("https://www.marklines.com/en/global/553","Isuzu Motors, Fujisawa Plant")</f>
        <v>Isuzu Motors, Fujisawa Plant</v>
      </c>
      <c r="E619" s="12" t="s">
        <v>387</v>
      </c>
      <c r="F619" s="12" t="s">
        <v>21</v>
      </c>
      <c r="G619" s="12" t="s">
        <v>22</v>
      </c>
      <c r="H619" s="12" t="s">
        <v>388</v>
      </c>
      <c r="I619" s="14">
        <v>45496</v>
      </c>
      <c r="J619" s="12" t="s">
        <v>747</v>
      </c>
    </row>
    <row r="620" spans="1:10" s="15" customFormat="1" x14ac:dyDescent="0.15">
      <c r="A620" s="11">
        <v>45512</v>
      </c>
      <c r="B620" s="12" t="s">
        <v>15</v>
      </c>
      <c r="C620" s="12" t="s">
        <v>15</v>
      </c>
      <c r="D620" s="13" t="str">
        <f>HYPERLINK("https://www.marklines.com/en/global/2595","Ford Motor, Chicago Assembly Plant")</f>
        <v>Ford Motor, Chicago Assembly Plant</v>
      </c>
      <c r="E620" s="12" t="s">
        <v>748</v>
      </c>
      <c r="F620" s="12" t="s">
        <v>16</v>
      </c>
      <c r="G620" s="12" t="s">
        <v>17</v>
      </c>
      <c r="H620" s="12" t="s">
        <v>32</v>
      </c>
      <c r="I620" s="14">
        <v>45511</v>
      </c>
      <c r="J620" s="12" t="s">
        <v>749</v>
      </c>
    </row>
    <row r="621" spans="1:10" s="15" customFormat="1" x14ac:dyDescent="0.15">
      <c r="A621" s="11">
        <v>45512</v>
      </c>
      <c r="B621" s="12" t="s">
        <v>95</v>
      </c>
      <c r="C621" s="12" t="s">
        <v>95</v>
      </c>
      <c r="D621" s="13" t="str">
        <f>HYPERLINK("https://www.marklines.com/en/global/3045","BMW Manufacturing Co., Spartanburg Plant")</f>
        <v>BMW Manufacturing Co., Spartanburg Plant</v>
      </c>
      <c r="E621" s="12" t="s">
        <v>671</v>
      </c>
      <c r="F621" s="12" t="s">
        <v>16</v>
      </c>
      <c r="G621" s="12" t="s">
        <v>17</v>
      </c>
      <c r="H621" s="12" t="s">
        <v>324</v>
      </c>
      <c r="I621" s="14">
        <v>45510</v>
      </c>
      <c r="J621" s="12" t="s">
        <v>750</v>
      </c>
    </row>
    <row r="622" spans="1:10" s="15" customFormat="1" x14ac:dyDescent="0.15">
      <c r="A622" s="11">
        <v>45512</v>
      </c>
      <c r="B622" s="12" t="s">
        <v>52</v>
      </c>
      <c r="C622" s="12" t="s">
        <v>378</v>
      </c>
      <c r="D622" s="13" t="str">
        <f>HYPERLINK("https://www.marklines.com/en/global/3893","Anhui Hualing Automobile Co., Ltd.")</f>
        <v>Anhui Hualing Automobile Co., Ltd.</v>
      </c>
      <c r="E622" s="12" t="s">
        <v>450</v>
      </c>
      <c r="F622" s="12" t="s">
        <v>21</v>
      </c>
      <c r="G622" s="12" t="s">
        <v>47</v>
      </c>
      <c r="H622" s="12" t="s">
        <v>105</v>
      </c>
      <c r="I622" s="14">
        <v>45508</v>
      </c>
      <c r="J622" s="12" t="s">
        <v>751</v>
      </c>
    </row>
    <row r="623" spans="1:10" s="15" customFormat="1" x14ac:dyDescent="0.15">
      <c r="A623" s="11">
        <v>45512</v>
      </c>
      <c r="B623" s="12" t="s">
        <v>52</v>
      </c>
      <c r="C623" s="12" t="s">
        <v>378</v>
      </c>
      <c r="D623" s="13" t="str">
        <f>HYPERLINK("https://www.marklines.com/en/global/10797","Zhejiang Geely Farizon New Energy Commercial Vehicle Group Co., Ltd. ")</f>
        <v xml:space="preserve">Zhejiang Geely Farizon New Energy Commercial Vehicle Group Co., Ltd. </v>
      </c>
      <c r="E623" s="12" t="s">
        <v>379</v>
      </c>
      <c r="F623" s="12" t="s">
        <v>21</v>
      </c>
      <c r="G623" s="12" t="s">
        <v>47</v>
      </c>
      <c r="H623" s="12" t="s">
        <v>54</v>
      </c>
      <c r="I623" s="14">
        <v>45508</v>
      </c>
      <c r="J623" s="12" t="s">
        <v>751</v>
      </c>
    </row>
    <row r="624" spans="1:10" s="15" customFormat="1" x14ac:dyDescent="0.15">
      <c r="A624" s="11">
        <v>45512</v>
      </c>
      <c r="B624" s="12" t="s">
        <v>290</v>
      </c>
      <c r="C624" s="12" t="s">
        <v>290</v>
      </c>
      <c r="D624" s="13" t="str">
        <f>HYPERLINK("https://www.marklines.com/en/global/3971","Dongfeng Motor Corporation ")</f>
        <v xml:space="preserve">Dongfeng Motor Corporation </v>
      </c>
      <c r="E624" s="12" t="s">
        <v>295</v>
      </c>
      <c r="F624" s="12" t="s">
        <v>21</v>
      </c>
      <c r="G624" s="12" t="s">
        <v>47</v>
      </c>
      <c r="H624" s="12" t="s">
        <v>294</v>
      </c>
      <c r="I624" s="14">
        <v>45506</v>
      </c>
      <c r="J624" s="12" t="s">
        <v>752</v>
      </c>
    </row>
    <row r="625" spans="1:10" s="15" customFormat="1" x14ac:dyDescent="0.15">
      <c r="A625" s="11">
        <v>45511</v>
      </c>
      <c r="B625" s="12" t="s">
        <v>612</v>
      </c>
      <c r="C625" s="12" t="s">
        <v>613</v>
      </c>
      <c r="D625" s="13" t="str">
        <f>HYPERLINK("https://www.marklines.com/en/global/8598","Jaguar Land Rover, Electric Propulsion Manufacturing Centre (formerly Engine Manufacturing Centre (EMC))")</f>
        <v>Jaguar Land Rover, Electric Propulsion Manufacturing Centre (formerly Engine Manufacturing Centre (EMC))</v>
      </c>
      <c r="E625" s="12" t="s">
        <v>753</v>
      </c>
      <c r="F625" s="12" t="s">
        <v>13</v>
      </c>
      <c r="G625" s="12" t="s">
        <v>588</v>
      </c>
      <c r="H625" s="12"/>
      <c r="I625" s="14">
        <v>45511</v>
      </c>
      <c r="J625" s="12" t="s">
        <v>754</v>
      </c>
    </row>
    <row r="626" spans="1:10" s="15" customFormat="1" x14ac:dyDescent="0.15">
      <c r="A626" s="11">
        <v>45511</v>
      </c>
      <c r="B626" s="12" t="s">
        <v>612</v>
      </c>
      <c r="C626" s="12" t="s">
        <v>755</v>
      </c>
      <c r="D626" s="13" t="str">
        <f>HYPERLINK("https://www.marklines.com/en/global/8598","Jaguar Land Rover, Electric Propulsion Manufacturing Centre (formerly Engine Manufacturing Centre (EMC))")</f>
        <v>Jaguar Land Rover, Electric Propulsion Manufacturing Centre (formerly Engine Manufacturing Centre (EMC))</v>
      </c>
      <c r="E626" s="12" t="s">
        <v>753</v>
      </c>
      <c r="F626" s="12" t="s">
        <v>13</v>
      </c>
      <c r="G626" s="12" t="s">
        <v>588</v>
      </c>
      <c r="H626" s="12"/>
      <c r="I626" s="14">
        <v>45511</v>
      </c>
      <c r="J626" s="12" t="s">
        <v>754</v>
      </c>
    </row>
    <row r="627" spans="1:10" s="15" customFormat="1" x14ac:dyDescent="0.15">
      <c r="A627" s="11">
        <v>45511</v>
      </c>
      <c r="B627" s="12" t="s">
        <v>612</v>
      </c>
      <c r="C627" s="12" t="s">
        <v>755</v>
      </c>
      <c r="D627" s="13" t="str">
        <f>HYPERLINK("https://www.marklines.com/en/global/2337","Jaguar Land Rover, Solihull Plant")</f>
        <v>Jaguar Land Rover, Solihull Plant</v>
      </c>
      <c r="E627" s="12" t="s">
        <v>756</v>
      </c>
      <c r="F627" s="12" t="s">
        <v>13</v>
      </c>
      <c r="G627" s="12" t="s">
        <v>588</v>
      </c>
      <c r="H627" s="12"/>
      <c r="I627" s="14">
        <v>45511</v>
      </c>
      <c r="J627" s="12" t="s">
        <v>754</v>
      </c>
    </row>
    <row r="628" spans="1:10" s="15" customFormat="1" x14ac:dyDescent="0.15">
      <c r="A628" s="11">
        <v>45511</v>
      </c>
      <c r="B628" s="12" t="s">
        <v>612</v>
      </c>
      <c r="C628" s="12" t="s">
        <v>757</v>
      </c>
      <c r="D628" s="13" t="str">
        <f>HYPERLINK("https://www.marklines.com/en/global/8598","Jaguar Land Rover, Electric Propulsion Manufacturing Centre (formerly Engine Manufacturing Centre (EMC))")</f>
        <v>Jaguar Land Rover, Electric Propulsion Manufacturing Centre (formerly Engine Manufacturing Centre (EMC))</v>
      </c>
      <c r="E628" s="12" t="s">
        <v>753</v>
      </c>
      <c r="F628" s="12" t="s">
        <v>13</v>
      </c>
      <c r="G628" s="12" t="s">
        <v>588</v>
      </c>
      <c r="H628" s="12"/>
      <c r="I628" s="14">
        <v>45511</v>
      </c>
      <c r="J628" s="12" t="s">
        <v>754</v>
      </c>
    </row>
    <row r="629" spans="1:10" s="15" customFormat="1" x14ac:dyDescent="0.15">
      <c r="A629" s="11">
        <v>45511</v>
      </c>
      <c r="B629" s="12" t="s">
        <v>612</v>
      </c>
      <c r="C629" s="12" t="s">
        <v>757</v>
      </c>
      <c r="D629" s="13" t="str">
        <f>HYPERLINK("https://www.marklines.com/en/global/2337","Jaguar Land Rover, Solihull Plant")</f>
        <v>Jaguar Land Rover, Solihull Plant</v>
      </c>
      <c r="E629" s="12" t="s">
        <v>756</v>
      </c>
      <c r="F629" s="12" t="s">
        <v>13</v>
      </c>
      <c r="G629" s="12" t="s">
        <v>588</v>
      </c>
      <c r="H629" s="12"/>
      <c r="I629" s="14">
        <v>45511</v>
      </c>
      <c r="J629" s="12" t="s">
        <v>754</v>
      </c>
    </row>
    <row r="630" spans="1:10" s="15" customFormat="1" x14ac:dyDescent="0.15">
      <c r="A630" s="11">
        <v>45511</v>
      </c>
      <c r="B630" s="12" t="s">
        <v>612</v>
      </c>
      <c r="C630" s="12" t="s">
        <v>757</v>
      </c>
      <c r="D630" s="13" t="str">
        <f>HYPERLINK("https://www.marklines.com/en/global/2335","Jaguar Land Rover, Halewood Plant")</f>
        <v>Jaguar Land Rover, Halewood Plant</v>
      </c>
      <c r="E630" s="12" t="s">
        <v>758</v>
      </c>
      <c r="F630" s="12" t="s">
        <v>13</v>
      </c>
      <c r="G630" s="12" t="s">
        <v>588</v>
      </c>
      <c r="H630" s="12"/>
      <c r="I630" s="14">
        <v>45511</v>
      </c>
      <c r="J630" s="12" t="s">
        <v>754</v>
      </c>
    </row>
    <row r="631" spans="1:10" s="15" customFormat="1" x14ac:dyDescent="0.15">
      <c r="A631" s="11">
        <v>45511</v>
      </c>
      <c r="B631" s="12" t="s">
        <v>612</v>
      </c>
      <c r="C631" s="12" t="s">
        <v>757</v>
      </c>
      <c r="D631" s="13" t="str">
        <f>HYPERLINK("https://www.marklines.com/en/global/9378","Jaguar Land Rover Slovakia s.r.o., Nitra Plant")</f>
        <v>Jaguar Land Rover Slovakia s.r.o., Nitra Plant</v>
      </c>
      <c r="E631" s="12" t="s">
        <v>759</v>
      </c>
      <c r="F631" s="12" t="s">
        <v>61</v>
      </c>
      <c r="G631" s="12" t="s">
        <v>760</v>
      </c>
      <c r="H631" s="12"/>
      <c r="I631" s="14">
        <v>45511</v>
      </c>
      <c r="J631" s="12" t="s">
        <v>754</v>
      </c>
    </row>
    <row r="632" spans="1:10" s="15" customFormat="1" x14ac:dyDescent="0.15">
      <c r="A632" s="11">
        <v>45511</v>
      </c>
      <c r="B632" s="12" t="s">
        <v>78</v>
      </c>
      <c r="C632" s="12" t="s">
        <v>599</v>
      </c>
      <c r="D632" s="13" t="str">
        <f>HYPERLINK("https://www.marklines.com/en/global/2829","Mercedes-Benz do Brasil Ltda, Daimler Truck, São Bernardo do Campo Plant")</f>
        <v>Mercedes-Benz do Brasil Ltda, Daimler Truck, São Bernardo do Campo Plant</v>
      </c>
      <c r="E632" s="12" t="s">
        <v>600</v>
      </c>
      <c r="F632" s="12" t="s">
        <v>45</v>
      </c>
      <c r="G632" s="12" t="s">
        <v>232</v>
      </c>
      <c r="H632" s="12"/>
      <c r="I632" s="14">
        <v>45510</v>
      </c>
      <c r="J632" s="12" t="s">
        <v>761</v>
      </c>
    </row>
    <row r="633" spans="1:10" s="15" customFormat="1" x14ac:dyDescent="0.15">
      <c r="A633" s="11">
        <v>45511</v>
      </c>
      <c r="B633" s="12" t="s">
        <v>30</v>
      </c>
      <c r="C633" s="12" t="s">
        <v>30</v>
      </c>
      <c r="D633" s="13" t="str">
        <f>HYPERLINK("https://www.marklines.com/en/global/3153","Rivian, Normal Plant (former Mitsubishi Motors North America, Normal Plant)")</f>
        <v>Rivian, Normal Plant (former Mitsubishi Motors North America, Normal Plant)</v>
      </c>
      <c r="E633" s="12" t="s">
        <v>31</v>
      </c>
      <c r="F633" s="12" t="s">
        <v>16</v>
      </c>
      <c r="G633" s="12" t="s">
        <v>17</v>
      </c>
      <c r="H633" s="12" t="s">
        <v>32</v>
      </c>
      <c r="I633" s="14">
        <v>45510</v>
      </c>
      <c r="J633" s="12" t="s">
        <v>762</v>
      </c>
    </row>
    <row r="634" spans="1:10" s="15" customFormat="1" x14ac:dyDescent="0.15">
      <c r="A634" s="11">
        <v>45511</v>
      </c>
      <c r="B634" s="12" t="s">
        <v>35</v>
      </c>
      <c r="C634" s="12" t="s">
        <v>35</v>
      </c>
      <c r="D634" s="13" t="str">
        <f>HYPERLINK("https://www.marklines.com/en/global/1065","Indus Motor Company Ltd. (IMC), Karachi Plant")</f>
        <v>Indus Motor Company Ltd. (IMC), Karachi Plant</v>
      </c>
      <c r="E634" s="12" t="s">
        <v>509</v>
      </c>
      <c r="F634" s="12" t="s">
        <v>36</v>
      </c>
      <c r="G634" s="12" t="s">
        <v>510</v>
      </c>
      <c r="H634" s="12"/>
      <c r="I634" s="14">
        <v>45509</v>
      </c>
      <c r="J634" s="12" t="s">
        <v>763</v>
      </c>
    </row>
    <row r="635" spans="1:10" s="15" customFormat="1" x14ac:dyDescent="0.15">
      <c r="A635" s="11">
        <v>45511</v>
      </c>
      <c r="B635" s="12" t="s">
        <v>275</v>
      </c>
      <c r="C635" s="12" t="s">
        <v>275</v>
      </c>
      <c r="D635" s="13" t="str">
        <f>HYPERLINK("https://www.marklines.com/en/global/9873","Lucid Motors (Lucid Group, Inc.), Casa Grande plant (AMP-1)")</f>
        <v>Lucid Motors (Lucid Group, Inc.), Casa Grande plant (AMP-1)</v>
      </c>
      <c r="E635" s="12" t="s">
        <v>276</v>
      </c>
      <c r="F635" s="12" t="s">
        <v>16</v>
      </c>
      <c r="G635" s="12" t="s">
        <v>17</v>
      </c>
      <c r="H635" s="12" t="s">
        <v>28</v>
      </c>
      <c r="I635" s="14">
        <v>45509</v>
      </c>
      <c r="J635" s="12" t="s">
        <v>764</v>
      </c>
    </row>
    <row r="636" spans="1:10" s="15" customFormat="1" x14ac:dyDescent="0.15">
      <c r="A636" s="11">
        <v>45511</v>
      </c>
      <c r="B636" s="12" t="s">
        <v>23</v>
      </c>
      <c r="C636" s="12" t="s">
        <v>23</v>
      </c>
      <c r="D636" s="13" t="str">
        <f>HYPERLINK("https://www.marklines.com/en/global/9895","Tesla Gigafactory Berlin-Brandenburg")</f>
        <v>Tesla Gigafactory Berlin-Brandenburg</v>
      </c>
      <c r="E636" s="12" t="s">
        <v>24</v>
      </c>
      <c r="F636" s="12" t="s">
        <v>13</v>
      </c>
      <c r="G636" s="12" t="s">
        <v>25</v>
      </c>
      <c r="H636" s="12"/>
      <c r="I636" s="14">
        <v>45507</v>
      </c>
      <c r="J636" s="12" t="s">
        <v>765</v>
      </c>
    </row>
    <row r="637" spans="1:10" s="15" customFormat="1" x14ac:dyDescent="0.15">
      <c r="A637" s="11">
        <v>45511</v>
      </c>
      <c r="B637" s="12" t="s">
        <v>224</v>
      </c>
      <c r="C637" s="12" t="s">
        <v>224</v>
      </c>
      <c r="D637" s="13" t="str">
        <f>HYPERLINK("https://www.marklines.com/en/global/9039","SAIC GM Wuling Automobile Co., Ltd. Chongqing Branch (SGMW Chongqing Branch)")</f>
        <v>SAIC GM Wuling Automobile Co., Ltd. Chongqing Branch (SGMW Chongqing Branch)</v>
      </c>
      <c r="E637" s="12" t="s">
        <v>766</v>
      </c>
      <c r="F637" s="12" t="s">
        <v>21</v>
      </c>
      <c r="G637" s="12" t="s">
        <v>47</v>
      </c>
      <c r="H637" s="12" t="s">
        <v>362</v>
      </c>
      <c r="I637" s="14">
        <v>45506</v>
      </c>
      <c r="J637" s="12" t="s">
        <v>767</v>
      </c>
    </row>
    <row r="638" spans="1:10" s="15" customFormat="1" x14ac:dyDescent="0.15">
      <c r="A638" s="11">
        <v>45511</v>
      </c>
      <c r="B638" s="12" t="s">
        <v>51</v>
      </c>
      <c r="C638" s="12" t="s">
        <v>51</v>
      </c>
      <c r="D638" s="13" t="str">
        <f>HYPERLINK("https://www.marklines.com/en/global/9039","SAIC GM Wuling Automobile Co., Ltd. Chongqing Branch (SGMW Chongqing Branch)")</f>
        <v>SAIC GM Wuling Automobile Co., Ltd. Chongqing Branch (SGMW Chongqing Branch)</v>
      </c>
      <c r="E638" s="12" t="s">
        <v>766</v>
      </c>
      <c r="F638" s="12" t="s">
        <v>21</v>
      </c>
      <c r="G638" s="12" t="s">
        <v>47</v>
      </c>
      <c r="H638" s="12" t="s">
        <v>362</v>
      </c>
      <c r="I638" s="14">
        <v>45506</v>
      </c>
      <c r="J638" s="12" t="s">
        <v>767</v>
      </c>
    </row>
    <row r="639" spans="1:10" s="15" customFormat="1" x14ac:dyDescent="0.15">
      <c r="A639" s="11">
        <v>45511</v>
      </c>
      <c r="B639" s="12" t="s">
        <v>51</v>
      </c>
      <c r="C639" s="12" t="s">
        <v>458</v>
      </c>
      <c r="D639" s="13" t="str">
        <f>HYPERLINK("https://www.marklines.com/en/global/9039","SAIC GM Wuling Automobile Co., Ltd. Chongqing Branch (SGMW Chongqing Branch)")</f>
        <v>SAIC GM Wuling Automobile Co., Ltd. Chongqing Branch (SGMW Chongqing Branch)</v>
      </c>
      <c r="E639" s="12" t="s">
        <v>766</v>
      </c>
      <c r="F639" s="12" t="s">
        <v>21</v>
      </c>
      <c r="G639" s="12" t="s">
        <v>47</v>
      </c>
      <c r="H639" s="12" t="s">
        <v>362</v>
      </c>
      <c r="I639" s="14">
        <v>45506</v>
      </c>
      <c r="J639" s="12" t="s">
        <v>767</v>
      </c>
    </row>
    <row r="640" spans="1:10" s="15" customFormat="1" x14ac:dyDescent="0.15">
      <c r="A640" s="11">
        <v>45510</v>
      </c>
      <c r="B640" s="12" t="s">
        <v>49</v>
      </c>
      <c r="C640" s="12" t="s">
        <v>576</v>
      </c>
      <c r="D640" s="13" t="str">
        <f>HYPERLINK("https://www.marklines.com/en/global/2191","Porsche AG, Leipzig Plant")</f>
        <v>Porsche AG, Leipzig Plant</v>
      </c>
      <c r="E640" s="12" t="s">
        <v>768</v>
      </c>
      <c r="F640" s="12" t="s">
        <v>13</v>
      </c>
      <c r="G640" s="12" t="s">
        <v>25</v>
      </c>
      <c r="H640" s="12"/>
      <c r="I640" s="14">
        <v>45510</v>
      </c>
      <c r="J640" s="12" t="s">
        <v>769</v>
      </c>
    </row>
    <row r="641" spans="1:10" s="15" customFormat="1" x14ac:dyDescent="0.15">
      <c r="A641" s="11">
        <v>45510</v>
      </c>
      <c r="B641" s="12" t="s">
        <v>275</v>
      </c>
      <c r="C641" s="12" t="s">
        <v>275</v>
      </c>
      <c r="D641" s="13" t="str">
        <f>HYPERLINK("https://www.marklines.com/en/global/10762","Lucid Advanced Manufacturing Plant (AMP-2) ")</f>
        <v xml:space="preserve">Lucid Advanced Manufacturing Plant (AMP-2) </v>
      </c>
      <c r="E641" s="12" t="s">
        <v>770</v>
      </c>
      <c r="F641" s="12" t="s">
        <v>41</v>
      </c>
      <c r="G641" s="12" t="s">
        <v>771</v>
      </c>
      <c r="H641" s="12"/>
      <c r="I641" s="14">
        <v>45509</v>
      </c>
      <c r="J641" s="12" t="s">
        <v>772</v>
      </c>
    </row>
    <row r="642" spans="1:10" s="15" customFormat="1" x14ac:dyDescent="0.15">
      <c r="A642" s="11">
        <v>45510</v>
      </c>
      <c r="B642" s="12" t="s">
        <v>275</v>
      </c>
      <c r="C642" s="12" t="s">
        <v>275</v>
      </c>
      <c r="D642" s="13" t="str">
        <f>HYPERLINK("https://www.marklines.com/en/global/9873","Lucid Motors (Lucid Group, Inc.), Casa Grande plant (AMP-1)")</f>
        <v>Lucid Motors (Lucid Group, Inc.), Casa Grande plant (AMP-1)</v>
      </c>
      <c r="E642" s="12" t="s">
        <v>276</v>
      </c>
      <c r="F642" s="12" t="s">
        <v>16</v>
      </c>
      <c r="G642" s="12" t="s">
        <v>17</v>
      </c>
      <c r="H642" s="12" t="s">
        <v>28</v>
      </c>
      <c r="I642" s="14">
        <v>45509</v>
      </c>
      <c r="J642" s="12" t="s">
        <v>772</v>
      </c>
    </row>
    <row r="643" spans="1:10" s="15" customFormat="1" x14ac:dyDescent="0.15">
      <c r="A643" s="11">
        <v>45510</v>
      </c>
      <c r="B643" s="12" t="s">
        <v>77</v>
      </c>
      <c r="C643" s="12" t="s">
        <v>77</v>
      </c>
      <c r="D643" s="13" t="str">
        <f>HYPERLINK("https://www.marklines.com/en/global/3187","Nissan North America, Canton Plant")</f>
        <v>Nissan North America, Canton Plant</v>
      </c>
      <c r="E643" s="12" t="s">
        <v>773</v>
      </c>
      <c r="F643" s="12" t="s">
        <v>16</v>
      </c>
      <c r="G643" s="12" t="s">
        <v>17</v>
      </c>
      <c r="H643" s="12" t="s">
        <v>143</v>
      </c>
      <c r="I643" s="14">
        <v>45509</v>
      </c>
      <c r="J643" s="12" t="s">
        <v>774</v>
      </c>
    </row>
    <row r="644" spans="1:10" s="15" customFormat="1" x14ac:dyDescent="0.15">
      <c r="A644" s="11">
        <v>45510</v>
      </c>
      <c r="B644" s="12" t="s">
        <v>23</v>
      </c>
      <c r="C644" s="12" t="s">
        <v>23</v>
      </c>
      <c r="D644" s="13" t="str">
        <f>HYPERLINK("https://www.marklines.com/en/global/10665","Tesla Gigafactory New York")</f>
        <v>Tesla Gigafactory New York</v>
      </c>
      <c r="E644" s="12" t="s">
        <v>775</v>
      </c>
      <c r="F644" s="12" t="s">
        <v>16</v>
      </c>
      <c r="G644" s="12" t="s">
        <v>17</v>
      </c>
      <c r="H644" s="12" t="s">
        <v>776</v>
      </c>
      <c r="I644" s="14">
        <v>45508</v>
      </c>
      <c r="J644" s="12" t="s">
        <v>777</v>
      </c>
    </row>
    <row r="645" spans="1:10" s="15" customFormat="1" x14ac:dyDescent="0.15">
      <c r="A645" s="11">
        <v>45510</v>
      </c>
      <c r="B645" s="12" t="s">
        <v>15</v>
      </c>
      <c r="C645" s="12" t="s">
        <v>15</v>
      </c>
      <c r="D645" s="13" t="str">
        <f>HYPERLINK("https://www.marklines.com/en/global/2595","Ford Motor, Chicago Assembly Plant")</f>
        <v>Ford Motor, Chicago Assembly Plant</v>
      </c>
      <c r="E645" s="12" t="s">
        <v>748</v>
      </c>
      <c r="F645" s="12" t="s">
        <v>16</v>
      </c>
      <c r="G645" s="12" t="s">
        <v>17</v>
      </c>
      <c r="H645" s="12" t="s">
        <v>32</v>
      </c>
      <c r="I645" s="14">
        <v>45506</v>
      </c>
      <c r="J645" s="12" t="s">
        <v>778</v>
      </c>
    </row>
    <row r="646" spans="1:10" s="15" customFormat="1" x14ac:dyDescent="0.15">
      <c r="A646" s="11">
        <v>45510</v>
      </c>
      <c r="B646" s="12" t="s">
        <v>15</v>
      </c>
      <c r="C646" s="12" t="s">
        <v>779</v>
      </c>
      <c r="D646" s="13" t="str">
        <f>HYPERLINK("https://www.marklines.com/en/global/2595","Ford Motor, Chicago Assembly Plant")</f>
        <v>Ford Motor, Chicago Assembly Plant</v>
      </c>
      <c r="E646" s="12" t="s">
        <v>748</v>
      </c>
      <c r="F646" s="12" t="s">
        <v>16</v>
      </c>
      <c r="G646" s="12" t="s">
        <v>17</v>
      </c>
      <c r="H646" s="12" t="s">
        <v>32</v>
      </c>
      <c r="I646" s="14">
        <v>45506</v>
      </c>
      <c r="J646" s="12" t="s">
        <v>778</v>
      </c>
    </row>
    <row r="647" spans="1:10" s="15" customFormat="1" x14ac:dyDescent="0.15">
      <c r="A647" s="11">
        <v>45510</v>
      </c>
      <c r="B647" s="12" t="s">
        <v>725</v>
      </c>
      <c r="C647" s="12" t="s">
        <v>780</v>
      </c>
      <c r="D647" s="13" t="str">
        <f>HYPERLINK("https://www.marklines.com/en/global/2647","Stellantis, FCA US, Warren Truck Assembly Plant")</f>
        <v>Stellantis, FCA US, Warren Truck Assembly Plant</v>
      </c>
      <c r="E647" s="12" t="s">
        <v>164</v>
      </c>
      <c r="F647" s="12" t="s">
        <v>16</v>
      </c>
      <c r="G647" s="12" t="s">
        <v>17</v>
      </c>
      <c r="H647" s="12" t="s">
        <v>19</v>
      </c>
      <c r="I647" s="14">
        <v>45506</v>
      </c>
      <c r="J647" s="12" t="s">
        <v>781</v>
      </c>
    </row>
    <row r="648" spans="1:10" s="15" customFormat="1" x14ac:dyDescent="0.15">
      <c r="A648" s="11">
        <v>45510</v>
      </c>
      <c r="B648" s="12" t="s">
        <v>59</v>
      </c>
      <c r="C648" s="12" t="s">
        <v>253</v>
      </c>
      <c r="D648" s="13" t="str">
        <f>HYPERLINK("https://www.marklines.com/en/global/9824","GAC Aion New Energy Automobile Co., Ltd.")</f>
        <v>GAC Aion New Energy Automobile Co., Ltd.</v>
      </c>
      <c r="E648" s="12" t="s">
        <v>534</v>
      </c>
      <c r="F648" s="12" t="s">
        <v>21</v>
      </c>
      <c r="G648" s="12" t="s">
        <v>47</v>
      </c>
      <c r="H648" s="12" t="s">
        <v>48</v>
      </c>
      <c r="I648" s="14">
        <v>45505</v>
      </c>
      <c r="J648" s="12" t="s">
        <v>782</v>
      </c>
    </row>
    <row r="649" spans="1:10" s="15" customFormat="1" x14ac:dyDescent="0.15">
      <c r="A649" s="11">
        <v>45510</v>
      </c>
      <c r="B649" s="12" t="s">
        <v>38</v>
      </c>
      <c r="C649" s="12" t="s">
        <v>38</v>
      </c>
      <c r="D649" s="13" t="str">
        <f>HYPERLINK("https://www.marklines.com/en/global/10683","Kim Long Motors, Thua Thien Hue Plant")</f>
        <v>Kim Long Motors, Thua Thien Hue Plant</v>
      </c>
      <c r="E649" s="12" t="s">
        <v>783</v>
      </c>
      <c r="F649" s="12" t="s">
        <v>60</v>
      </c>
      <c r="G649" s="12" t="s">
        <v>376</v>
      </c>
      <c r="H649" s="12"/>
      <c r="I649" s="14">
        <v>45325</v>
      </c>
      <c r="J649" s="12" t="s">
        <v>784</v>
      </c>
    </row>
    <row r="650" spans="1:10" s="15" customFormat="1" x14ac:dyDescent="0.15">
      <c r="A650" s="11">
        <v>45510</v>
      </c>
      <c r="B650" s="12" t="s">
        <v>785</v>
      </c>
      <c r="C650" s="12" t="s">
        <v>785</v>
      </c>
      <c r="D650" s="13" t="str">
        <f>HYPERLINK("https://www.marklines.com/en/global/10683","Kim Long Motors, Thua Thien Hue Plant")</f>
        <v>Kim Long Motors, Thua Thien Hue Plant</v>
      </c>
      <c r="E650" s="12" t="s">
        <v>783</v>
      </c>
      <c r="F650" s="12" t="s">
        <v>60</v>
      </c>
      <c r="G650" s="12" t="s">
        <v>376</v>
      </c>
      <c r="H650" s="12"/>
      <c r="I650" s="14">
        <v>45325</v>
      </c>
      <c r="J650" s="12" t="s">
        <v>784</v>
      </c>
    </row>
    <row r="651" spans="1:10" s="15" customFormat="1" x14ac:dyDescent="0.15">
      <c r="A651" s="11">
        <v>45509</v>
      </c>
      <c r="B651" s="12" t="s">
        <v>52</v>
      </c>
      <c r="C651" s="12" t="s">
        <v>322</v>
      </c>
      <c r="D651" s="13" t="str">
        <f>HYPERLINK("https://www.marklines.com/en/global/10726","Volvo Cars, Košice Plant (tentative name）")</f>
        <v>Volvo Cars, Košice Plant (tentative name）</v>
      </c>
      <c r="E651" s="12" t="s">
        <v>786</v>
      </c>
      <c r="F651" s="12" t="s">
        <v>61</v>
      </c>
      <c r="G651" s="12" t="s">
        <v>760</v>
      </c>
      <c r="H651" s="12"/>
      <c r="I651" s="14">
        <v>45509</v>
      </c>
      <c r="J651" s="12" t="s">
        <v>787</v>
      </c>
    </row>
    <row r="652" spans="1:10" s="15" customFormat="1" x14ac:dyDescent="0.15">
      <c r="A652" s="11">
        <v>45509</v>
      </c>
      <c r="B652" s="12" t="s">
        <v>35</v>
      </c>
      <c r="C652" s="12" t="s">
        <v>35</v>
      </c>
      <c r="D652" s="13" t="str">
        <f t="shared" ref="D652:D659" si="0">HYPERLINK("https://www.marklines.com/en/global/1809","Magna Steyr Fahrzeugtechnik AG &amp; Co KG, Graz Plant")</f>
        <v>Magna Steyr Fahrzeugtechnik AG &amp; Co KG, Graz Plant</v>
      </c>
      <c r="E652" s="12" t="s">
        <v>371</v>
      </c>
      <c r="F652" s="12" t="s">
        <v>13</v>
      </c>
      <c r="G652" s="12" t="s">
        <v>372</v>
      </c>
      <c r="H652" s="12"/>
      <c r="I652" s="14">
        <v>45509</v>
      </c>
      <c r="J652" s="12" t="s">
        <v>788</v>
      </c>
    </row>
    <row r="653" spans="1:10" s="15" customFormat="1" x14ac:dyDescent="0.15">
      <c r="A653" s="11">
        <v>45509</v>
      </c>
      <c r="B653" s="12" t="s">
        <v>49</v>
      </c>
      <c r="C653" s="12" t="s">
        <v>789</v>
      </c>
      <c r="D653" s="13" t="str">
        <f t="shared" si="0"/>
        <v>Magna Steyr Fahrzeugtechnik AG &amp; Co KG, Graz Plant</v>
      </c>
      <c r="E653" s="12" t="s">
        <v>371</v>
      </c>
      <c r="F653" s="12" t="s">
        <v>13</v>
      </c>
      <c r="G653" s="12" t="s">
        <v>372</v>
      </c>
      <c r="H653" s="12"/>
      <c r="I653" s="14">
        <v>45509</v>
      </c>
      <c r="J653" s="12" t="s">
        <v>788</v>
      </c>
    </row>
    <row r="654" spans="1:10" s="15" customFormat="1" x14ac:dyDescent="0.15">
      <c r="A654" s="11">
        <v>45509</v>
      </c>
      <c r="B654" s="12" t="s">
        <v>33</v>
      </c>
      <c r="C654" s="12" t="s">
        <v>34</v>
      </c>
      <c r="D654" s="13" t="str">
        <f t="shared" si="0"/>
        <v>Magna Steyr Fahrzeugtechnik AG &amp; Co KG, Graz Plant</v>
      </c>
      <c r="E654" s="12" t="s">
        <v>371</v>
      </c>
      <c r="F654" s="12" t="s">
        <v>13</v>
      </c>
      <c r="G654" s="12" t="s">
        <v>372</v>
      </c>
      <c r="H654" s="12"/>
      <c r="I654" s="14">
        <v>45509</v>
      </c>
      <c r="J654" s="12" t="s">
        <v>788</v>
      </c>
    </row>
    <row r="655" spans="1:10" s="15" customFormat="1" x14ac:dyDescent="0.15">
      <c r="A655" s="11">
        <v>45509</v>
      </c>
      <c r="B655" s="12" t="s">
        <v>95</v>
      </c>
      <c r="C655" s="12" t="s">
        <v>95</v>
      </c>
      <c r="D655" s="13" t="str">
        <f t="shared" si="0"/>
        <v>Magna Steyr Fahrzeugtechnik AG &amp; Co KG, Graz Plant</v>
      </c>
      <c r="E655" s="12" t="s">
        <v>371</v>
      </c>
      <c r="F655" s="12" t="s">
        <v>13</v>
      </c>
      <c r="G655" s="12" t="s">
        <v>372</v>
      </c>
      <c r="H655" s="12"/>
      <c r="I655" s="14">
        <v>45509</v>
      </c>
      <c r="J655" s="12" t="s">
        <v>788</v>
      </c>
    </row>
    <row r="656" spans="1:10" s="15" customFormat="1" x14ac:dyDescent="0.15">
      <c r="A656" s="11">
        <v>45509</v>
      </c>
      <c r="B656" s="12" t="s">
        <v>612</v>
      </c>
      <c r="C656" s="12" t="s">
        <v>755</v>
      </c>
      <c r="D656" s="13" t="str">
        <f t="shared" si="0"/>
        <v>Magna Steyr Fahrzeugtechnik AG &amp; Co KG, Graz Plant</v>
      </c>
      <c r="E656" s="12" t="s">
        <v>371</v>
      </c>
      <c r="F656" s="12" t="s">
        <v>13</v>
      </c>
      <c r="G656" s="12" t="s">
        <v>372</v>
      </c>
      <c r="H656" s="12"/>
      <c r="I656" s="14">
        <v>45509</v>
      </c>
      <c r="J656" s="12" t="s">
        <v>788</v>
      </c>
    </row>
    <row r="657" spans="1:10" s="15" customFormat="1" x14ac:dyDescent="0.15">
      <c r="A657" s="11">
        <v>45509</v>
      </c>
      <c r="B657" s="12" t="s">
        <v>38</v>
      </c>
      <c r="C657" s="12" t="s">
        <v>790</v>
      </c>
      <c r="D657" s="13" t="str">
        <f t="shared" si="0"/>
        <v>Magna Steyr Fahrzeugtechnik AG &amp; Co KG, Graz Plant</v>
      </c>
      <c r="E657" s="12" t="s">
        <v>371</v>
      </c>
      <c r="F657" s="12" t="s">
        <v>13</v>
      </c>
      <c r="G657" s="12" t="s">
        <v>372</v>
      </c>
      <c r="H657" s="12"/>
      <c r="I657" s="14">
        <v>45509</v>
      </c>
      <c r="J657" s="12" t="s">
        <v>788</v>
      </c>
    </row>
    <row r="658" spans="1:10" s="15" customFormat="1" x14ac:dyDescent="0.15">
      <c r="A658" s="11">
        <v>45509</v>
      </c>
      <c r="B658" s="12" t="s">
        <v>38</v>
      </c>
      <c r="C658" s="12" t="s">
        <v>38</v>
      </c>
      <c r="D658" s="13" t="str">
        <f t="shared" si="0"/>
        <v>Magna Steyr Fahrzeugtechnik AG &amp; Co KG, Graz Plant</v>
      </c>
      <c r="E658" s="12" t="s">
        <v>371</v>
      </c>
      <c r="F658" s="12" t="s">
        <v>13</v>
      </c>
      <c r="G658" s="12" t="s">
        <v>372</v>
      </c>
      <c r="H658" s="12"/>
      <c r="I658" s="14">
        <v>45509</v>
      </c>
      <c r="J658" s="12" t="s">
        <v>788</v>
      </c>
    </row>
    <row r="659" spans="1:10" s="15" customFormat="1" x14ac:dyDescent="0.15">
      <c r="A659" s="11">
        <v>45509</v>
      </c>
      <c r="B659" s="12" t="s">
        <v>791</v>
      </c>
      <c r="C659" s="12" t="s">
        <v>791</v>
      </c>
      <c r="D659" s="13" t="str">
        <f t="shared" si="0"/>
        <v>Magna Steyr Fahrzeugtechnik AG &amp; Co KG, Graz Plant</v>
      </c>
      <c r="E659" s="12" t="s">
        <v>371</v>
      </c>
      <c r="F659" s="12" t="s">
        <v>13</v>
      </c>
      <c r="G659" s="12" t="s">
        <v>372</v>
      </c>
      <c r="H659" s="12"/>
      <c r="I659" s="14">
        <v>45509</v>
      </c>
      <c r="J659" s="12" t="s">
        <v>788</v>
      </c>
    </row>
    <row r="660" spans="1:10" s="15" customFormat="1" x14ac:dyDescent="0.15">
      <c r="A660" s="11">
        <v>45509</v>
      </c>
      <c r="B660" s="12" t="s">
        <v>792</v>
      </c>
      <c r="C660" s="12" t="s">
        <v>792</v>
      </c>
      <c r="D660" s="13" t="str">
        <f>HYPERLINK("https://www.marklines.com/en/global/699","GAZ OAO (GAZ OJSC, Gorky Avtomobilny Zavod)")</f>
        <v>GAZ OAO (GAZ OJSC, Gorky Avtomobilny Zavod)</v>
      </c>
      <c r="E660" s="12" t="s">
        <v>793</v>
      </c>
      <c r="F660" s="12" t="s">
        <v>61</v>
      </c>
      <c r="G660" s="12" t="s">
        <v>235</v>
      </c>
      <c r="H660" s="12"/>
      <c r="I660" s="14">
        <v>45506</v>
      </c>
      <c r="J660" s="12" t="s">
        <v>794</v>
      </c>
    </row>
    <row r="661" spans="1:10" s="15" customFormat="1" x14ac:dyDescent="0.15">
      <c r="A661" s="11">
        <v>45509</v>
      </c>
      <c r="B661" s="12" t="s">
        <v>103</v>
      </c>
      <c r="C661" s="12" t="s">
        <v>506</v>
      </c>
      <c r="D661" s="13" t="str">
        <f>HYPERLINK("https://www.marklines.com/en/global/1925","Barcelona Decarbonisation Hub (D-HUB) (former Nissan Motor Iberica, Barcelona Plant)")</f>
        <v>Barcelona Decarbonisation Hub (D-HUB) (former Nissan Motor Iberica, Barcelona Plant)</v>
      </c>
      <c r="E661" s="12" t="s">
        <v>507</v>
      </c>
      <c r="F661" s="12" t="s">
        <v>13</v>
      </c>
      <c r="G661" s="12" t="s">
        <v>14</v>
      </c>
      <c r="H661" s="12"/>
      <c r="I661" s="14">
        <v>45506</v>
      </c>
      <c r="J661" s="12" t="s">
        <v>795</v>
      </c>
    </row>
    <row r="662" spans="1:10" s="15" customFormat="1" x14ac:dyDescent="0.15">
      <c r="A662" s="11">
        <v>45509</v>
      </c>
      <c r="B662" s="12" t="s">
        <v>38</v>
      </c>
      <c r="C662" s="12" t="s">
        <v>38</v>
      </c>
      <c r="D662" s="13" t="str">
        <f>HYPERLINK("https://www.marklines.com/en/global/1925","Barcelona Decarbonisation Hub (D-HUB) (former Nissan Motor Iberica, Barcelona Plant)")</f>
        <v>Barcelona Decarbonisation Hub (D-HUB) (former Nissan Motor Iberica, Barcelona Plant)</v>
      </c>
      <c r="E662" s="12" t="s">
        <v>507</v>
      </c>
      <c r="F662" s="12" t="s">
        <v>13</v>
      </c>
      <c r="G662" s="12" t="s">
        <v>14</v>
      </c>
      <c r="H662" s="12"/>
      <c r="I662" s="14">
        <v>45506</v>
      </c>
      <c r="J662" s="12" t="s">
        <v>795</v>
      </c>
    </row>
    <row r="663" spans="1:10" s="15" customFormat="1" x14ac:dyDescent="0.15">
      <c r="A663" s="11">
        <v>45509</v>
      </c>
      <c r="B663" s="12" t="s">
        <v>38</v>
      </c>
      <c r="C663" s="12" t="s">
        <v>796</v>
      </c>
      <c r="D663" s="13" t="str">
        <f>HYPERLINK("https://www.marklines.com/en/global/3593","Beiben Trucks Group Co.,Ltd.")</f>
        <v>Beiben Trucks Group Co.,Ltd.</v>
      </c>
      <c r="E663" s="12" t="s">
        <v>797</v>
      </c>
      <c r="F663" s="12" t="s">
        <v>21</v>
      </c>
      <c r="G663" s="12" t="s">
        <v>47</v>
      </c>
      <c r="H663" s="12" t="s">
        <v>798</v>
      </c>
      <c r="I663" s="14">
        <v>45504</v>
      </c>
      <c r="J663" s="12" t="s">
        <v>799</v>
      </c>
    </row>
    <row r="664" spans="1:10" s="15" customFormat="1" x14ac:dyDescent="0.15">
      <c r="A664" s="11">
        <v>45509</v>
      </c>
      <c r="B664" s="12" t="s">
        <v>103</v>
      </c>
      <c r="C664" s="12" t="s">
        <v>103</v>
      </c>
      <c r="D664" s="13" t="str">
        <f>HYPERLINK("https://www.marklines.com/en/global/3969","Chery Commercial Vehicle (Anhui) Co., Ltd. Henan Branch (formerly Chery Automobile Henan Co., Ltd.)")</f>
        <v>Chery Commercial Vehicle (Anhui) Co., Ltd. Henan Branch (formerly Chery Automobile Henan Co., Ltd.)</v>
      </c>
      <c r="E664" s="12" t="s">
        <v>800</v>
      </c>
      <c r="F664" s="12" t="s">
        <v>21</v>
      </c>
      <c r="G664" s="12" t="s">
        <v>47</v>
      </c>
      <c r="H664" s="12" t="s">
        <v>478</v>
      </c>
      <c r="I664" s="14">
        <v>45500</v>
      </c>
      <c r="J664" s="12" t="s">
        <v>801</v>
      </c>
    </row>
    <row r="665" spans="1:10" s="15" customFormat="1" x14ac:dyDescent="0.15">
      <c r="A665" s="11">
        <v>45509</v>
      </c>
      <c r="B665" s="12" t="s">
        <v>103</v>
      </c>
      <c r="C665" s="12" t="s">
        <v>802</v>
      </c>
      <c r="D665" s="13" t="str">
        <f>HYPERLINK("https://www.marklines.com/en/global/3969","Chery Commercial Vehicle (Anhui) Co., Ltd. Henan Branch (formerly Chery Automobile Henan Co., Ltd.)")</f>
        <v>Chery Commercial Vehicle (Anhui) Co., Ltd. Henan Branch (formerly Chery Automobile Henan Co., Ltd.)</v>
      </c>
      <c r="E665" s="12" t="s">
        <v>800</v>
      </c>
      <c r="F665" s="12" t="s">
        <v>21</v>
      </c>
      <c r="G665" s="12" t="s">
        <v>47</v>
      </c>
      <c r="H665" s="12" t="s">
        <v>478</v>
      </c>
      <c r="I665" s="14">
        <v>45500</v>
      </c>
      <c r="J665" s="12" t="s">
        <v>801</v>
      </c>
    </row>
    <row r="666" spans="1:10" s="15" customFormat="1" x14ac:dyDescent="0.15">
      <c r="A666" s="11">
        <v>45507</v>
      </c>
      <c r="B666" s="12" t="s">
        <v>44</v>
      </c>
      <c r="C666" s="12" t="s">
        <v>803</v>
      </c>
      <c r="D666" s="13" t="str">
        <f>HYPERLINK("https://www.marklines.com/en/global/169","Renault ElectriCity, Douai (Georges Besse) Plant")</f>
        <v>Renault ElectriCity, Douai (Georges Besse) Plant</v>
      </c>
      <c r="E666" s="12" t="s">
        <v>804</v>
      </c>
      <c r="F666" s="12" t="s">
        <v>13</v>
      </c>
      <c r="G666" s="12" t="s">
        <v>29</v>
      </c>
      <c r="H666" s="12"/>
      <c r="I666" s="14">
        <v>45503</v>
      </c>
      <c r="J666" s="12" t="s">
        <v>805</v>
      </c>
    </row>
    <row r="667" spans="1:10" s="15" customFormat="1" x14ac:dyDescent="0.15">
      <c r="A667" s="11">
        <v>45506</v>
      </c>
      <c r="B667" s="12" t="s">
        <v>224</v>
      </c>
      <c r="C667" s="12" t="s">
        <v>224</v>
      </c>
      <c r="D667" s="13" t="str">
        <f>HYPERLINK("https://www.marklines.com/en/global/2847","General Motors Brazil, Sao Jose dos Campos Plant")</f>
        <v>General Motors Brazil, Sao Jose dos Campos Plant</v>
      </c>
      <c r="E667" s="12" t="s">
        <v>637</v>
      </c>
      <c r="F667" s="12" t="s">
        <v>45</v>
      </c>
      <c r="G667" s="12" t="s">
        <v>232</v>
      </c>
      <c r="H667" s="12"/>
      <c r="I667" s="14">
        <v>45506</v>
      </c>
      <c r="J667" s="12" t="s">
        <v>638</v>
      </c>
    </row>
    <row r="668" spans="1:10" s="15" customFormat="1" x14ac:dyDescent="0.15">
      <c r="A668" s="11">
        <v>45506</v>
      </c>
      <c r="B668" s="12" t="s">
        <v>300</v>
      </c>
      <c r="C668" s="12" t="s">
        <v>301</v>
      </c>
      <c r="D668" s="13" t="str">
        <f>HYPERLINK("https://www.marklines.com/en/global/1103","Ashok Leyland, Hosur Plant")</f>
        <v>Ashok Leyland, Hosur Plant</v>
      </c>
      <c r="E668" s="12" t="s">
        <v>302</v>
      </c>
      <c r="F668" s="12" t="s">
        <v>36</v>
      </c>
      <c r="G668" s="12" t="s">
        <v>37</v>
      </c>
      <c r="H668" s="12" t="s">
        <v>84</v>
      </c>
      <c r="I668" s="14">
        <v>45505</v>
      </c>
      <c r="J668" s="12" t="s">
        <v>639</v>
      </c>
    </row>
    <row r="669" spans="1:10" s="15" customFormat="1" x14ac:dyDescent="0.15">
      <c r="A669" s="11">
        <v>45506</v>
      </c>
      <c r="B669" s="12" t="s">
        <v>23</v>
      </c>
      <c r="C669" s="12" t="s">
        <v>23</v>
      </c>
      <c r="D669" s="13" t="str">
        <f>HYPERLINK("https://www.marklines.com/en/global/9812","Tesla (Shanghai) Co., Ltd.")</f>
        <v>Tesla (Shanghai) Co., Ltd.</v>
      </c>
      <c r="E669" s="12" t="s">
        <v>640</v>
      </c>
      <c r="F669" s="12" t="s">
        <v>21</v>
      </c>
      <c r="G669" s="12" t="s">
        <v>47</v>
      </c>
      <c r="H669" s="12" t="s">
        <v>94</v>
      </c>
      <c r="I669" s="14">
        <v>45504</v>
      </c>
      <c r="J669" s="12" t="s">
        <v>641</v>
      </c>
    </row>
    <row r="670" spans="1:10" s="15" customFormat="1" x14ac:dyDescent="0.15">
      <c r="A670" s="11">
        <v>45506</v>
      </c>
      <c r="B670" s="12" t="s">
        <v>23</v>
      </c>
      <c r="C670" s="12" t="s">
        <v>23</v>
      </c>
      <c r="D670" s="13" t="str">
        <f>HYPERLINK("https://www.marklines.com/en/global/3283","Tesla, Fremont Plant")</f>
        <v>Tesla, Fremont Plant</v>
      </c>
      <c r="E670" s="12" t="s">
        <v>642</v>
      </c>
      <c r="F670" s="12" t="s">
        <v>16</v>
      </c>
      <c r="G670" s="12" t="s">
        <v>17</v>
      </c>
      <c r="H670" s="12" t="s">
        <v>445</v>
      </c>
      <c r="I670" s="14">
        <v>45504</v>
      </c>
      <c r="J670" s="12" t="s">
        <v>641</v>
      </c>
    </row>
    <row r="671" spans="1:10" s="15" customFormat="1" x14ac:dyDescent="0.15">
      <c r="A671" s="11">
        <v>45506</v>
      </c>
      <c r="B671" s="12" t="s">
        <v>23</v>
      </c>
      <c r="C671" s="12" t="s">
        <v>23</v>
      </c>
      <c r="D671" s="13" t="str">
        <f>HYPERLINK("https://www.marklines.com/en/global/4512","Tesla Gigafactory Nevada")</f>
        <v>Tesla Gigafactory Nevada</v>
      </c>
      <c r="E671" s="12" t="s">
        <v>347</v>
      </c>
      <c r="F671" s="12" t="s">
        <v>16</v>
      </c>
      <c r="G671" s="12" t="s">
        <v>17</v>
      </c>
      <c r="H671" s="12" t="s">
        <v>348</v>
      </c>
      <c r="I671" s="14">
        <v>45504</v>
      </c>
      <c r="J671" s="12" t="s">
        <v>641</v>
      </c>
    </row>
    <row r="672" spans="1:10" s="15" customFormat="1" x14ac:dyDescent="0.15">
      <c r="A672" s="11">
        <v>45506</v>
      </c>
      <c r="B672" s="12" t="s">
        <v>224</v>
      </c>
      <c r="C672" s="12" t="s">
        <v>414</v>
      </c>
      <c r="D672" s="13" t="str">
        <f>HYPERLINK("https://www.marklines.com/en/global/9012","UzAuto Motors, Asaka Plant (formerly UzDaewooAuto, GM Uzbekistan)")</f>
        <v>UzAuto Motors, Asaka Plant (formerly UzDaewooAuto, GM Uzbekistan)</v>
      </c>
      <c r="E672" s="12" t="s">
        <v>643</v>
      </c>
      <c r="F672" s="12" t="s">
        <v>61</v>
      </c>
      <c r="G672" s="12" t="s">
        <v>148</v>
      </c>
      <c r="H672" s="12"/>
      <c r="I672" s="14">
        <v>45503</v>
      </c>
      <c r="J672" s="12" t="s">
        <v>644</v>
      </c>
    </row>
    <row r="673" spans="1:10" s="15" customFormat="1" x14ac:dyDescent="0.15">
      <c r="A673" s="11">
        <v>45506</v>
      </c>
      <c r="B673" s="12" t="s">
        <v>38</v>
      </c>
      <c r="C673" s="12" t="s">
        <v>449</v>
      </c>
      <c r="D673" s="13" t="str">
        <f>HYPERLINK("https://www.marklines.com/en/global/9012","UzAuto Motors, Asaka Plant (formerly UzDaewooAuto, GM Uzbekistan)")</f>
        <v>UzAuto Motors, Asaka Plant (formerly UzDaewooAuto, GM Uzbekistan)</v>
      </c>
      <c r="E673" s="12" t="s">
        <v>643</v>
      </c>
      <c r="F673" s="12" t="s">
        <v>61</v>
      </c>
      <c r="G673" s="12" t="s">
        <v>148</v>
      </c>
      <c r="H673" s="12"/>
      <c r="I673" s="14">
        <v>45503</v>
      </c>
      <c r="J673" s="12" t="s">
        <v>644</v>
      </c>
    </row>
    <row r="674" spans="1:10" s="15" customFormat="1" x14ac:dyDescent="0.15">
      <c r="A674" s="11">
        <v>45506</v>
      </c>
      <c r="B674" s="12" t="s">
        <v>35</v>
      </c>
      <c r="C674" s="12" t="s">
        <v>35</v>
      </c>
      <c r="D674" s="13" t="str">
        <f>HYPERLINK("https://www.marklines.com/en/global/1065","Indus Motor Company Ltd. (IMC), Karachi Plant")</f>
        <v>Indus Motor Company Ltd. (IMC), Karachi Plant</v>
      </c>
      <c r="E674" s="12" t="s">
        <v>509</v>
      </c>
      <c r="F674" s="12" t="s">
        <v>36</v>
      </c>
      <c r="G674" s="12" t="s">
        <v>510</v>
      </c>
      <c r="H674" s="12"/>
      <c r="I674" s="14">
        <v>45503</v>
      </c>
      <c r="J674" s="12" t="s">
        <v>645</v>
      </c>
    </row>
    <row r="675" spans="1:10" s="15" customFormat="1" x14ac:dyDescent="0.15">
      <c r="A675" s="11">
        <v>45506</v>
      </c>
      <c r="B675" s="12" t="s">
        <v>59</v>
      </c>
      <c r="C675" s="12" t="s">
        <v>59</v>
      </c>
      <c r="D675" s="13" t="str">
        <f>HYPERLINK("https://www.marklines.com/en/global/4075","GAC Trumpchi Motor Co., Ltd. (formerly GAC Motor Co., Ltd.)")</f>
        <v>GAC Trumpchi Motor Co., Ltd. (formerly GAC Motor Co., Ltd.)</v>
      </c>
      <c r="E675" s="12" t="s">
        <v>646</v>
      </c>
      <c r="F675" s="12" t="s">
        <v>21</v>
      </c>
      <c r="G675" s="12" t="s">
        <v>47</v>
      </c>
      <c r="H675" s="12" t="s">
        <v>48</v>
      </c>
      <c r="I675" s="14">
        <v>45503</v>
      </c>
      <c r="J675" s="12" t="s">
        <v>647</v>
      </c>
    </row>
    <row r="676" spans="1:10" s="15" customFormat="1" x14ac:dyDescent="0.15">
      <c r="A676" s="11">
        <v>45505</v>
      </c>
      <c r="B676" s="12" t="s">
        <v>49</v>
      </c>
      <c r="C676" s="12" t="s">
        <v>98</v>
      </c>
      <c r="D676" s="13" t="str">
        <f>HYPERLINK("https://www.marklines.com/en/global/2199","Audi AG, Ingolstadt Plant")</f>
        <v>Audi AG, Ingolstadt Plant</v>
      </c>
      <c r="E676" s="12" t="s">
        <v>648</v>
      </c>
      <c r="F676" s="12" t="s">
        <v>13</v>
      </c>
      <c r="G676" s="12" t="s">
        <v>25</v>
      </c>
      <c r="H676" s="12"/>
      <c r="I676" s="14">
        <v>45504</v>
      </c>
      <c r="J676" s="12" t="s">
        <v>649</v>
      </c>
    </row>
    <row r="677" spans="1:10" s="15" customFormat="1" x14ac:dyDescent="0.15">
      <c r="A677" s="11">
        <v>45505</v>
      </c>
      <c r="B677" s="12" t="s">
        <v>15</v>
      </c>
      <c r="C677" s="12" t="s">
        <v>15</v>
      </c>
      <c r="D677" s="13" t="str">
        <f>HYPERLINK("https://www.marklines.com/en/global/859","Ford Motor Mexico, Hermosillo Stamping and Assembly Plant")</f>
        <v>Ford Motor Mexico, Hermosillo Stamping and Assembly Plant</v>
      </c>
      <c r="E677" s="12" t="s">
        <v>536</v>
      </c>
      <c r="F677" s="12" t="s">
        <v>16</v>
      </c>
      <c r="G677" s="12" t="s">
        <v>229</v>
      </c>
      <c r="H677" s="12"/>
      <c r="I677" s="14">
        <v>45504</v>
      </c>
      <c r="J677" s="12" t="s">
        <v>650</v>
      </c>
    </row>
    <row r="678" spans="1:10" s="15" customFormat="1" x14ac:dyDescent="0.15">
      <c r="A678" s="11">
        <v>45505</v>
      </c>
      <c r="B678" s="12" t="s">
        <v>651</v>
      </c>
      <c r="C678" s="12" t="s">
        <v>651</v>
      </c>
      <c r="D678" s="13" t="str">
        <f>HYPERLINK("https://www.marklines.com/en/global/10596","Lion Electric, Joliet plant")</f>
        <v>Lion Electric, Joliet plant</v>
      </c>
      <c r="E678" s="12" t="s">
        <v>652</v>
      </c>
      <c r="F678" s="12" t="s">
        <v>16</v>
      </c>
      <c r="G678" s="12" t="s">
        <v>17</v>
      </c>
      <c r="H678" s="12" t="s">
        <v>32</v>
      </c>
      <c r="I678" s="14">
        <v>45504</v>
      </c>
      <c r="J678" s="12" t="s">
        <v>653</v>
      </c>
    </row>
    <row r="679" spans="1:10" s="15" customFormat="1" x14ac:dyDescent="0.15">
      <c r="A679" s="11">
        <v>45505</v>
      </c>
      <c r="B679" s="12" t="s">
        <v>51</v>
      </c>
      <c r="C679" s="12" t="s">
        <v>51</v>
      </c>
      <c r="D679" s="13" t="str">
        <f>HYPERLINK("https://www.marklines.com/en/global/4153","SAIC-GM-Wuling Automobile Co., Ltd. (SGMW)　")</f>
        <v>SAIC-GM-Wuling Automobile Co., Ltd. (SGMW)　</v>
      </c>
      <c r="E679" s="12" t="s">
        <v>459</v>
      </c>
      <c r="F679" s="12" t="s">
        <v>21</v>
      </c>
      <c r="G679" s="12" t="s">
        <v>47</v>
      </c>
      <c r="H679" s="12" t="s">
        <v>460</v>
      </c>
      <c r="I679" s="14">
        <v>45503</v>
      </c>
      <c r="J679" s="12" t="s">
        <v>654</v>
      </c>
    </row>
    <row r="680" spans="1:10" s="15" customFormat="1" x14ac:dyDescent="0.15">
      <c r="A680" s="11">
        <v>45505</v>
      </c>
      <c r="B680" s="12" t="s">
        <v>51</v>
      </c>
      <c r="C680" s="12" t="s">
        <v>458</v>
      </c>
      <c r="D680" s="13" t="str">
        <f>HYPERLINK("https://www.marklines.com/en/global/4153","SAIC-GM-Wuling Automobile Co., Ltd. (SGMW)　")</f>
        <v>SAIC-GM-Wuling Automobile Co., Ltd. (SGMW)　</v>
      </c>
      <c r="E680" s="12" t="s">
        <v>459</v>
      </c>
      <c r="F680" s="12" t="s">
        <v>21</v>
      </c>
      <c r="G680" s="12" t="s">
        <v>47</v>
      </c>
      <c r="H680" s="12" t="s">
        <v>460</v>
      </c>
      <c r="I680" s="14">
        <v>45503</v>
      </c>
      <c r="J680" s="12" t="s">
        <v>654</v>
      </c>
    </row>
    <row r="681" spans="1:10" s="15" customFormat="1" x14ac:dyDescent="0.15">
      <c r="A681" s="11">
        <v>45505</v>
      </c>
      <c r="B681" s="12" t="s">
        <v>386</v>
      </c>
      <c r="C681" s="12" t="s">
        <v>386</v>
      </c>
      <c r="D681" s="13" t="str">
        <f>HYPERLINK("https://www.marklines.com/en/global/6437","Shyft Group, Builtmore Contract Mfg., Charlotte Plant")</f>
        <v>Shyft Group, Builtmore Contract Mfg., Charlotte Plant</v>
      </c>
      <c r="E681" s="12" t="s">
        <v>655</v>
      </c>
      <c r="F681" s="12" t="s">
        <v>16</v>
      </c>
      <c r="G681" s="12" t="s">
        <v>17</v>
      </c>
      <c r="H681" s="12" t="s">
        <v>19</v>
      </c>
      <c r="I681" s="14">
        <v>45503</v>
      </c>
      <c r="J681" s="12" t="s">
        <v>656</v>
      </c>
    </row>
    <row r="682" spans="1:10" s="15" customFormat="1" x14ac:dyDescent="0.15">
      <c r="A682" s="11">
        <v>45505</v>
      </c>
      <c r="B682" s="12" t="s">
        <v>49</v>
      </c>
      <c r="C682" s="12" t="s">
        <v>86</v>
      </c>
      <c r="D682" s="13" t="str">
        <f>HYPERLINK("https://www.marklines.com/en/global/911","Volkswagen Mexico, Puebla Plant")</f>
        <v>Volkswagen Mexico, Puebla Plant</v>
      </c>
      <c r="E682" s="12" t="s">
        <v>228</v>
      </c>
      <c r="F682" s="12" t="s">
        <v>16</v>
      </c>
      <c r="G682" s="12" t="s">
        <v>229</v>
      </c>
      <c r="H682" s="12"/>
      <c r="I682" s="14">
        <v>45503</v>
      </c>
      <c r="J682" s="12" t="s">
        <v>657</v>
      </c>
    </row>
    <row r="683" spans="1:10" s="15" customFormat="1" x14ac:dyDescent="0.15">
      <c r="A683" s="11">
        <v>45505</v>
      </c>
      <c r="B683" s="12" t="s">
        <v>44</v>
      </c>
      <c r="C683" s="12" t="s">
        <v>44</v>
      </c>
      <c r="D683" s="13" t="str">
        <f>HYPERLINK("https://www.marklines.com/en/global/165","SOVAB, Batilly Plant")</f>
        <v>SOVAB, Batilly Plant</v>
      </c>
      <c r="E683" s="12" t="s">
        <v>658</v>
      </c>
      <c r="F683" s="12" t="s">
        <v>13</v>
      </c>
      <c r="G683" s="12" t="s">
        <v>29</v>
      </c>
      <c r="H683" s="12"/>
      <c r="I683" s="14">
        <v>45499</v>
      </c>
      <c r="J683" s="12" t="s">
        <v>659</v>
      </c>
    </row>
    <row r="684" spans="1:10" s="15" customFormat="1" x14ac:dyDescent="0.15">
      <c r="A684" s="11">
        <v>45505</v>
      </c>
      <c r="B684" s="12" t="s">
        <v>59</v>
      </c>
      <c r="C684" s="12" t="s">
        <v>253</v>
      </c>
      <c r="D684" s="13" t="str">
        <f>HYPERLINK("https://www.marklines.com/en/global/9824","GAC Aion New Energy Automobile Co., Ltd.")</f>
        <v>GAC Aion New Energy Automobile Co., Ltd.</v>
      </c>
      <c r="E684" s="12" t="s">
        <v>534</v>
      </c>
      <c r="F684" s="12" t="s">
        <v>21</v>
      </c>
      <c r="G684" s="12" t="s">
        <v>47</v>
      </c>
      <c r="H684" s="12" t="s">
        <v>48</v>
      </c>
      <c r="I684" s="14">
        <v>45499</v>
      </c>
      <c r="J684" s="12" t="s">
        <v>660</v>
      </c>
    </row>
    <row r="685" spans="1:10" s="15" customFormat="1" x14ac:dyDescent="0.15">
      <c r="A685" s="11">
        <v>45505</v>
      </c>
      <c r="B685" s="12" t="s">
        <v>59</v>
      </c>
      <c r="C685" s="12" t="s">
        <v>253</v>
      </c>
      <c r="D685" s="13" t="str">
        <f>HYPERLINK("https://www.marklines.com/en/global/10900","GAC AION Indonesia, West Java Plant (tentative name)")</f>
        <v>GAC AION Indonesia, West Java Plant (tentative name)</v>
      </c>
      <c r="E685" s="12" t="s">
        <v>661</v>
      </c>
      <c r="F685" s="12" t="s">
        <v>60</v>
      </c>
      <c r="G685" s="12" t="s">
        <v>118</v>
      </c>
      <c r="H685" s="12"/>
      <c r="I685" s="14">
        <v>45499</v>
      </c>
      <c r="J685" s="12" t="s">
        <v>660</v>
      </c>
    </row>
    <row r="686" spans="1:10" s="15" customFormat="1" x14ac:dyDescent="0.15">
      <c r="A686" s="11">
        <v>45504</v>
      </c>
      <c r="B686" s="12" t="s">
        <v>95</v>
      </c>
      <c r="C686" s="12" t="s">
        <v>95</v>
      </c>
      <c r="D686" s="13" t="str">
        <f>HYPERLINK("https://www.marklines.com/en/global/1801","BMW Motoren GmbH, Steyr Plant")</f>
        <v>BMW Motoren GmbH, Steyr Plant</v>
      </c>
      <c r="E686" s="12" t="s">
        <v>662</v>
      </c>
      <c r="F686" s="12" t="s">
        <v>13</v>
      </c>
      <c r="G686" s="12" t="s">
        <v>372</v>
      </c>
      <c r="H686" s="12"/>
      <c r="I686" s="14">
        <v>45504</v>
      </c>
      <c r="J686" s="12" t="s">
        <v>663</v>
      </c>
    </row>
    <row r="687" spans="1:10" s="15" customFormat="1" x14ac:dyDescent="0.15">
      <c r="A687" s="11">
        <v>45504</v>
      </c>
      <c r="B687" s="12" t="s">
        <v>95</v>
      </c>
      <c r="C687" s="12" t="s">
        <v>95</v>
      </c>
      <c r="D687" s="13" t="str">
        <f>HYPERLINK("https://www.marklines.com/en/global/2207","BMW AG, Dingolfing Plant")</f>
        <v>BMW AG, Dingolfing Plant</v>
      </c>
      <c r="E687" s="12" t="s">
        <v>198</v>
      </c>
      <c r="F687" s="12" t="s">
        <v>13</v>
      </c>
      <c r="G687" s="12" t="s">
        <v>25</v>
      </c>
      <c r="H687" s="12"/>
      <c r="I687" s="14">
        <v>45504</v>
      </c>
      <c r="J687" s="12" t="s">
        <v>663</v>
      </c>
    </row>
    <row r="688" spans="1:10" s="15" customFormat="1" x14ac:dyDescent="0.15">
      <c r="A688" s="11">
        <v>45504</v>
      </c>
      <c r="B688" s="12" t="s">
        <v>95</v>
      </c>
      <c r="C688" s="12" t="s">
        <v>95</v>
      </c>
      <c r="D688" s="13" t="str">
        <f>HYPERLINK("https://www.marklines.com/en/global/9879","BMW Manufacturing Hungary Kft., Debrecen Gyar plant")</f>
        <v>BMW Manufacturing Hungary Kft., Debrecen Gyar plant</v>
      </c>
      <c r="E688" s="12" t="s">
        <v>623</v>
      </c>
      <c r="F688" s="12" t="s">
        <v>61</v>
      </c>
      <c r="G688" s="12" t="s">
        <v>96</v>
      </c>
      <c r="H688" s="12"/>
      <c r="I688" s="14">
        <v>45504</v>
      </c>
      <c r="J688" s="12" t="s">
        <v>663</v>
      </c>
    </row>
    <row r="689" spans="1:10" s="15" customFormat="1" x14ac:dyDescent="0.15">
      <c r="A689" s="11">
        <v>45504</v>
      </c>
      <c r="B689" s="12" t="s">
        <v>95</v>
      </c>
      <c r="C689" s="12" t="s">
        <v>95</v>
      </c>
      <c r="D689" s="13" t="str">
        <f>HYPERLINK("https://www.marklines.com/en/global/2211","BMW AG, Landshut Plant")</f>
        <v>BMW AG, Landshut Plant</v>
      </c>
      <c r="E689" s="12" t="s">
        <v>219</v>
      </c>
      <c r="F689" s="12" t="s">
        <v>13</v>
      </c>
      <c r="G689" s="12" t="s">
        <v>25</v>
      </c>
      <c r="H689" s="12"/>
      <c r="I689" s="14">
        <v>45504</v>
      </c>
      <c r="J689" s="12" t="s">
        <v>663</v>
      </c>
    </row>
    <row r="690" spans="1:10" s="15" customFormat="1" x14ac:dyDescent="0.15">
      <c r="A690" s="11">
        <v>45504</v>
      </c>
      <c r="B690" s="12" t="s">
        <v>95</v>
      </c>
      <c r="C690" s="12" t="s">
        <v>95</v>
      </c>
      <c r="D690" s="13" t="str">
        <f>HYPERLINK("https://www.marklines.com/en/global/10707","BMW Battery plant, Irlbach (Straßkirchen) (Tentative Name）")</f>
        <v>BMW Battery plant, Irlbach (Straßkirchen) (Tentative Name）</v>
      </c>
      <c r="E690" s="12" t="s">
        <v>664</v>
      </c>
      <c r="F690" s="12" t="s">
        <v>13</v>
      </c>
      <c r="G690" s="12" t="s">
        <v>25</v>
      </c>
      <c r="H690" s="12"/>
      <c r="I690" s="14">
        <v>45504</v>
      </c>
      <c r="J690" s="12" t="s">
        <v>663</v>
      </c>
    </row>
    <row r="691" spans="1:10" s="15" customFormat="1" x14ac:dyDescent="0.15">
      <c r="A691" s="11">
        <v>45504</v>
      </c>
      <c r="B691" s="12" t="s">
        <v>35</v>
      </c>
      <c r="C691" s="12" t="s">
        <v>35</v>
      </c>
      <c r="D691" s="13" t="str">
        <f>HYPERLINK("https://www.marklines.com/en/global/1287","Toyota Kirloskar Motor India (TKM), Bangalore Plant")</f>
        <v>Toyota Kirloskar Motor India (TKM), Bangalore Plant</v>
      </c>
      <c r="E691" s="12" t="s">
        <v>665</v>
      </c>
      <c r="F691" s="12" t="s">
        <v>36</v>
      </c>
      <c r="G691" s="12" t="s">
        <v>37</v>
      </c>
      <c r="H691" s="12" t="s">
        <v>200</v>
      </c>
      <c r="I691" s="14">
        <v>45504</v>
      </c>
      <c r="J691" s="12" t="s">
        <v>666</v>
      </c>
    </row>
    <row r="692" spans="1:10" s="15" customFormat="1" x14ac:dyDescent="0.15">
      <c r="A692" s="11">
        <v>45504</v>
      </c>
      <c r="B692" s="12" t="s">
        <v>35</v>
      </c>
      <c r="C692" s="12" t="s">
        <v>35</v>
      </c>
      <c r="D692" s="13" t="str">
        <f>HYPERLINK("https://www.marklines.com/en/global/1285","Toyota Kirloskar Motor Private Limited (TKM)")</f>
        <v>Toyota Kirloskar Motor Private Limited (TKM)</v>
      </c>
      <c r="E692" s="12" t="s">
        <v>667</v>
      </c>
      <c r="F692" s="12" t="s">
        <v>36</v>
      </c>
      <c r="G692" s="12" t="s">
        <v>37</v>
      </c>
      <c r="H692" s="12" t="s">
        <v>200</v>
      </c>
      <c r="I692" s="14">
        <v>45504</v>
      </c>
      <c r="J692" s="12" t="s">
        <v>666</v>
      </c>
    </row>
    <row r="693" spans="1:10" s="15" customFormat="1" x14ac:dyDescent="0.15">
      <c r="A693" s="11">
        <v>45504</v>
      </c>
      <c r="B693" s="12" t="s">
        <v>102</v>
      </c>
      <c r="C693" s="12" t="s">
        <v>102</v>
      </c>
      <c r="D693" s="13" t="str">
        <f>HYPERLINK("https://www.marklines.com/en/global/1353","Iveco S.p.A., Suzzara Plant")</f>
        <v>Iveco S.p.A., Suzzara Plant</v>
      </c>
      <c r="E693" s="12" t="s">
        <v>668</v>
      </c>
      <c r="F693" s="12" t="s">
        <v>13</v>
      </c>
      <c r="G693" s="12" t="s">
        <v>216</v>
      </c>
      <c r="H693" s="12"/>
      <c r="I693" s="14">
        <v>45502</v>
      </c>
      <c r="J693" s="12" t="s">
        <v>669</v>
      </c>
    </row>
    <row r="694" spans="1:10" s="15" customFormat="1" x14ac:dyDescent="0.15">
      <c r="A694" s="11">
        <v>45504</v>
      </c>
      <c r="B694" s="12" t="s">
        <v>381</v>
      </c>
      <c r="C694" s="12" t="s">
        <v>381</v>
      </c>
      <c r="D694" s="13" t="str">
        <f>HYPERLINK("https://www.marklines.com/en/global/9578","Seres Group Co., Ltd. (formerly Chongqing Sokon Industrial Group Co., Ltd.)")</f>
        <v>Seres Group Co., Ltd. (formerly Chongqing Sokon Industrial Group Co., Ltd.)</v>
      </c>
      <c r="E694" s="12" t="s">
        <v>384</v>
      </c>
      <c r="F694" s="12" t="s">
        <v>21</v>
      </c>
      <c r="G694" s="12" t="s">
        <v>47</v>
      </c>
      <c r="H694" s="12" t="s">
        <v>362</v>
      </c>
      <c r="I694" s="14">
        <v>45502</v>
      </c>
      <c r="J694" s="12" t="s">
        <v>670</v>
      </c>
    </row>
    <row r="695" spans="1:10" s="15" customFormat="1" x14ac:dyDescent="0.15">
      <c r="A695" s="11">
        <v>45504</v>
      </c>
      <c r="B695" s="12" t="s">
        <v>95</v>
      </c>
      <c r="C695" s="12" t="s">
        <v>95</v>
      </c>
      <c r="D695" s="13" t="str">
        <f>HYPERLINK("https://www.marklines.com/en/global/3045","BMW Manufacturing Co., Spartanburg Plant")</f>
        <v>BMW Manufacturing Co., Spartanburg Plant</v>
      </c>
      <c r="E695" s="12" t="s">
        <v>671</v>
      </c>
      <c r="F695" s="12" t="s">
        <v>16</v>
      </c>
      <c r="G695" s="12" t="s">
        <v>17</v>
      </c>
      <c r="H695" s="12" t="s">
        <v>324</v>
      </c>
      <c r="I695" s="14">
        <v>45502</v>
      </c>
      <c r="J695" s="12" t="s">
        <v>672</v>
      </c>
    </row>
    <row r="696" spans="1:10" s="15" customFormat="1" x14ac:dyDescent="0.15">
      <c r="A696" s="11">
        <v>45504</v>
      </c>
      <c r="B696" s="12" t="s">
        <v>38</v>
      </c>
      <c r="C696" s="12" t="s">
        <v>673</v>
      </c>
      <c r="D696" s="13" t="str">
        <f>HYPERLINK("https://www.marklines.com/en/global/10317","China Evergrande New Energy Vehicle Group Limited")</f>
        <v>China Evergrande New Energy Vehicle Group Limited</v>
      </c>
      <c r="E696" s="12" t="s">
        <v>674</v>
      </c>
      <c r="F696" s="12" t="s">
        <v>21</v>
      </c>
      <c r="G696" s="12" t="s">
        <v>47</v>
      </c>
      <c r="H696" s="12" t="s">
        <v>48</v>
      </c>
      <c r="I696" s="14">
        <v>45501</v>
      </c>
      <c r="J696" s="12" t="s">
        <v>675</v>
      </c>
    </row>
    <row r="697" spans="1:10" s="15" customFormat="1" x14ac:dyDescent="0.15">
      <c r="A697" s="11">
        <v>45504</v>
      </c>
      <c r="B697" s="12" t="s">
        <v>224</v>
      </c>
      <c r="C697" s="12" t="s">
        <v>224</v>
      </c>
      <c r="D697" s="13" t="str">
        <f>HYPERLINK("https://www.marklines.com/en/global/9900","General Motors Technical Center (Warren)")</f>
        <v>General Motors Technical Center (Warren)</v>
      </c>
      <c r="E697" s="12" t="s">
        <v>676</v>
      </c>
      <c r="F697" s="12" t="s">
        <v>16</v>
      </c>
      <c r="G697" s="12" t="s">
        <v>17</v>
      </c>
      <c r="H697" s="12" t="s">
        <v>19</v>
      </c>
      <c r="I697" s="14">
        <v>45500</v>
      </c>
      <c r="J697" s="12" t="s">
        <v>677</v>
      </c>
    </row>
    <row r="698" spans="1:10" s="15" customFormat="1" x14ac:dyDescent="0.15">
      <c r="A698" s="11">
        <v>45504</v>
      </c>
      <c r="B698" s="12" t="s">
        <v>483</v>
      </c>
      <c r="C698" s="12" t="s">
        <v>483</v>
      </c>
      <c r="D698" s="13" t="str">
        <f>HYPERLINK("https://www.marklines.com/en/global/10580","Xiaomi EV Technology Co., Ltd.")</f>
        <v>Xiaomi EV Technology Co., Ltd.</v>
      </c>
      <c r="E698" s="12" t="s">
        <v>484</v>
      </c>
      <c r="F698" s="12" t="s">
        <v>21</v>
      </c>
      <c r="G698" s="12" t="s">
        <v>47</v>
      </c>
      <c r="H698" s="12" t="s">
        <v>56</v>
      </c>
      <c r="I698" s="14">
        <v>45498</v>
      </c>
      <c r="J698" s="12" t="s">
        <v>678</v>
      </c>
    </row>
    <row r="699" spans="1:10" s="15" customFormat="1" x14ac:dyDescent="0.15">
      <c r="A699" s="11">
        <v>45504</v>
      </c>
      <c r="B699" s="12" t="s">
        <v>483</v>
      </c>
      <c r="C699" s="12" t="s">
        <v>483</v>
      </c>
      <c r="D699" s="13" t="str">
        <f>HYPERLINK("https://www.marklines.com/en/global/10581","Xiaomi EV Company Limited")</f>
        <v>Xiaomi EV Company Limited</v>
      </c>
      <c r="E699" s="12" t="s">
        <v>679</v>
      </c>
      <c r="F699" s="12" t="s">
        <v>21</v>
      </c>
      <c r="G699" s="12" t="s">
        <v>47</v>
      </c>
      <c r="H699" s="12" t="s">
        <v>56</v>
      </c>
      <c r="I699" s="14">
        <v>45498</v>
      </c>
      <c r="J699" s="12" t="s">
        <v>678</v>
      </c>
    </row>
    <row r="700" spans="1:10" s="15" customFormat="1" x14ac:dyDescent="0.15">
      <c r="A700" s="11">
        <v>45504</v>
      </c>
      <c r="B700" s="12" t="s">
        <v>15</v>
      </c>
      <c r="C700" s="12" t="s">
        <v>15</v>
      </c>
      <c r="D700" s="13" t="str">
        <f>HYPERLINK("https://www.marklines.com/en/global/10511","Ford Development and Technology Center, Camaçari")</f>
        <v>Ford Development and Technology Center, Camaçari</v>
      </c>
      <c r="E700" s="12" t="s">
        <v>680</v>
      </c>
      <c r="F700" s="12" t="s">
        <v>45</v>
      </c>
      <c r="G700" s="12" t="s">
        <v>232</v>
      </c>
      <c r="H700" s="12"/>
      <c r="I700" s="14">
        <v>45498</v>
      </c>
      <c r="J700" s="12" t="s">
        <v>681</v>
      </c>
    </row>
    <row r="701" spans="1:10" s="15" customFormat="1" x14ac:dyDescent="0.15">
      <c r="A701" s="11">
        <v>45503</v>
      </c>
      <c r="B701" s="12" t="s">
        <v>95</v>
      </c>
      <c r="C701" s="12" t="s">
        <v>95</v>
      </c>
      <c r="D701" s="13" t="str">
        <f>HYPERLINK("https://www.marklines.com/en/global/3045","BMW Manufacturing Co., Spartanburg Plant")</f>
        <v>BMW Manufacturing Co., Spartanburg Plant</v>
      </c>
      <c r="E701" s="12" t="s">
        <v>671</v>
      </c>
      <c r="F701" s="12" t="s">
        <v>16</v>
      </c>
      <c r="G701" s="12" t="s">
        <v>17</v>
      </c>
      <c r="H701" s="12" t="s">
        <v>324</v>
      </c>
      <c r="I701" s="14">
        <v>45503</v>
      </c>
      <c r="J701" s="12" t="s">
        <v>682</v>
      </c>
    </row>
    <row r="702" spans="1:10" s="15" customFormat="1" x14ac:dyDescent="0.15">
      <c r="A702" s="11">
        <v>45503</v>
      </c>
      <c r="B702" s="12" t="s">
        <v>95</v>
      </c>
      <c r="C702" s="12" t="s">
        <v>95</v>
      </c>
      <c r="D702" s="13" t="str">
        <f>HYPERLINK("https://www.marklines.com/en/global/10316","BMW Cell Manufacturing Competence Center (CMCC), Parsdorf")</f>
        <v>BMW Cell Manufacturing Competence Center (CMCC), Parsdorf</v>
      </c>
      <c r="E702" s="12" t="s">
        <v>683</v>
      </c>
      <c r="F702" s="12" t="s">
        <v>13</v>
      </c>
      <c r="G702" s="12" t="s">
        <v>25</v>
      </c>
      <c r="H702" s="12"/>
      <c r="I702" s="14">
        <v>45503</v>
      </c>
      <c r="J702" s="12" t="s">
        <v>682</v>
      </c>
    </row>
    <row r="703" spans="1:10" s="15" customFormat="1" x14ac:dyDescent="0.15">
      <c r="A703" s="11">
        <v>45503</v>
      </c>
      <c r="B703" s="12" t="s">
        <v>95</v>
      </c>
      <c r="C703" s="12" t="s">
        <v>95</v>
      </c>
      <c r="D703" s="13" t="str">
        <f>HYPERLINK("https://www.marklines.com/en/global/9879","BMW Manufacturing Hungary Kft., Debrecen Gyar plant")</f>
        <v>BMW Manufacturing Hungary Kft., Debrecen Gyar plant</v>
      </c>
      <c r="E703" s="12" t="s">
        <v>623</v>
      </c>
      <c r="F703" s="12" t="s">
        <v>61</v>
      </c>
      <c r="G703" s="12" t="s">
        <v>96</v>
      </c>
      <c r="H703" s="12"/>
      <c r="I703" s="14">
        <v>45503</v>
      </c>
      <c r="J703" s="12" t="s">
        <v>682</v>
      </c>
    </row>
    <row r="704" spans="1:10" s="15" customFormat="1" x14ac:dyDescent="0.15">
      <c r="A704" s="11">
        <v>45503</v>
      </c>
      <c r="B704" s="12" t="s">
        <v>95</v>
      </c>
      <c r="C704" s="12" t="s">
        <v>95</v>
      </c>
      <c r="D704" s="13" t="str">
        <f>HYPERLINK("https://www.marklines.com/en/global/10729","BMW, Plant Woodruff")</f>
        <v>BMW, Plant Woodruff</v>
      </c>
      <c r="E704" s="12" t="s">
        <v>684</v>
      </c>
      <c r="F704" s="12" t="s">
        <v>16</v>
      </c>
      <c r="G704" s="12" t="s">
        <v>17</v>
      </c>
      <c r="H704" s="12" t="s">
        <v>324</v>
      </c>
      <c r="I704" s="14">
        <v>45503</v>
      </c>
      <c r="J704" s="12" t="s">
        <v>682</v>
      </c>
    </row>
    <row r="705" spans="1:10" s="15" customFormat="1" x14ac:dyDescent="0.15">
      <c r="A705" s="11">
        <v>45503</v>
      </c>
      <c r="B705" s="12" t="s">
        <v>95</v>
      </c>
      <c r="C705" s="12" t="s">
        <v>95</v>
      </c>
      <c r="D705" s="13" t="str">
        <f>HYPERLINK("https://www.marklines.com/en/global/8952","BMW Brilliance Automotive Limited, Powertrain Plant")</f>
        <v>BMW Brilliance Automotive Limited, Powertrain Plant</v>
      </c>
      <c r="E705" s="12" t="s">
        <v>685</v>
      </c>
      <c r="F705" s="12" t="s">
        <v>21</v>
      </c>
      <c r="G705" s="12" t="s">
        <v>47</v>
      </c>
      <c r="H705" s="12" t="s">
        <v>622</v>
      </c>
      <c r="I705" s="14">
        <v>45503</v>
      </c>
      <c r="J705" s="12" t="s">
        <v>682</v>
      </c>
    </row>
    <row r="706" spans="1:10" s="15" customFormat="1" x14ac:dyDescent="0.15">
      <c r="A706" s="11">
        <v>45503</v>
      </c>
      <c r="B706" s="12" t="s">
        <v>95</v>
      </c>
      <c r="C706" s="12" t="s">
        <v>95</v>
      </c>
      <c r="D706" s="13" t="str">
        <f>HYPERLINK("https://www.marklines.com/en/global/10707","BMW Battery plant, Irlbach (Straßkirchen) (Tentative Name）")</f>
        <v>BMW Battery plant, Irlbach (Straßkirchen) (Tentative Name）</v>
      </c>
      <c r="E706" s="12" t="s">
        <v>664</v>
      </c>
      <c r="F706" s="12" t="s">
        <v>13</v>
      </c>
      <c r="G706" s="12" t="s">
        <v>25</v>
      </c>
      <c r="H706" s="12"/>
      <c r="I706" s="14">
        <v>45503</v>
      </c>
      <c r="J706" s="12" t="s">
        <v>682</v>
      </c>
    </row>
    <row r="707" spans="1:10" s="15" customFormat="1" x14ac:dyDescent="0.15">
      <c r="A707" s="11">
        <v>45503</v>
      </c>
      <c r="B707" s="12" t="s">
        <v>95</v>
      </c>
      <c r="C707" s="12" t="s">
        <v>95</v>
      </c>
      <c r="D707" s="13" t="str">
        <f>HYPERLINK("https://www.marklines.com/en/global/9255","BMW Mexico, San Luis Potosi Plant")</f>
        <v>BMW Mexico, San Luis Potosi Plant</v>
      </c>
      <c r="E707" s="12" t="s">
        <v>686</v>
      </c>
      <c r="F707" s="12" t="s">
        <v>16</v>
      </c>
      <c r="G707" s="12" t="s">
        <v>229</v>
      </c>
      <c r="H707" s="12"/>
      <c r="I707" s="14">
        <v>45503</v>
      </c>
      <c r="J707" s="12" t="s">
        <v>682</v>
      </c>
    </row>
    <row r="708" spans="1:10" s="15" customFormat="1" x14ac:dyDescent="0.15">
      <c r="A708" s="11">
        <v>45503</v>
      </c>
      <c r="B708" s="12" t="s">
        <v>687</v>
      </c>
      <c r="C708" s="12" t="s">
        <v>687</v>
      </c>
      <c r="D708" s="13" t="str">
        <f>HYPERLINK("https://www.marklines.com/en/global/799","OAO UAZ (Ulyanovsky Avtomobilny Zavod), Ulyanovsk Plant")</f>
        <v>OAO UAZ (Ulyanovsky Avtomobilny Zavod), Ulyanovsk Plant</v>
      </c>
      <c r="E708" s="12" t="s">
        <v>299</v>
      </c>
      <c r="F708" s="12" t="s">
        <v>61</v>
      </c>
      <c r="G708" s="12" t="s">
        <v>235</v>
      </c>
      <c r="H708" s="12"/>
      <c r="I708" s="14">
        <v>45502</v>
      </c>
      <c r="J708" s="12" t="s">
        <v>688</v>
      </c>
    </row>
    <row r="709" spans="1:10" s="15" customFormat="1" x14ac:dyDescent="0.15">
      <c r="A709" s="11">
        <v>45503</v>
      </c>
      <c r="B709" s="12" t="s">
        <v>386</v>
      </c>
      <c r="C709" s="12" t="s">
        <v>689</v>
      </c>
      <c r="D709" s="13" t="str">
        <f>HYPERLINK("https://www.marklines.com/en/global/2111","Thai-Swedish Assembly Co., Ltd., Samutprakarn Plant")</f>
        <v>Thai-Swedish Assembly Co., Ltd., Samutprakarn Plant</v>
      </c>
      <c r="E709" s="12" t="s">
        <v>690</v>
      </c>
      <c r="F709" s="12" t="s">
        <v>60</v>
      </c>
      <c r="G709" s="12" t="s">
        <v>72</v>
      </c>
      <c r="H709" s="12" t="s">
        <v>691</v>
      </c>
      <c r="I709" s="14">
        <v>45502</v>
      </c>
      <c r="J709" s="12" t="s">
        <v>692</v>
      </c>
    </row>
    <row r="710" spans="1:10" s="15" customFormat="1" x14ac:dyDescent="0.15">
      <c r="A710" s="11">
        <v>45503</v>
      </c>
      <c r="B710" s="12" t="s">
        <v>38</v>
      </c>
      <c r="C710" s="12" t="s">
        <v>38</v>
      </c>
      <c r="D710" s="13" t="str">
        <f>HYPERLINK("https://www.marklines.com/en/global/10899","PT VKTR Sakti Industries (VKTS), Central Java Plant")</f>
        <v>PT VKTR Sakti Industries (VKTS), Central Java Plant</v>
      </c>
      <c r="E710" s="12" t="s">
        <v>693</v>
      </c>
      <c r="F710" s="12" t="s">
        <v>60</v>
      </c>
      <c r="G710" s="12" t="s">
        <v>118</v>
      </c>
      <c r="H710" s="12"/>
      <c r="I710" s="14">
        <v>45500</v>
      </c>
      <c r="J710" s="12" t="s">
        <v>694</v>
      </c>
    </row>
    <row r="711" spans="1:10" s="15" customFormat="1" x14ac:dyDescent="0.15">
      <c r="A711" s="11">
        <v>45503</v>
      </c>
      <c r="B711" s="12" t="s">
        <v>23</v>
      </c>
      <c r="C711" s="12" t="s">
        <v>23</v>
      </c>
      <c r="D711" s="13" t="str">
        <f>HYPERLINK("https://www.marklines.com/en/global/4512","Tesla Gigafactory Nevada")</f>
        <v>Tesla Gigafactory Nevada</v>
      </c>
      <c r="E711" s="12" t="s">
        <v>347</v>
      </c>
      <c r="F711" s="12" t="s">
        <v>16</v>
      </c>
      <c r="G711" s="12" t="s">
        <v>17</v>
      </c>
      <c r="H711" s="12" t="s">
        <v>348</v>
      </c>
      <c r="I711" s="14">
        <v>45500</v>
      </c>
      <c r="J711" s="12" t="s">
        <v>695</v>
      </c>
    </row>
    <row r="712" spans="1:10" s="15" customFormat="1" x14ac:dyDescent="0.15">
      <c r="A712" s="11">
        <v>45503</v>
      </c>
      <c r="B712" s="12" t="s">
        <v>49</v>
      </c>
      <c r="C712" s="12" t="s">
        <v>98</v>
      </c>
      <c r="D712" s="13" t="str">
        <f>HYPERLINK("https://www.marklines.com/en/global/1777","Audi Hungaria Zrt., Győr Plant (formerly Audi Hungaria Motor Kft.)")</f>
        <v>Audi Hungaria Zrt., Győr Plant (formerly Audi Hungaria Motor Kft.)</v>
      </c>
      <c r="E712" s="12" t="s">
        <v>99</v>
      </c>
      <c r="F712" s="12" t="s">
        <v>61</v>
      </c>
      <c r="G712" s="12" t="s">
        <v>96</v>
      </c>
      <c r="H712" s="12"/>
      <c r="I712" s="14">
        <v>45499</v>
      </c>
      <c r="J712" s="12" t="s">
        <v>696</v>
      </c>
    </row>
    <row r="713" spans="1:10" s="15" customFormat="1" x14ac:dyDescent="0.15">
      <c r="A713" s="11">
        <v>45503</v>
      </c>
      <c r="B713" s="12" t="s">
        <v>224</v>
      </c>
      <c r="C713" s="12" t="s">
        <v>224</v>
      </c>
      <c r="D713" s="13" t="str">
        <f>HYPERLINK("https://www.marklines.com/en/global/2525","General Motors, Arlington Assembly Plant")</f>
        <v>General Motors, Arlington Assembly Plant</v>
      </c>
      <c r="E713" s="12" t="s">
        <v>708</v>
      </c>
      <c r="F713" s="12" t="s">
        <v>16</v>
      </c>
      <c r="G713" s="12" t="s">
        <v>17</v>
      </c>
      <c r="H713" s="12" t="s">
        <v>574</v>
      </c>
      <c r="I713" s="14">
        <v>45499</v>
      </c>
      <c r="J713" s="12" t="s">
        <v>698</v>
      </c>
    </row>
    <row r="714" spans="1:10" s="15" customFormat="1" x14ac:dyDescent="0.15">
      <c r="A714" s="11">
        <v>45503</v>
      </c>
      <c r="B714" s="12" t="s">
        <v>70</v>
      </c>
      <c r="C714" s="12" t="s">
        <v>70</v>
      </c>
      <c r="D714" s="13" t="str">
        <f>HYPERLINK("https://www.marklines.com/en/global/4043","BYD Automobile Industry Co., Ltd., Changsha Branch")</f>
        <v>BYD Automobile Industry Co., Ltd., Changsha Branch</v>
      </c>
      <c r="E714" s="12" t="s">
        <v>699</v>
      </c>
      <c r="F714" s="12" t="s">
        <v>21</v>
      </c>
      <c r="G714" s="12" t="s">
        <v>47</v>
      </c>
      <c r="H714" s="12" t="s">
        <v>700</v>
      </c>
      <c r="I714" s="14">
        <v>45498</v>
      </c>
      <c r="J714" s="12" t="s">
        <v>701</v>
      </c>
    </row>
    <row r="715" spans="1:10" s="15" customFormat="1" x14ac:dyDescent="0.15">
      <c r="A715" s="11">
        <v>45503</v>
      </c>
      <c r="B715" s="12" t="s">
        <v>70</v>
      </c>
      <c r="C715" s="12" t="s">
        <v>70</v>
      </c>
      <c r="D715" s="13" t="str">
        <f>HYPERLINK("https://www.marklines.com/en/global/4125","BYD Automobile Industry Co., Ltd., Shenzhen Plant")</f>
        <v>BYD Automobile Industry Co., Ltd., Shenzhen Plant</v>
      </c>
      <c r="E715" s="12" t="s">
        <v>273</v>
      </c>
      <c r="F715" s="12" t="s">
        <v>21</v>
      </c>
      <c r="G715" s="12" t="s">
        <v>47</v>
      </c>
      <c r="H715" s="12" t="s">
        <v>48</v>
      </c>
      <c r="I715" s="14">
        <v>45498</v>
      </c>
      <c r="J715" s="12" t="s">
        <v>701</v>
      </c>
    </row>
    <row r="716" spans="1:10" s="15" customFormat="1" x14ac:dyDescent="0.15">
      <c r="A716" s="11">
        <v>45503</v>
      </c>
      <c r="B716" s="12" t="s">
        <v>70</v>
      </c>
      <c r="C716" s="12" t="s">
        <v>70</v>
      </c>
      <c r="D716" s="13" t="str">
        <f>HYPERLINK("https://www.marklines.com/en/global/10526","BYD Automobile Industry Co., Ltd., Hefei Branch")</f>
        <v>BYD Automobile Industry Co., Ltd., Hefei Branch</v>
      </c>
      <c r="E716" s="12" t="s">
        <v>702</v>
      </c>
      <c r="F716" s="12" t="s">
        <v>21</v>
      </c>
      <c r="G716" s="12" t="s">
        <v>47</v>
      </c>
      <c r="H716" s="12" t="s">
        <v>105</v>
      </c>
      <c r="I716" s="14">
        <v>45498</v>
      </c>
      <c r="J716" s="12" t="s">
        <v>701</v>
      </c>
    </row>
    <row r="717" spans="1:10" s="15" customFormat="1" x14ac:dyDescent="0.15">
      <c r="A717" s="11">
        <v>45503</v>
      </c>
      <c r="B717" s="12" t="s">
        <v>103</v>
      </c>
      <c r="C717" s="12" t="s">
        <v>103</v>
      </c>
      <c r="D717" s="13" t="str">
        <f>HYPERLINK("https://www.marklines.com/en/global/3879","Chery Automobile Co., Ltd. ")</f>
        <v xml:space="preserve">Chery Automobile Co., Ltd. </v>
      </c>
      <c r="E717" s="12" t="s">
        <v>112</v>
      </c>
      <c r="F717" s="12" t="s">
        <v>21</v>
      </c>
      <c r="G717" s="12" t="s">
        <v>47</v>
      </c>
      <c r="H717" s="12" t="s">
        <v>105</v>
      </c>
      <c r="I717" s="14">
        <v>45498</v>
      </c>
      <c r="J717" s="12" t="s">
        <v>703</v>
      </c>
    </row>
    <row r="718" spans="1:10" s="15" customFormat="1" x14ac:dyDescent="0.15">
      <c r="A718" s="11">
        <v>45503</v>
      </c>
      <c r="B718" s="12" t="s">
        <v>224</v>
      </c>
      <c r="C718" s="12" t="s">
        <v>414</v>
      </c>
      <c r="D718" s="13" t="str">
        <f>HYPERLINK("https://www.marklines.com/en/global/2521","General Motors, Bowling Green Plant")</f>
        <v>General Motors, Bowling Green Plant</v>
      </c>
      <c r="E718" s="12" t="s">
        <v>704</v>
      </c>
      <c r="F718" s="12" t="s">
        <v>16</v>
      </c>
      <c r="G718" s="12" t="s">
        <v>17</v>
      </c>
      <c r="H718" s="12" t="s">
        <v>260</v>
      </c>
      <c r="I718" s="14">
        <v>45498</v>
      </c>
      <c r="J718" s="12" t="s">
        <v>705</v>
      </c>
    </row>
    <row r="719" spans="1:10" s="15" customFormat="1" x14ac:dyDescent="0.15">
      <c r="A719" s="11">
        <v>45503</v>
      </c>
      <c r="B719" s="12" t="s">
        <v>23</v>
      </c>
      <c r="C719" s="12" t="s">
        <v>23</v>
      </c>
      <c r="D719" s="13" t="str">
        <f>HYPERLINK("https://www.marklines.com/en/global/10671","Tesla Gigafactory Mexico")</f>
        <v>Tesla Gigafactory Mexico</v>
      </c>
      <c r="E719" s="12" t="s">
        <v>706</v>
      </c>
      <c r="F719" s="12" t="s">
        <v>16</v>
      </c>
      <c r="G719" s="12" t="s">
        <v>229</v>
      </c>
      <c r="H719" s="12"/>
      <c r="I719" s="14">
        <v>45497</v>
      </c>
      <c r="J719" s="12" t="s">
        <v>707</v>
      </c>
    </row>
    <row r="720" spans="1:10" s="15" customFormat="1" x14ac:dyDescent="0.15">
      <c r="A720" s="11">
        <v>45503</v>
      </c>
      <c r="B720" s="12" t="s">
        <v>224</v>
      </c>
      <c r="C720" s="12" t="s">
        <v>570</v>
      </c>
      <c r="D720" s="13" t="str">
        <f>HYPERLINK("https://www.marklines.com/en/global/2525","General Motors, Arlington Assembly Plant")</f>
        <v>General Motors, Arlington Assembly Plant</v>
      </c>
      <c r="E720" s="12" t="s">
        <v>708</v>
      </c>
      <c r="F720" s="12" t="s">
        <v>16</v>
      </c>
      <c r="G720" s="12" t="s">
        <v>17</v>
      </c>
      <c r="H720" s="12" t="s">
        <v>574</v>
      </c>
      <c r="I720" s="14">
        <v>45496</v>
      </c>
      <c r="J720" s="12" t="s">
        <v>709</v>
      </c>
    </row>
    <row r="721" spans="1:10" s="15" customFormat="1" x14ac:dyDescent="0.15">
      <c r="A721" s="11">
        <v>45503</v>
      </c>
      <c r="B721" s="12" t="s">
        <v>49</v>
      </c>
      <c r="C721" s="12" t="s">
        <v>98</v>
      </c>
      <c r="D721" s="13" t="str">
        <f>HYPERLINK("https://www.marklines.com/en/global/1777","Audi Hungaria Zrt., Győr Plant (formerly Audi Hungaria Motor Kft.)")</f>
        <v>Audi Hungaria Zrt., Győr Plant (formerly Audi Hungaria Motor Kft.)</v>
      </c>
      <c r="E721" s="12" t="s">
        <v>99</v>
      </c>
      <c r="F721" s="12" t="s">
        <v>61</v>
      </c>
      <c r="G721" s="12" t="s">
        <v>96</v>
      </c>
      <c r="H721" s="12"/>
      <c r="I721" s="14">
        <v>45495</v>
      </c>
      <c r="J721" s="12" t="s">
        <v>710</v>
      </c>
    </row>
    <row r="722" spans="1:10" s="15" customFormat="1" x14ac:dyDescent="0.15">
      <c r="A722" s="11">
        <v>45503</v>
      </c>
      <c r="B722" s="12" t="s">
        <v>70</v>
      </c>
      <c r="C722" s="12" t="s">
        <v>70</v>
      </c>
      <c r="D722" s="13" t="str">
        <f>HYPERLINK("https://www.marklines.com/en/global/10899","PT VKTR Sakti Industries (VKTS), Central Java Plant")</f>
        <v>PT VKTR Sakti Industries (VKTS), Central Java Plant</v>
      </c>
      <c r="E722" s="12" t="s">
        <v>693</v>
      </c>
      <c r="F722" s="12" t="s">
        <v>60</v>
      </c>
      <c r="G722" s="12" t="s">
        <v>118</v>
      </c>
      <c r="H722" s="12"/>
      <c r="I722" s="14">
        <v>45349</v>
      </c>
      <c r="J722" s="12" t="s">
        <v>711</v>
      </c>
    </row>
    <row r="723" spans="1:10" s="15" customFormat="1" x14ac:dyDescent="0.15">
      <c r="A723" s="11">
        <v>45503</v>
      </c>
      <c r="B723" s="12" t="s">
        <v>38</v>
      </c>
      <c r="C723" s="12" t="s">
        <v>38</v>
      </c>
      <c r="D723" s="13" t="str">
        <f>HYPERLINK("https://www.marklines.com/en/global/10899","PT VKTR Sakti Industries (VKTS), Central Java Plant")</f>
        <v>PT VKTR Sakti Industries (VKTS), Central Java Plant</v>
      </c>
      <c r="E723" s="12" t="s">
        <v>693</v>
      </c>
      <c r="F723" s="12" t="s">
        <v>60</v>
      </c>
      <c r="G723" s="12" t="s">
        <v>118</v>
      </c>
      <c r="H723" s="12"/>
      <c r="I723" s="14">
        <v>45349</v>
      </c>
      <c r="J723" s="12" t="s">
        <v>711</v>
      </c>
    </row>
    <row r="724" spans="1:10" s="15" customFormat="1" x14ac:dyDescent="0.15">
      <c r="A724" s="11">
        <v>45502</v>
      </c>
      <c r="B724" s="12" t="s">
        <v>11</v>
      </c>
      <c r="C724" s="12" t="s">
        <v>11</v>
      </c>
      <c r="D724" s="13" t="str">
        <f>HYPERLINK("https://www.marklines.com/en/global/1325","Stellantis, FCA Italy, Melfi (Basilicata) Plant")</f>
        <v>Stellantis, FCA Italy, Melfi (Basilicata) Plant</v>
      </c>
      <c r="E724" s="12" t="s">
        <v>332</v>
      </c>
      <c r="F724" s="12" t="s">
        <v>13</v>
      </c>
      <c r="G724" s="12" t="s">
        <v>216</v>
      </c>
      <c r="H724" s="12"/>
      <c r="I724" s="14">
        <v>45502</v>
      </c>
      <c r="J724" s="12" t="s">
        <v>712</v>
      </c>
    </row>
    <row r="725" spans="1:10" s="15" customFormat="1" x14ac:dyDescent="0.15">
      <c r="A725" s="11">
        <v>45502</v>
      </c>
      <c r="B725" s="12" t="s">
        <v>11</v>
      </c>
      <c r="C725" s="12" t="s">
        <v>11</v>
      </c>
      <c r="D725" s="13" t="str">
        <f>HYPERLINK("https://www.marklines.com/en/global/1323","Stellantis, FCA Italy, Cassino Plant")</f>
        <v>Stellantis, FCA Italy, Cassino Plant</v>
      </c>
      <c r="E725" s="12" t="s">
        <v>334</v>
      </c>
      <c r="F725" s="12" t="s">
        <v>13</v>
      </c>
      <c r="G725" s="12" t="s">
        <v>216</v>
      </c>
      <c r="H725" s="12"/>
      <c r="I725" s="14">
        <v>45502</v>
      </c>
      <c r="J725" s="12" t="s">
        <v>713</v>
      </c>
    </row>
    <row r="726" spans="1:10" s="15" customFormat="1" x14ac:dyDescent="0.15">
      <c r="A726" s="11">
        <v>45502</v>
      </c>
      <c r="B726" s="12" t="s">
        <v>49</v>
      </c>
      <c r="C726" s="12" t="s">
        <v>86</v>
      </c>
      <c r="D726" s="13" t="str">
        <f>HYPERLINK("https://www.marklines.com/en/global/2269","Volkswagen AG, Hannover Plant (VW Nutzfahrzeuge)")</f>
        <v>Volkswagen AG, Hannover Plant (VW Nutzfahrzeuge)</v>
      </c>
      <c r="E726" s="12" t="s">
        <v>714</v>
      </c>
      <c r="F726" s="12" t="s">
        <v>13</v>
      </c>
      <c r="G726" s="12" t="s">
        <v>25</v>
      </c>
      <c r="H726" s="12"/>
      <c r="I726" s="14">
        <v>45499</v>
      </c>
      <c r="J726" s="12" t="s">
        <v>715</v>
      </c>
    </row>
    <row r="727" spans="1:10" s="15" customFormat="1" x14ac:dyDescent="0.15">
      <c r="A727" s="11">
        <v>45502</v>
      </c>
      <c r="B727" s="12" t="s">
        <v>290</v>
      </c>
      <c r="C727" s="12" t="s">
        <v>290</v>
      </c>
      <c r="D727" s="13" t="str">
        <f>HYPERLINK("https://www.marklines.com/en/global/3979","Dongfeng Automobile Co., Ltd. (DFAC)")</f>
        <v>Dongfeng Automobile Co., Ltd. (DFAC)</v>
      </c>
      <c r="E727" s="12" t="s">
        <v>512</v>
      </c>
      <c r="F727" s="12" t="s">
        <v>21</v>
      </c>
      <c r="G727" s="12" t="s">
        <v>47</v>
      </c>
      <c r="H727" s="12" t="s">
        <v>294</v>
      </c>
      <c r="I727" s="14">
        <v>45498</v>
      </c>
      <c r="J727" s="12" t="s">
        <v>716</v>
      </c>
    </row>
    <row r="728" spans="1:10" s="15" customFormat="1" x14ac:dyDescent="0.15">
      <c r="A728" s="11">
        <v>45502</v>
      </c>
      <c r="B728" s="12" t="s">
        <v>38</v>
      </c>
      <c r="C728" s="12" t="s">
        <v>38</v>
      </c>
      <c r="D728" s="13" t="str">
        <f>HYPERLINK("https://www.marklines.com/en/global/9822","Hunan Zhidian Smart New Energy Automotive Co., Ltd.")</f>
        <v>Hunan Zhidian Smart New Energy Automotive Co., Ltd.</v>
      </c>
      <c r="E728" s="12" t="s">
        <v>717</v>
      </c>
      <c r="F728" s="12" t="s">
        <v>21</v>
      </c>
      <c r="G728" s="12" t="s">
        <v>47</v>
      </c>
      <c r="H728" s="12" t="s">
        <v>700</v>
      </c>
      <c r="I728" s="14">
        <v>45497</v>
      </c>
      <c r="J728" s="12" t="s">
        <v>718</v>
      </c>
    </row>
    <row r="729" spans="1:10" s="15" customFormat="1" x14ac:dyDescent="0.15">
      <c r="A729" s="11">
        <v>45502</v>
      </c>
      <c r="B729" s="12" t="s">
        <v>52</v>
      </c>
      <c r="C729" s="12" t="s">
        <v>378</v>
      </c>
      <c r="D729" s="13" t="str">
        <f>HYPERLINK("https://www.marklines.com/en/global/9345","Geely Sichuan Commercial Vehicle Co., Ltd.")</f>
        <v>Geely Sichuan Commercial Vehicle Co., Ltd.</v>
      </c>
      <c r="E729" s="12" t="s">
        <v>719</v>
      </c>
      <c r="F729" s="12" t="s">
        <v>21</v>
      </c>
      <c r="G729" s="12" t="s">
        <v>47</v>
      </c>
      <c r="H729" s="12" t="s">
        <v>547</v>
      </c>
      <c r="I729" s="14">
        <v>45496</v>
      </c>
      <c r="J729" s="12" t="s">
        <v>720</v>
      </c>
    </row>
    <row r="730" spans="1:10" s="15" customFormat="1" x14ac:dyDescent="0.15">
      <c r="A730" s="11">
        <v>45502</v>
      </c>
      <c r="B730" s="12" t="s">
        <v>52</v>
      </c>
      <c r="C730" s="12" t="s">
        <v>378</v>
      </c>
      <c r="D730" s="13" t="str">
        <f>HYPERLINK("https://www.marklines.com/en/global/10797","Zhejiang Geely Farizon New Energy Commercial Vehicle Group Co., Ltd. ")</f>
        <v xml:space="preserve">Zhejiang Geely Farizon New Energy Commercial Vehicle Group Co., Ltd. </v>
      </c>
      <c r="E730" s="12" t="s">
        <v>379</v>
      </c>
      <c r="F730" s="12" t="s">
        <v>21</v>
      </c>
      <c r="G730" s="12" t="s">
        <v>47</v>
      </c>
      <c r="H730" s="12" t="s">
        <v>54</v>
      </c>
      <c r="I730" s="14">
        <v>45496</v>
      </c>
      <c r="J730" s="12" t="s">
        <v>720</v>
      </c>
    </row>
    <row r="731" spans="1:10" s="15" customFormat="1" x14ac:dyDescent="0.15">
      <c r="A731" s="11">
        <v>45500</v>
      </c>
      <c r="B731" s="12" t="s">
        <v>275</v>
      </c>
      <c r="C731" s="12" t="s">
        <v>275</v>
      </c>
      <c r="D731" s="13" t="str">
        <f>HYPERLINK("https://www.marklines.com/en/global/9873","Lucid Motors (Lucid Group, Inc.), Casa Grande plant (AMP-1)")</f>
        <v>Lucid Motors (Lucid Group, Inc.), Casa Grande plant (AMP-1)</v>
      </c>
      <c r="E731" s="12" t="s">
        <v>276</v>
      </c>
      <c r="F731" s="12" t="s">
        <v>16</v>
      </c>
      <c r="G731" s="12" t="s">
        <v>17</v>
      </c>
      <c r="H731" s="12" t="s">
        <v>28</v>
      </c>
      <c r="I731" s="14">
        <v>45496</v>
      </c>
      <c r="J731" s="12" t="s">
        <v>721</v>
      </c>
    </row>
    <row r="732" spans="1:10" s="15" customFormat="1" x14ac:dyDescent="0.15">
      <c r="A732" s="11">
        <v>45500</v>
      </c>
      <c r="B732" s="12" t="s">
        <v>224</v>
      </c>
      <c r="C732" s="12" t="s">
        <v>224</v>
      </c>
      <c r="D732" s="13" t="str">
        <f>HYPERLINK("https://www.marklines.com/en/global/2523","General Motors, Spring Hill Manufacturing (formerly Spring Hill Assembly)")</f>
        <v>General Motors, Spring Hill Manufacturing (formerly Spring Hill Assembly)</v>
      </c>
      <c r="E732" s="12" t="s">
        <v>697</v>
      </c>
      <c r="F732" s="12" t="s">
        <v>16</v>
      </c>
      <c r="G732" s="12" t="s">
        <v>17</v>
      </c>
      <c r="H732" s="12" t="s">
        <v>481</v>
      </c>
      <c r="I732" s="14">
        <v>45496</v>
      </c>
      <c r="J732" s="12" t="s">
        <v>722</v>
      </c>
    </row>
    <row r="733" spans="1:10" s="15" customFormat="1" x14ac:dyDescent="0.15">
      <c r="A733" s="11">
        <v>45499</v>
      </c>
      <c r="B733" s="12" t="s">
        <v>243</v>
      </c>
      <c r="C733" s="12" t="s">
        <v>243</v>
      </c>
      <c r="D733" s="13" t="str">
        <f>HYPERLINK("https://www.marklines.com/en/global/3287","Volvo Trucks North America Inc., New River Valley (Dublin) Plant")</f>
        <v>Volvo Trucks North America Inc., New River Valley (Dublin) Plant</v>
      </c>
      <c r="E733" s="12" t="s">
        <v>523</v>
      </c>
      <c r="F733" s="12" t="s">
        <v>16</v>
      </c>
      <c r="G733" s="12" t="s">
        <v>17</v>
      </c>
      <c r="H733" s="12" t="s">
        <v>328</v>
      </c>
      <c r="I733" s="14">
        <v>45498</v>
      </c>
      <c r="J733" s="12" t="s">
        <v>524</v>
      </c>
    </row>
    <row r="734" spans="1:10" s="15" customFormat="1" x14ac:dyDescent="0.15">
      <c r="A734" s="11">
        <v>45499</v>
      </c>
      <c r="B734" s="12" t="s">
        <v>224</v>
      </c>
      <c r="C734" s="12" t="s">
        <v>224</v>
      </c>
      <c r="D734" s="13" t="str">
        <f>HYPERLINK("https://www.marklines.com/en/global/2517","General Motors, Wentzville Assembly Plant")</f>
        <v>General Motors, Wentzville Assembly Plant</v>
      </c>
      <c r="E734" s="12" t="s">
        <v>525</v>
      </c>
      <c r="F734" s="12" t="s">
        <v>16</v>
      </c>
      <c r="G734" s="12" t="s">
        <v>17</v>
      </c>
      <c r="H734" s="12" t="s">
        <v>526</v>
      </c>
      <c r="I734" s="14">
        <v>45498</v>
      </c>
      <c r="J734" s="12" t="s">
        <v>527</v>
      </c>
    </row>
    <row r="735" spans="1:10" s="15" customFormat="1" x14ac:dyDescent="0.15">
      <c r="A735" s="11">
        <v>45499</v>
      </c>
      <c r="B735" s="12" t="s">
        <v>15</v>
      </c>
      <c r="C735" s="12" t="s">
        <v>15</v>
      </c>
      <c r="D735" s="13" t="str">
        <f>HYPERLINK("https://www.marklines.com/en/global/2617","Ford Motor Canada, Oakville Assembly Plant")</f>
        <v>Ford Motor Canada, Oakville Assembly Plant</v>
      </c>
      <c r="E735" s="12" t="s">
        <v>422</v>
      </c>
      <c r="F735" s="12" t="s">
        <v>16</v>
      </c>
      <c r="G735" s="12" t="s">
        <v>241</v>
      </c>
      <c r="H735" s="12"/>
      <c r="I735" s="14">
        <v>45497</v>
      </c>
      <c r="J735" s="12" t="s">
        <v>528</v>
      </c>
    </row>
    <row r="736" spans="1:10" s="15" customFormat="1" x14ac:dyDescent="0.15">
      <c r="A736" s="11">
        <v>45499</v>
      </c>
      <c r="B736" s="12" t="s">
        <v>529</v>
      </c>
      <c r="C736" s="12" t="s">
        <v>530</v>
      </c>
      <c r="D736" s="13" t="str">
        <f>HYPERLINK("https://www.marklines.com/en/global/997","Proton, Tanjung Malim Plant")</f>
        <v>Proton, Tanjung Malim Plant</v>
      </c>
      <c r="E736" s="12" t="s">
        <v>531</v>
      </c>
      <c r="F736" s="12" t="s">
        <v>60</v>
      </c>
      <c r="G736" s="12" t="s">
        <v>532</v>
      </c>
      <c r="H736" s="12"/>
      <c r="I736" s="14">
        <v>45496</v>
      </c>
      <c r="J736" s="12" t="s">
        <v>533</v>
      </c>
    </row>
    <row r="737" spans="1:10" s="15" customFormat="1" x14ac:dyDescent="0.15">
      <c r="A737" s="11">
        <v>45499</v>
      </c>
      <c r="B737" s="12" t="s">
        <v>59</v>
      </c>
      <c r="C737" s="12" t="s">
        <v>253</v>
      </c>
      <c r="D737" s="13" t="str">
        <f>HYPERLINK("https://www.marklines.com/en/global/9824","GAC Aion New Energy Automobile Co., Ltd.")</f>
        <v>GAC Aion New Energy Automobile Co., Ltd.</v>
      </c>
      <c r="E737" s="12" t="s">
        <v>534</v>
      </c>
      <c r="F737" s="12" t="s">
        <v>21</v>
      </c>
      <c r="G737" s="12" t="s">
        <v>47</v>
      </c>
      <c r="H737" s="12" t="s">
        <v>48</v>
      </c>
      <c r="I737" s="14">
        <v>45496</v>
      </c>
      <c r="J737" s="12" t="s">
        <v>535</v>
      </c>
    </row>
    <row r="738" spans="1:10" s="15" customFormat="1" x14ac:dyDescent="0.15">
      <c r="A738" s="11">
        <v>45499</v>
      </c>
      <c r="B738" s="12" t="s">
        <v>15</v>
      </c>
      <c r="C738" s="12" t="s">
        <v>15</v>
      </c>
      <c r="D738" s="13" t="str">
        <f>HYPERLINK("https://www.marklines.com/en/global/859","Ford Motor Mexico, Hermosillo Stamping and Assembly Plant")</f>
        <v>Ford Motor Mexico, Hermosillo Stamping and Assembly Plant</v>
      </c>
      <c r="E738" s="12" t="s">
        <v>536</v>
      </c>
      <c r="F738" s="12" t="s">
        <v>16</v>
      </c>
      <c r="G738" s="12" t="s">
        <v>229</v>
      </c>
      <c r="H738" s="12"/>
      <c r="I738" s="14">
        <v>45496</v>
      </c>
      <c r="J738" s="12" t="s">
        <v>537</v>
      </c>
    </row>
    <row r="739" spans="1:10" s="15" customFormat="1" x14ac:dyDescent="0.15">
      <c r="A739" s="11">
        <v>45499</v>
      </c>
      <c r="B739" s="12" t="s">
        <v>38</v>
      </c>
      <c r="C739" s="12" t="s">
        <v>538</v>
      </c>
      <c r="D739" s="13" t="str">
        <f>HYPERLINK("https://www.marklines.com/en/global/9432","Zotye Automobile Co., Ltd.")</f>
        <v>Zotye Automobile Co., Ltd.</v>
      </c>
      <c r="E739" s="12" t="s">
        <v>539</v>
      </c>
      <c r="F739" s="12" t="s">
        <v>21</v>
      </c>
      <c r="G739" s="12" t="s">
        <v>47</v>
      </c>
      <c r="H739" s="12" t="s">
        <v>54</v>
      </c>
      <c r="I739" s="14">
        <v>45495</v>
      </c>
      <c r="J739" s="12" t="s">
        <v>540</v>
      </c>
    </row>
    <row r="740" spans="1:10" s="15" customFormat="1" x14ac:dyDescent="0.15">
      <c r="A740" s="11">
        <v>45499</v>
      </c>
      <c r="B740" s="12" t="s">
        <v>287</v>
      </c>
      <c r="C740" s="12" t="s">
        <v>541</v>
      </c>
      <c r="D740" s="13" t="str">
        <f>HYPERLINK("https://www.marklines.com/en/global/4163","Chongqing Changan Automobile Co., Ltd.")</f>
        <v>Chongqing Changan Automobile Co., Ltd.</v>
      </c>
      <c r="E740" s="12" t="s">
        <v>542</v>
      </c>
      <c r="F740" s="12" t="s">
        <v>21</v>
      </c>
      <c r="G740" s="12" t="s">
        <v>47</v>
      </c>
      <c r="H740" s="12" t="s">
        <v>362</v>
      </c>
      <c r="I740" s="14">
        <v>45495</v>
      </c>
      <c r="J740" s="12" t="s">
        <v>543</v>
      </c>
    </row>
    <row r="741" spans="1:10" s="15" customFormat="1" x14ac:dyDescent="0.15">
      <c r="A741" s="11">
        <v>45499</v>
      </c>
      <c r="B741" s="12" t="s">
        <v>59</v>
      </c>
      <c r="C741" s="12" t="s">
        <v>59</v>
      </c>
      <c r="D741" s="13" t="str">
        <f>HYPERLINK("https://www.marklines.com/en/global/4073","Guangzhou Automobile Group Co., Ltd. (GAC)")</f>
        <v>Guangzhou Automobile Group Co., Ltd. (GAC)</v>
      </c>
      <c r="E741" s="12" t="s">
        <v>97</v>
      </c>
      <c r="F741" s="12" t="s">
        <v>21</v>
      </c>
      <c r="G741" s="12" t="s">
        <v>47</v>
      </c>
      <c r="H741" s="12" t="s">
        <v>48</v>
      </c>
      <c r="I741" s="14">
        <v>45495</v>
      </c>
      <c r="J741" s="12" t="s">
        <v>544</v>
      </c>
    </row>
    <row r="742" spans="1:10" s="15" customFormat="1" x14ac:dyDescent="0.15">
      <c r="A742" s="11">
        <v>45499</v>
      </c>
      <c r="B742" s="12" t="s">
        <v>49</v>
      </c>
      <c r="C742" s="12" t="s">
        <v>86</v>
      </c>
      <c r="D742" s="13" t="str">
        <f>HYPERLINK("https://www.marklines.com/en/global/9485","Guangzhou Xiaopeng Motors Technology Co., Ltd. ")</f>
        <v xml:space="preserve">Guangzhou Xiaopeng Motors Technology Co., Ltd. </v>
      </c>
      <c r="E742" s="12" t="s">
        <v>350</v>
      </c>
      <c r="F742" s="12" t="s">
        <v>21</v>
      </c>
      <c r="G742" s="12" t="s">
        <v>47</v>
      </c>
      <c r="H742" s="12" t="s">
        <v>48</v>
      </c>
      <c r="I742" s="14">
        <v>45495</v>
      </c>
      <c r="J742" s="12" t="s">
        <v>545</v>
      </c>
    </row>
    <row r="743" spans="1:10" s="15" customFormat="1" x14ac:dyDescent="0.15">
      <c r="A743" s="11">
        <v>45499</v>
      </c>
      <c r="B743" s="12" t="s">
        <v>49</v>
      </c>
      <c r="C743" s="12" t="s">
        <v>86</v>
      </c>
      <c r="D743" s="13" t="str">
        <f>HYPERLINK("https://www.marklines.com/en/global/10714","Volkswagen China Technology Company (VCTC)")</f>
        <v>Volkswagen China Technology Company (VCTC)</v>
      </c>
      <c r="E743" s="12" t="s">
        <v>107</v>
      </c>
      <c r="F743" s="12" t="s">
        <v>21</v>
      </c>
      <c r="G743" s="12" t="s">
        <v>47</v>
      </c>
      <c r="H743" s="12" t="s">
        <v>105</v>
      </c>
      <c r="I743" s="14">
        <v>45495</v>
      </c>
      <c r="J743" s="12" t="s">
        <v>545</v>
      </c>
    </row>
    <row r="744" spans="1:10" s="15" customFormat="1" x14ac:dyDescent="0.15">
      <c r="A744" s="11">
        <v>45499</v>
      </c>
      <c r="B744" s="12" t="s">
        <v>49</v>
      </c>
      <c r="C744" s="12" t="s">
        <v>86</v>
      </c>
      <c r="D744" s="13" t="str">
        <f>HYPERLINK("https://www.marklines.com/en/global/3481","Volkswagen (China) Investment Co., Ltd. ")</f>
        <v xml:space="preserve">Volkswagen (China) Investment Co., Ltd. </v>
      </c>
      <c r="E744" s="12" t="s">
        <v>108</v>
      </c>
      <c r="F744" s="12" t="s">
        <v>21</v>
      </c>
      <c r="G744" s="12" t="s">
        <v>47</v>
      </c>
      <c r="H744" s="12" t="s">
        <v>56</v>
      </c>
      <c r="I744" s="14">
        <v>45495</v>
      </c>
      <c r="J744" s="12" t="s">
        <v>545</v>
      </c>
    </row>
    <row r="745" spans="1:10" s="15" customFormat="1" x14ac:dyDescent="0.15">
      <c r="A745" s="11">
        <v>45499</v>
      </c>
      <c r="B745" s="12" t="s">
        <v>49</v>
      </c>
      <c r="C745" s="12" t="s">
        <v>86</v>
      </c>
      <c r="D745" s="13" t="str">
        <f>HYPERLINK("https://www.marklines.com/en/global/9517","Volkswagen (Anhui) Automotive Company Limited  (formerly JAC Volkswagen Automotive Co., Ltd.)")</f>
        <v>Volkswagen (Anhui) Automotive Company Limited  (formerly JAC Volkswagen Automotive Co., Ltd.)</v>
      </c>
      <c r="E745" s="12" t="s">
        <v>441</v>
      </c>
      <c r="F745" s="12" t="s">
        <v>21</v>
      </c>
      <c r="G745" s="12" t="s">
        <v>47</v>
      </c>
      <c r="H745" s="12" t="s">
        <v>105</v>
      </c>
      <c r="I745" s="14">
        <v>45495</v>
      </c>
      <c r="J745" s="12" t="s">
        <v>545</v>
      </c>
    </row>
    <row r="746" spans="1:10" s="15" customFormat="1" x14ac:dyDescent="0.15">
      <c r="A746" s="11">
        <v>45499</v>
      </c>
      <c r="B746" s="12" t="s">
        <v>46</v>
      </c>
      <c r="C746" s="12" t="s">
        <v>46</v>
      </c>
      <c r="D746" s="13" t="str">
        <f>HYPERLINK("https://www.marklines.com/en/global/9485","Guangzhou Xiaopeng Motors Technology Co., Ltd. ")</f>
        <v xml:space="preserve">Guangzhou Xiaopeng Motors Technology Co., Ltd. </v>
      </c>
      <c r="E746" s="12" t="s">
        <v>350</v>
      </c>
      <c r="F746" s="12" t="s">
        <v>21</v>
      </c>
      <c r="G746" s="12" t="s">
        <v>47</v>
      </c>
      <c r="H746" s="12" t="s">
        <v>48</v>
      </c>
      <c r="I746" s="14">
        <v>45495</v>
      </c>
      <c r="J746" s="12" t="s">
        <v>545</v>
      </c>
    </row>
    <row r="747" spans="1:10" s="15" customFormat="1" x14ac:dyDescent="0.15">
      <c r="A747" s="11">
        <v>45499</v>
      </c>
      <c r="B747" s="12" t="s">
        <v>46</v>
      </c>
      <c r="C747" s="12" t="s">
        <v>46</v>
      </c>
      <c r="D747" s="13" t="str">
        <f>HYPERLINK("https://www.marklines.com/en/global/10714","Volkswagen China Technology Company (VCTC)")</f>
        <v>Volkswagen China Technology Company (VCTC)</v>
      </c>
      <c r="E747" s="12" t="s">
        <v>107</v>
      </c>
      <c r="F747" s="12" t="s">
        <v>21</v>
      </c>
      <c r="G747" s="12" t="s">
        <v>47</v>
      </c>
      <c r="H747" s="12" t="s">
        <v>105</v>
      </c>
      <c r="I747" s="14">
        <v>45495</v>
      </c>
      <c r="J747" s="12" t="s">
        <v>545</v>
      </c>
    </row>
    <row r="748" spans="1:10" s="15" customFormat="1" x14ac:dyDescent="0.15">
      <c r="A748" s="11">
        <v>45499</v>
      </c>
      <c r="B748" s="12" t="s">
        <v>46</v>
      </c>
      <c r="C748" s="12" t="s">
        <v>46</v>
      </c>
      <c r="D748" s="13" t="str">
        <f>HYPERLINK("https://www.marklines.com/en/global/9517","Volkswagen (Anhui) Automotive Company Limited  (formerly JAC Volkswagen Automotive Co., Ltd.)")</f>
        <v>Volkswagen (Anhui) Automotive Company Limited  (formerly JAC Volkswagen Automotive Co., Ltd.)</v>
      </c>
      <c r="E748" s="12" t="s">
        <v>441</v>
      </c>
      <c r="F748" s="12" t="s">
        <v>21</v>
      </c>
      <c r="G748" s="12" t="s">
        <v>47</v>
      </c>
      <c r="H748" s="12" t="s">
        <v>105</v>
      </c>
      <c r="I748" s="14">
        <v>45495</v>
      </c>
      <c r="J748" s="12" t="s">
        <v>545</v>
      </c>
    </row>
    <row r="749" spans="1:10" s="15" customFormat="1" x14ac:dyDescent="0.15">
      <c r="A749" s="11">
        <v>45499</v>
      </c>
      <c r="B749" s="12" t="s">
        <v>35</v>
      </c>
      <c r="C749" s="12" t="s">
        <v>35</v>
      </c>
      <c r="D749" s="13" t="str">
        <f>HYPERLINK("https://www.marklines.com/en/global/4215","FAW Toyota Motor (Chengdu) Co., Ltd. (formerly Sichuan FAW Toyota Motor Co., Ltd.)")</f>
        <v>FAW Toyota Motor (Chengdu) Co., Ltd. (formerly Sichuan FAW Toyota Motor Co., Ltd.)</v>
      </c>
      <c r="E749" s="12" t="s">
        <v>546</v>
      </c>
      <c r="F749" s="12" t="s">
        <v>21</v>
      </c>
      <c r="G749" s="12" t="s">
        <v>47</v>
      </c>
      <c r="H749" s="12" t="s">
        <v>547</v>
      </c>
      <c r="I749" s="14">
        <v>45493</v>
      </c>
      <c r="J749" s="12" t="s">
        <v>548</v>
      </c>
    </row>
    <row r="750" spans="1:10" s="15" customFormat="1" x14ac:dyDescent="0.15">
      <c r="A750" s="11">
        <v>45499</v>
      </c>
      <c r="B750" s="12" t="s">
        <v>529</v>
      </c>
      <c r="C750" s="12" t="s">
        <v>530</v>
      </c>
      <c r="D750" s="13" t="str">
        <f>HYPERLINK("https://www.marklines.com/en/global/997","Proton, Tanjung Malim Plant")</f>
        <v>Proton, Tanjung Malim Plant</v>
      </c>
      <c r="E750" s="12" t="s">
        <v>531</v>
      </c>
      <c r="F750" s="12" t="s">
        <v>60</v>
      </c>
      <c r="G750" s="12" t="s">
        <v>532</v>
      </c>
      <c r="H750" s="12"/>
      <c r="I750" s="14">
        <v>45492</v>
      </c>
      <c r="J750" s="12" t="s">
        <v>549</v>
      </c>
    </row>
    <row r="751" spans="1:10" s="15" customFormat="1" x14ac:dyDescent="0.15">
      <c r="A751" s="11">
        <v>45499</v>
      </c>
      <c r="B751" s="12" t="s">
        <v>43</v>
      </c>
      <c r="C751" s="12" t="s">
        <v>43</v>
      </c>
      <c r="D751" s="13" t="str">
        <f>HYPERLINK("https://www.marklines.com/en/global/3981","Dongfeng Honda Automobile Co., Ltd. ")</f>
        <v xml:space="preserve">Dongfeng Honda Automobile Co., Ltd. </v>
      </c>
      <c r="E751" s="12" t="s">
        <v>550</v>
      </c>
      <c r="F751" s="12" t="s">
        <v>21</v>
      </c>
      <c r="G751" s="12" t="s">
        <v>47</v>
      </c>
      <c r="H751" s="12" t="s">
        <v>294</v>
      </c>
      <c r="I751" s="14">
        <v>45487</v>
      </c>
      <c r="J751" s="12" t="s">
        <v>551</v>
      </c>
    </row>
    <row r="752" spans="1:10" s="15" customFormat="1" x14ac:dyDescent="0.15">
      <c r="A752" s="11">
        <v>45499</v>
      </c>
      <c r="B752" s="12" t="s">
        <v>15</v>
      </c>
      <c r="C752" s="12" t="s">
        <v>15</v>
      </c>
      <c r="D752" s="13" t="str">
        <f>HYPERLINK("https://www.marklines.com/en/global/613","Ford South Africa, Silverton Assembly Plant")</f>
        <v>Ford South Africa, Silverton Assembly Plant</v>
      </c>
      <c r="E752" s="12" t="s">
        <v>552</v>
      </c>
      <c r="F752" s="12" t="s">
        <v>114</v>
      </c>
      <c r="G752" s="12" t="s">
        <v>115</v>
      </c>
      <c r="H752" s="12"/>
      <c r="I752" s="14">
        <v>45447</v>
      </c>
      <c r="J752" s="12" t="s">
        <v>553</v>
      </c>
    </row>
    <row r="753" spans="1:10" s="15" customFormat="1" x14ac:dyDescent="0.15">
      <c r="A753" s="11">
        <v>45498</v>
      </c>
      <c r="B753" s="12" t="s">
        <v>35</v>
      </c>
      <c r="C753" s="12" t="s">
        <v>35</v>
      </c>
      <c r="D753" s="13" t="str">
        <f>HYPERLINK("https://www.marklines.com/en/global/1445","Toyota Motor Manufacturing Turkey Inc. (TMMT), Sakarya (Adapazari) Plant")</f>
        <v>Toyota Motor Manufacturing Turkey Inc. (TMMT), Sakarya (Adapazari) Plant</v>
      </c>
      <c r="E753" s="12" t="s">
        <v>554</v>
      </c>
      <c r="F753" s="12" t="s">
        <v>41</v>
      </c>
      <c r="G753" s="12" t="s">
        <v>42</v>
      </c>
      <c r="H753" s="12"/>
      <c r="I753" s="14">
        <v>45498</v>
      </c>
      <c r="J753" s="12" t="s">
        <v>555</v>
      </c>
    </row>
    <row r="754" spans="1:10" s="15" customFormat="1" x14ac:dyDescent="0.15">
      <c r="A754" s="11">
        <v>45498</v>
      </c>
      <c r="B754" s="12" t="s">
        <v>38</v>
      </c>
      <c r="C754" s="12" t="s">
        <v>38</v>
      </c>
      <c r="D754" s="13" t="str">
        <f>HYPERLINK("https://www.marklines.com/en/global/757","JSC Moscow Automobile Plant Moskvich, Moscow Plant (former CJSC Renault Russia)")</f>
        <v>JSC Moscow Automobile Plant Moskvich, Moscow Plant (former CJSC Renault Russia)</v>
      </c>
      <c r="E754" s="12" t="s">
        <v>556</v>
      </c>
      <c r="F754" s="12" t="s">
        <v>61</v>
      </c>
      <c r="G754" s="12" t="s">
        <v>235</v>
      </c>
      <c r="H754" s="12"/>
      <c r="I754" s="14">
        <v>45497</v>
      </c>
      <c r="J754" s="12" t="s">
        <v>557</v>
      </c>
    </row>
    <row r="755" spans="1:10" s="15" customFormat="1" x14ac:dyDescent="0.15">
      <c r="A755" s="11">
        <v>45498</v>
      </c>
      <c r="B755" s="12" t="s">
        <v>44</v>
      </c>
      <c r="C755" s="12" t="s">
        <v>44</v>
      </c>
      <c r="D755" s="13" t="str">
        <f>HYPERLINK("https://www.marklines.com/en/global/1889","Revoz dd, Novo Mesto Plant")</f>
        <v>Revoz dd, Novo Mesto Plant</v>
      </c>
      <c r="E755" s="12" t="s">
        <v>558</v>
      </c>
      <c r="F755" s="12" t="s">
        <v>61</v>
      </c>
      <c r="G755" s="12" t="s">
        <v>559</v>
      </c>
      <c r="H755" s="12"/>
      <c r="I755" s="14">
        <v>45497</v>
      </c>
      <c r="J755" s="12" t="s">
        <v>560</v>
      </c>
    </row>
    <row r="756" spans="1:10" s="15" customFormat="1" x14ac:dyDescent="0.15">
      <c r="A756" s="11">
        <v>45498</v>
      </c>
      <c r="B756" s="12" t="s">
        <v>38</v>
      </c>
      <c r="C756" s="12" t="s">
        <v>561</v>
      </c>
      <c r="D756" s="13" t="str">
        <f>HYPERLINK("https://www.marklines.com/en/global/1889","Revoz dd, Novo Mesto Plant")</f>
        <v>Revoz dd, Novo Mesto Plant</v>
      </c>
      <c r="E756" s="12" t="s">
        <v>558</v>
      </c>
      <c r="F756" s="12" t="s">
        <v>61</v>
      </c>
      <c r="G756" s="12" t="s">
        <v>559</v>
      </c>
      <c r="H756" s="12"/>
      <c r="I756" s="14">
        <v>45497</v>
      </c>
      <c r="J756" s="12" t="s">
        <v>560</v>
      </c>
    </row>
    <row r="757" spans="1:10" s="15" customFormat="1" x14ac:dyDescent="0.15">
      <c r="A757" s="11">
        <v>45498</v>
      </c>
      <c r="B757" s="12" t="s">
        <v>35</v>
      </c>
      <c r="C757" s="12" t="s">
        <v>35</v>
      </c>
      <c r="D757" s="13" t="str">
        <f>HYPERLINK("https://www.marklines.com/en/global/3261","Toyota Motor Manufacturing, West Virginia,  Inc. (TMMWV), Buffalo Plant")</f>
        <v>Toyota Motor Manufacturing, West Virginia,  Inc. (TMMWV), Buffalo Plant</v>
      </c>
      <c r="E757" s="12" t="s">
        <v>562</v>
      </c>
      <c r="F757" s="12" t="s">
        <v>16</v>
      </c>
      <c r="G757" s="12" t="s">
        <v>17</v>
      </c>
      <c r="H757" s="12" t="s">
        <v>563</v>
      </c>
      <c r="I757" s="14">
        <v>45497</v>
      </c>
      <c r="J757" s="12" t="s">
        <v>564</v>
      </c>
    </row>
    <row r="758" spans="1:10" s="15" customFormat="1" x14ac:dyDescent="0.15">
      <c r="A758" s="11">
        <v>45498</v>
      </c>
      <c r="B758" s="12" t="s">
        <v>224</v>
      </c>
      <c r="C758" s="12" t="s">
        <v>224</v>
      </c>
      <c r="D758" s="13" t="str">
        <f>HYPERLINK("https://www.marklines.com/en/global/2459","General Motors, Factory ZERO (Detroit-Hamtramck Plant) ")</f>
        <v xml:space="preserve">General Motors, Factory ZERO (Detroit-Hamtramck Plant) </v>
      </c>
      <c r="E758" s="12" t="s">
        <v>520</v>
      </c>
      <c r="F758" s="12" t="s">
        <v>16</v>
      </c>
      <c r="G758" s="12" t="s">
        <v>17</v>
      </c>
      <c r="H758" s="12" t="s">
        <v>19</v>
      </c>
      <c r="I758" s="14">
        <v>45496</v>
      </c>
      <c r="J758" s="12" t="s">
        <v>565</v>
      </c>
    </row>
    <row r="759" spans="1:10" s="15" customFormat="1" x14ac:dyDescent="0.15">
      <c r="A759" s="11">
        <v>45498</v>
      </c>
      <c r="B759" s="12" t="s">
        <v>224</v>
      </c>
      <c r="C759" s="12" t="s">
        <v>224</v>
      </c>
      <c r="D759" s="13" t="str">
        <f>HYPERLINK("https://www.marklines.com/en/global/867","General Motors Mexico, Ramos Arizpe Plant")</f>
        <v>General Motors Mexico, Ramos Arizpe Plant</v>
      </c>
      <c r="E759" s="12" t="s">
        <v>415</v>
      </c>
      <c r="F759" s="12" t="s">
        <v>16</v>
      </c>
      <c r="G759" s="12" t="s">
        <v>229</v>
      </c>
      <c r="H759" s="12"/>
      <c r="I759" s="14">
        <v>45496</v>
      </c>
      <c r="J759" s="12" t="s">
        <v>565</v>
      </c>
    </row>
    <row r="760" spans="1:10" s="15" customFormat="1" x14ac:dyDescent="0.15">
      <c r="A760" s="11">
        <v>45498</v>
      </c>
      <c r="B760" s="12" t="s">
        <v>224</v>
      </c>
      <c r="C760" s="12" t="s">
        <v>224</v>
      </c>
      <c r="D760" s="13" t="str">
        <f>HYPERLINK("https://www.marklines.com/en/global/2519","General Motors, Fairfax Assembly &amp; Stamping Plant")</f>
        <v>General Motors, Fairfax Assembly &amp; Stamping Plant</v>
      </c>
      <c r="E760" s="12" t="s">
        <v>566</v>
      </c>
      <c r="F760" s="12" t="s">
        <v>16</v>
      </c>
      <c r="G760" s="12" t="s">
        <v>17</v>
      </c>
      <c r="H760" s="12" t="s">
        <v>567</v>
      </c>
      <c r="I760" s="14">
        <v>45496</v>
      </c>
      <c r="J760" s="12" t="s">
        <v>565</v>
      </c>
    </row>
    <row r="761" spans="1:10" s="15" customFormat="1" x14ac:dyDescent="0.15">
      <c r="A761" s="11">
        <v>45498</v>
      </c>
      <c r="B761" s="12" t="s">
        <v>224</v>
      </c>
      <c r="C761" s="12" t="s">
        <v>414</v>
      </c>
      <c r="D761" s="13" t="str">
        <f>HYPERLINK("https://www.marklines.com/en/global/2459","General Motors, Factory ZERO (Detroit-Hamtramck Plant) ")</f>
        <v xml:space="preserve">General Motors, Factory ZERO (Detroit-Hamtramck Plant) </v>
      </c>
      <c r="E761" s="12" t="s">
        <v>520</v>
      </c>
      <c r="F761" s="12" t="s">
        <v>16</v>
      </c>
      <c r="G761" s="12" t="s">
        <v>17</v>
      </c>
      <c r="H761" s="12" t="s">
        <v>19</v>
      </c>
      <c r="I761" s="14">
        <v>45496</v>
      </c>
      <c r="J761" s="12" t="s">
        <v>568</v>
      </c>
    </row>
    <row r="762" spans="1:10" s="15" customFormat="1" x14ac:dyDescent="0.15">
      <c r="A762" s="11">
        <v>45498</v>
      </c>
      <c r="B762" s="12" t="s">
        <v>224</v>
      </c>
      <c r="C762" s="12" t="s">
        <v>414</v>
      </c>
      <c r="D762" s="13" t="str">
        <f>HYPERLINK("https://www.marklines.com/en/global/2479","General Motors, Orion Assembly Plant")</f>
        <v>General Motors, Orion Assembly Plant</v>
      </c>
      <c r="E762" s="12" t="s">
        <v>569</v>
      </c>
      <c r="F762" s="12" t="s">
        <v>16</v>
      </c>
      <c r="G762" s="12" t="s">
        <v>17</v>
      </c>
      <c r="H762" s="12" t="s">
        <v>19</v>
      </c>
      <c r="I762" s="14">
        <v>45496</v>
      </c>
      <c r="J762" s="12" t="s">
        <v>568</v>
      </c>
    </row>
    <row r="763" spans="1:10" s="15" customFormat="1" x14ac:dyDescent="0.15">
      <c r="A763" s="11">
        <v>45498</v>
      </c>
      <c r="B763" s="12" t="s">
        <v>224</v>
      </c>
      <c r="C763" s="12" t="s">
        <v>570</v>
      </c>
      <c r="D763" s="13" t="str">
        <f>HYPERLINK("https://www.marklines.com/en/global/2459","General Motors, Factory ZERO (Detroit-Hamtramck Plant) ")</f>
        <v xml:space="preserve">General Motors, Factory ZERO (Detroit-Hamtramck Plant) </v>
      </c>
      <c r="E763" s="12" t="s">
        <v>520</v>
      </c>
      <c r="F763" s="12" t="s">
        <v>16</v>
      </c>
      <c r="G763" s="12" t="s">
        <v>17</v>
      </c>
      <c r="H763" s="12" t="s">
        <v>19</v>
      </c>
      <c r="I763" s="14">
        <v>45496</v>
      </c>
      <c r="J763" s="12" t="s">
        <v>568</v>
      </c>
    </row>
    <row r="764" spans="1:10" s="15" customFormat="1" x14ac:dyDescent="0.15">
      <c r="A764" s="11">
        <v>45498</v>
      </c>
      <c r="B764" s="12" t="s">
        <v>224</v>
      </c>
      <c r="C764" s="12" t="s">
        <v>570</v>
      </c>
      <c r="D764" s="13" t="str">
        <f>HYPERLINK("https://www.marklines.com/en/global/2479","General Motors, Orion Assembly Plant")</f>
        <v>General Motors, Orion Assembly Plant</v>
      </c>
      <c r="E764" s="12" t="s">
        <v>569</v>
      </c>
      <c r="F764" s="12" t="s">
        <v>16</v>
      </c>
      <c r="G764" s="12" t="s">
        <v>17</v>
      </c>
      <c r="H764" s="12" t="s">
        <v>19</v>
      </c>
      <c r="I764" s="14">
        <v>45496</v>
      </c>
      <c r="J764" s="12" t="s">
        <v>568</v>
      </c>
    </row>
    <row r="765" spans="1:10" s="15" customFormat="1" x14ac:dyDescent="0.15">
      <c r="A765" s="11">
        <v>45498</v>
      </c>
      <c r="B765" s="12" t="s">
        <v>224</v>
      </c>
      <c r="C765" s="12" t="s">
        <v>224</v>
      </c>
      <c r="D765" s="13" t="str">
        <f>HYPERLINK("https://www.marklines.com/en/global/2517","General Motors, Wentzville Assembly Plant")</f>
        <v>General Motors, Wentzville Assembly Plant</v>
      </c>
      <c r="E765" s="12" t="s">
        <v>525</v>
      </c>
      <c r="F765" s="12" t="s">
        <v>16</v>
      </c>
      <c r="G765" s="12" t="s">
        <v>17</v>
      </c>
      <c r="H765" s="12" t="s">
        <v>526</v>
      </c>
      <c r="I765" s="14">
        <v>45495</v>
      </c>
      <c r="J765" s="12" t="s">
        <v>571</v>
      </c>
    </row>
    <row r="766" spans="1:10" s="15" customFormat="1" x14ac:dyDescent="0.15">
      <c r="A766" s="11">
        <v>45498</v>
      </c>
      <c r="B766" s="12" t="s">
        <v>30</v>
      </c>
      <c r="C766" s="12" t="s">
        <v>30</v>
      </c>
      <c r="D766" s="13" t="str">
        <f>HYPERLINK("https://www.marklines.com/en/global/3153","Rivian, Normal Plant (former Mitsubishi Motors North America, Normal Plant)")</f>
        <v>Rivian, Normal Plant (former Mitsubishi Motors North America, Normal Plant)</v>
      </c>
      <c r="E766" s="12" t="s">
        <v>31</v>
      </c>
      <c r="F766" s="12" t="s">
        <v>16</v>
      </c>
      <c r="G766" s="12" t="s">
        <v>17</v>
      </c>
      <c r="H766" s="12" t="s">
        <v>32</v>
      </c>
      <c r="I766" s="14">
        <v>45494</v>
      </c>
      <c r="J766" s="12" t="s">
        <v>572</v>
      </c>
    </row>
    <row r="767" spans="1:10" s="15" customFormat="1" x14ac:dyDescent="0.15">
      <c r="A767" s="11">
        <v>45498</v>
      </c>
      <c r="B767" s="12" t="s">
        <v>23</v>
      </c>
      <c r="C767" s="12" t="s">
        <v>23</v>
      </c>
      <c r="D767" s="13" t="str">
        <f>HYPERLINK("https://www.marklines.com/en/global/10321","Tesla Gigafactory Texas")</f>
        <v>Tesla Gigafactory Texas</v>
      </c>
      <c r="E767" s="12" t="s">
        <v>573</v>
      </c>
      <c r="F767" s="12" t="s">
        <v>16</v>
      </c>
      <c r="G767" s="12" t="s">
        <v>17</v>
      </c>
      <c r="H767" s="12" t="s">
        <v>574</v>
      </c>
      <c r="I767" s="14">
        <v>45493</v>
      </c>
      <c r="J767" s="12" t="s">
        <v>575</v>
      </c>
    </row>
    <row r="768" spans="1:10" s="15" customFormat="1" x14ac:dyDescent="0.15">
      <c r="A768" s="11">
        <v>45497</v>
      </c>
      <c r="B768" s="12" t="s">
        <v>49</v>
      </c>
      <c r="C768" s="12" t="s">
        <v>576</v>
      </c>
      <c r="D768" s="13" t="str">
        <f>HYPERLINK("https://www.marklines.com/en/global/965","Inokom Corporation Sdn. Bhd., Kulim Plant")</f>
        <v>Inokom Corporation Sdn. Bhd., Kulim Plant</v>
      </c>
      <c r="E768" s="12" t="s">
        <v>577</v>
      </c>
      <c r="F768" s="12" t="s">
        <v>60</v>
      </c>
      <c r="G768" s="12" t="s">
        <v>532</v>
      </c>
      <c r="H768" s="12"/>
      <c r="I768" s="14">
        <v>45497</v>
      </c>
      <c r="J768" s="12" t="s">
        <v>578</v>
      </c>
    </row>
    <row r="769" spans="1:10" s="15" customFormat="1" x14ac:dyDescent="0.15">
      <c r="A769" s="11">
        <v>45497</v>
      </c>
      <c r="B769" s="12" t="s">
        <v>38</v>
      </c>
      <c r="C769" s="12" t="s">
        <v>579</v>
      </c>
      <c r="D769" s="13" t="str">
        <f>HYPERLINK("https://www.marklines.com/en/global/965","Inokom Corporation Sdn. Bhd., Kulim Plant")</f>
        <v>Inokom Corporation Sdn. Bhd., Kulim Plant</v>
      </c>
      <c r="E769" s="12" t="s">
        <v>577</v>
      </c>
      <c r="F769" s="12" t="s">
        <v>60</v>
      </c>
      <c r="G769" s="12" t="s">
        <v>532</v>
      </c>
      <c r="H769" s="12"/>
      <c r="I769" s="14">
        <v>45497</v>
      </c>
      <c r="J769" s="12" t="s">
        <v>578</v>
      </c>
    </row>
    <row r="770" spans="1:10" s="15" customFormat="1" x14ac:dyDescent="0.15">
      <c r="A770" s="11">
        <v>45497</v>
      </c>
      <c r="B770" s="12" t="s">
        <v>11</v>
      </c>
      <c r="C770" s="12" t="s">
        <v>214</v>
      </c>
      <c r="D770" s="13" t="str">
        <f>HYPERLINK("https://www.marklines.com/en/global/1881","Stellantis, Fiat Serbia, Kragujevac Plant")</f>
        <v>Stellantis, Fiat Serbia, Kragujevac Plant</v>
      </c>
      <c r="E770" s="12" t="s">
        <v>580</v>
      </c>
      <c r="F770" s="12" t="s">
        <v>61</v>
      </c>
      <c r="G770" s="12" t="s">
        <v>581</v>
      </c>
      <c r="H770" s="12"/>
      <c r="I770" s="14">
        <v>45496</v>
      </c>
      <c r="J770" s="12" t="s">
        <v>582</v>
      </c>
    </row>
    <row r="771" spans="1:10" s="15" customFormat="1" x14ac:dyDescent="0.15">
      <c r="A771" s="11">
        <v>45497</v>
      </c>
      <c r="B771" s="12" t="s">
        <v>43</v>
      </c>
      <c r="C771" s="12" t="s">
        <v>43</v>
      </c>
      <c r="D771" s="13" t="str">
        <f>HYPERLINK("https://www.marklines.com/en/global/3113","Honda Development &amp; Manufacturing of America, LLC (HDMA), Anna Engine Plant")</f>
        <v>Honda Development &amp; Manufacturing of America, LLC (HDMA), Anna Engine Plant</v>
      </c>
      <c r="E771" s="12" t="s">
        <v>583</v>
      </c>
      <c r="F771" s="12" t="s">
        <v>16</v>
      </c>
      <c r="G771" s="12" t="s">
        <v>17</v>
      </c>
      <c r="H771" s="12" t="s">
        <v>18</v>
      </c>
      <c r="I771" s="14">
        <v>45496</v>
      </c>
      <c r="J771" s="12" t="s">
        <v>584</v>
      </c>
    </row>
    <row r="772" spans="1:10" s="15" customFormat="1" x14ac:dyDescent="0.15">
      <c r="A772" s="11">
        <v>45497</v>
      </c>
      <c r="B772" s="12" t="s">
        <v>43</v>
      </c>
      <c r="C772" s="12" t="s">
        <v>43</v>
      </c>
      <c r="D772" s="13" t="str">
        <f>HYPERLINK("https://www.marklines.com/en/global/3125","Honda of Canada Manufacturing, Honda Canada Inc., Alliston Plant")</f>
        <v>Honda of Canada Manufacturing, Honda Canada Inc., Alliston Plant</v>
      </c>
      <c r="E772" s="12" t="s">
        <v>585</v>
      </c>
      <c r="F772" s="12" t="s">
        <v>16</v>
      </c>
      <c r="G772" s="12" t="s">
        <v>241</v>
      </c>
      <c r="H772" s="12"/>
      <c r="I772" s="14">
        <v>45496</v>
      </c>
      <c r="J772" s="12" t="s">
        <v>584</v>
      </c>
    </row>
    <row r="773" spans="1:10" s="15" customFormat="1" x14ac:dyDescent="0.15">
      <c r="A773" s="11">
        <v>45497</v>
      </c>
      <c r="B773" s="12" t="s">
        <v>49</v>
      </c>
      <c r="C773" s="12" t="s">
        <v>586</v>
      </c>
      <c r="D773" s="13" t="str">
        <f>HYPERLINK("https://www.marklines.com/en/global/1378","Bentley Motors Ltd., Crewe Plant")</f>
        <v>Bentley Motors Ltd., Crewe Plant</v>
      </c>
      <c r="E773" s="12" t="s">
        <v>587</v>
      </c>
      <c r="F773" s="12" t="s">
        <v>13</v>
      </c>
      <c r="G773" s="12" t="s">
        <v>588</v>
      </c>
      <c r="H773" s="12"/>
      <c r="I773" s="14">
        <v>45496</v>
      </c>
      <c r="J773" s="12" t="s">
        <v>589</v>
      </c>
    </row>
    <row r="774" spans="1:10" s="15" customFormat="1" x14ac:dyDescent="0.15">
      <c r="A774" s="11">
        <v>45497</v>
      </c>
      <c r="B774" s="12" t="s">
        <v>55</v>
      </c>
      <c r="C774" s="12" t="s">
        <v>55</v>
      </c>
      <c r="D774" s="13" t="str">
        <f>HYPERLINK("https://www.marklines.com/en/global/10326","Hyundai Motor Group Innovation Center in Singapore (HMGICS)")</f>
        <v>Hyundai Motor Group Innovation Center in Singapore (HMGICS)</v>
      </c>
      <c r="E774" s="12" t="s">
        <v>590</v>
      </c>
      <c r="F774" s="12" t="s">
        <v>60</v>
      </c>
      <c r="G774" s="12" t="s">
        <v>591</v>
      </c>
      <c r="H774" s="12"/>
      <c r="I774" s="14">
        <v>45495</v>
      </c>
      <c r="J774" s="12" t="s">
        <v>592</v>
      </c>
    </row>
    <row r="775" spans="1:10" s="15" customFormat="1" x14ac:dyDescent="0.15">
      <c r="A775" s="11">
        <v>45497</v>
      </c>
      <c r="B775" s="12" t="s">
        <v>35</v>
      </c>
      <c r="C775" s="12" t="s">
        <v>35</v>
      </c>
      <c r="D775" s="13" t="str">
        <f>HYPERLINK("https://www.marklines.com/en/global/420","Toyota Motor East Japan, Miyagi Ohira Plant")</f>
        <v>Toyota Motor East Japan, Miyagi Ohira Plant</v>
      </c>
      <c r="E775" s="12" t="s">
        <v>593</v>
      </c>
      <c r="F775" s="12" t="s">
        <v>21</v>
      </c>
      <c r="G775" s="12" t="s">
        <v>22</v>
      </c>
      <c r="H775" s="12" t="s">
        <v>594</v>
      </c>
      <c r="I775" s="14">
        <v>45491</v>
      </c>
      <c r="J775" s="12" t="s">
        <v>595</v>
      </c>
    </row>
    <row r="776" spans="1:10" s="15" customFormat="1" x14ac:dyDescent="0.15">
      <c r="A776" s="11">
        <v>45497</v>
      </c>
      <c r="B776" s="12" t="s">
        <v>35</v>
      </c>
      <c r="C776" s="12" t="s">
        <v>35</v>
      </c>
      <c r="D776" s="13" t="str">
        <f>HYPERLINK("https://www.marklines.com/en/global/424","Toyota Motor East Japan, Iwate Plant")</f>
        <v>Toyota Motor East Japan, Iwate Plant</v>
      </c>
      <c r="E776" s="12" t="s">
        <v>399</v>
      </c>
      <c r="F776" s="12" t="s">
        <v>21</v>
      </c>
      <c r="G776" s="12" t="s">
        <v>22</v>
      </c>
      <c r="H776" s="12" t="s">
        <v>400</v>
      </c>
      <c r="I776" s="14">
        <v>45491</v>
      </c>
      <c r="J776" s="12" t="s">
        <v>595</v>
      </c>
    </row>
    <row r="777" spans="1:10" s="15" customFormat="1" x14ac:dyDescent="0.15">
      <c r="A777" s="11">
        <v>45497</v>
      </c>
      <c r="B777" s="12" t="s">
        <v>35</v>
      </c>
      <c r="C777" s="12" t="s">
        <v>35</v>
      </c>
      <c r="D777" s="13" t="str">
        <f>HYPERLINK("https://www.marklines.com/en/global/543","Daihatsu Motor, Shiga (Ryuo) Plant")</f>
        <v>Daihatsu Motor, Shiga (Ryuo) Plant</v>
      </c>
      <c r="E777" s="12" t="s">
        <v>89</v>
      </c>
      <c r="F777" s="12" t="s">
        <v>21</v>
      </c>
      <c r="G777" s="12" t="s">
        <v>22</v>
      </c>
      <c r="H777" s="12" t="s">
        <v>90</v>
      </c>
      <c r="I777" s="14">
        <v>45491</v>
      </c>
      <c r="J777" s="12" t="s">
        <v>596</v>
      </c>
    </row>
    <row r="778" spans="1:10" s="15" customFormat="1" x14ac:dyDescent="0.15">
      <c r="A778" s="11">
        <v>45497</v>
      </c>
      <c r="B778" s="12" t="s">
        <v>35</v>
      </c>
      <c r="C778" s="12" t="s">
        <v>62</v>
      </c>
      <c r="D778" s="13" t="str">
        <f>HYPERLINK("https://www.marklines.com/en/global/543","Daihatsu Motor, Shiga (Ryuo) Plant")</f>
        <v>Daihatsu Motor, Shiga (Ryuo) Plant</v>
      </c>
      <c r="E778" s="12" t="s">
        <v>89</v>
      </c>
      <c r="F778" s="12" t="s">
        <v>21</v>
      </c>
      <c r="G778" s="12" t="s">
        <v>22</v>
      </c>
      <c r="H778" s="12" t="s">
        <v>90</v>
      </c>
      <c r="I778" s="14">
        <v>45491</v>
      </c>
      <c r="J778" s="12" t="s">
        <v>596</v>
      </c>
    </row>
    <row r="779" spans="1:10" s="15" customFormat="1" x14ac:dyDescent="0.15">
      <c r="A779" s="11">
        <v>45497</v>
      </c>
      <c r="B779" s="12" t="s">
        <v>35</v>
      </c>
      <c r="C779" s="12" t="s">
        <v>133</v>
      </c>
      <c r="D779" s="13" t="str">
        <f>HYPERLINK("https://www.marklines.com/en/global/373","Toyota Motor, Motomachi Plant")</f>
        <v>Toyota Motor, Motomachi Plant</v>
      </c>
      <c r="E779" s="12" t="s">
        <v>597</v>
      </c>
      <c r="F779" s="12" t="s">
        <v>21</v>
      </c>
      <c r="G779" s="12" t="s">
        <v>22</v>
      </c>
      <c r="H779" s="12" t="s">
        <v>92</v>
      </c>
      <c r="I779" s="14">
        <v>45491</v>
      </c>
      <c r="J779" s="12" t="s">
        <v>598</v>
      </c>
    </row>
    <row r="780" spans="1:10" s="15" customFormat="1" x14ac:dyDescent="0.15">
      <c r="A780" s="11">
        <v>45497</v>
      </c>
      <c r="B780" s="12" t="s">
        <v>78</v>
      </c>
      <c r="C780" s="12" t="s">
        <v>599</v>
      </c>
      <c r="D780" s="13" t="str">
        <f>HYPERLINK("https://www.marklines.com/en/global/2829","Mercedes-Benz do Brasil Ltda, Daimler Truck, São Bernardo do Campo Plant")</f>
        <v>Mercedes-Benz do Brasil Ltda, Daimler Truck, São Bernardo do Campo Plant</v>
      </c>
      <c r="E780" s="12" t="s">
        <v>600</v>
      </c>
      <c r="F780" s="12" t="s">
        <v>45</v>
      </c>
      <c r="G780" s="12" t="s">
        <v>232</v>
      </c>
      <c r="H780" s="12"/>
      <c r="I780" s="14">
        <v>45491</v>
      </c>
      <c r="J780" s="12" t="s">
        <v>601</v>
      </c>
    </row>
    <row r="781" spans="1:10" s="15" customFormat="1" x14ac:dyDescent="0.15">
      <c r="A781" s="11">
        <v>45497</v>
      </c>
      <c r="B781" s="12" t="s">
        <v>88</v>
      </c>
      <c r="C781" s="12" t="s">
        <v>88</v>
      </c>
      <c r="D781" s="13" t="str">
        <f>HYPERLINK("https://www.marklines.com/en/global/503","Mazda Motor, Hiroshima Plant")</f>
        <v>Mazda Motor, Hiroshima Plant</v>
      </c>
      <c r="E781" s="12" t="s">
        <v>391</v>
      </c>
      <c r="F781" s="12" t="s">
        <v>21</v>
      </c>
      <c r="G781" s="12" t="s">
        <v>22</v>
      </c>
      <c r="H781" s="12" t="s">
        <v>392</v>
      </c>
      <c r="I781" s="14">
        <v>45490</v>
      </c>
      <c r="J781" s="12" t="s">
        <v>602</v>
      </c>
    </row>
    <row r="782" spans="1:10" s="15" customFormat="1" x14ac:dyDescent="0.15">
      <c r="A782" s="11">
        <v>45497</v>
      </c>
      <c r="B782" s="12" t="s">
        <v>88</v>
      </c>
      <c r="C782" s="12" t="s">
        <v>88</v>
      </c>
      <c r="D782" s="13" t="str">
        <f>HYPERLINK("https://www.marklines.com/en/global/505","Mazda Motor, Hofu Plant")</f>
        <v>Mazda Motor, Hofu Plant</v>
      </c>
      <c r="E782" s="12" t="s">
        <v>394</v>
      </c>
      <c r="F782" s="12" t="s">
        <v>21</v>
      </c>
      <c r="G782" s="12" t="s">
        <v>22</v>
      </c>
      <c r="H782" s="12" t="s">
        <v>395</v>
      </c>
      <c r="I782" s="14">
        <v>45490</v>
      </c>
      <c r="J782" s="12" t="s">
        <v>602</v>
      </c>
    </row>
    <row r="783" spans="1:10" s="15" customFormat="1" x14ac:dyDescent="0.15">
      <c r="A783" s="11">
        <v>45497</v>
      </c>
      <c r="B783" s="12" t="s">
        <v>121</v>
      </c>
      <c r="C783" s="12" t="s">
        <v>134</v>
      </c>
      <c r="D783" s="13" t="str">
        <f>HYPERLINK("https://www.marklines.com/en/global/273","Inchcape Indonesia, Bogor plant")</f>
        <v>Inchcape Indonesia, Bogor plant</v>
      </c>
      <c r="E783" s="12" t="s">
        <v>603</v>
      </c>
      <c r="F783" s="12" t="s">
        <v>60</v>
      </c>
      <c r="G783" s="12" t="s">
        <v>118</v>
      </c>
      <c r="H783" s="12"/>
      <c r="I783" s="14">
        <v>45490</v>
      </c>
      <c r="J783" s="12" t="s">
        <v>604</v>
      </c>
    </row>
    <row r="784" spans="1:10" s="15" customFormat="1" x14ac:dyDescent="0.15">
      <c r="A784" s="11">
        <v>45497</v>
      </c>
      <c r="B784" s="12" t="s">
        <v>88</v>
      </c>
      <c r="C784" s="12" t="s">
        <v>88</v>
      </c>
      <c r="D784" s="13" t="str">
        <f>HYPERLINK("https://www.marklines.com/en/global/505","Mazda Motor, Hofu Plant")</f>
        <v>Mazda Motor, Hofu Plant</v>
      </c>
      <c r="E784" s="12" t="s">
        <v>394</v>
      </c>
      <c r="F784" s="12" t="s">
        <v>21</v>
      </c>
      <c r="G784" s="12" t="s">
        <v>22</v>
      </c>
      <c r="H784" s="12" t="s">
        <v>395</v>
      </c>
      <c r="I784" s="14">
        <v>45484</v>
      </c>
      <c r="J784" s="12" t="s">
        <v>605</v>
      </c>
    </row>
    <row r="785" spans="1:10" s="15" customFormat="1" x14ac:dyDescent="0.15">
      <c r="A785" s="11">
        <v>45496</v>
      </c>
      <c r="B785" s="12" t="s">
        <v>11</v>
      </c>
      <c r="C785" s="12" t="s">
        <v>11</v>
      </c>
      <c r="D785" s="13" t="str">
        <f>HYPERLINK("https://www.marklines.com/en/global/10159"," Stellantis, PSA, Morocco Technical Center (MTC), Casablanca")</f>
        <v xml:space="preserve"> Stellantis, PSA, Morocco Technical Center (MTC), Casablanca</v>
      </c>
      <c r="E785" s="12" t="s">
        <v>606</v>
      </c>
      <c r="F785" s="12" t="s">
        <v>114</v>
      </c>
      <c r="G785" s="12" t="s">
        <v>504</v>
      </c>
      <c r="H785" s="12"/>
      <c r="I785" s="14">
        <v>45496</v>
      </c>
      <c r="J785" s="12" t="s">
        <v>607</v>
      </c>
    </row>
    <row r="786" spans="1:10" s="15" customFormat="1" x14ac:dyDescent="0.15">
      <c r="A786" s="11">
        <v>45496</v>
      </c>
      <c r="B786" s="12" t="s">
        <v>11</v>
      </c>
      <c r="C786" s="12" t="s">
        <v>11</v>
      </c>
      <c r="D786" s="13" t="str">
        <f>HYPERLINK("https://www.marklines.com/en/global/9519","Stellantis, PSA, Morocco Kenitra Plant")</f>
        <v>Stellantis, PSA, Morocco Kenitra Plant</v>
      </c>
      <c r="E786" s="12" t="s">
        <v>608</v>
      </c>
      <c r="F786" s="12" t="s">
        <v>114</v>
      </c>
      <c r="G786" s="12" t="s">
        <v>504</v>
      </c>
      <c r="H786" s="12"/>
      <c r="I786" s="14">
        <v>45496</v>
      </c>
      <c r="J786" s="12" t="s">
        <v>607</v>
      </c>
    </row>
    <row r="787" spans="1:10" s="15" customFormat="1" x14ac:dyDescent="0.15">
      <c r="A787" s="11">
        <v>45496</v>
      </c>
      <c r="B787" s="12" t="s">
        <v>11</v>
      </c>
      <c r="C787" s="12" t="s">
        <v>11</v>
      </c>
      <c r="D787" s="13" t="str">
        <f>HYPERLINK("https://www.marklines.com/en/global/1939","Stellantis, Peugeot Citroen Automoviles Espana S.A., Vigo Plant")</f>
        <v>Stellantis, Peugeot Citroen Automoviles Espana S.A., Vigo Plant</v>
      </c>
      <c r="E787" s="12" t="s">
        <v>12</v>
      </c>
      <c r="F787" s="12" t="s">
        <v>13</v>
      </c>
      <c r="G787" s="12" t="s">
        <v>14</v>
      </c>
      <c r="H787" s="12"/>
      <c r="I787" s="14">
        <v>45495</v>
      </c>
      <c r="J787" s="12" t="s">
        <v>609</v>
      </c>
    </row>
    <row r="788" spans="1:10" s="15" customFormat="1" x14ac:dyDescent="0.15">
      <c r="A788" s="11">
        <v>45496</v>
      </c>
      <c r="B788" s="12" t="s">
        <v>364</v>
      </c>
      <c r="C788" s="12" t="s">
        <v>364</v>
      </c>
      <c r="D788" s="13" t="str">
        <f>HYPERLINK("https://www.marklines.com/en/global/10385","Sokolnichesky Carriage Repair and Construction Plant (SVARZ)")</f>
        <v>Sokolnichesky Carriage Repair and Construction Plant (SVARZ)</v>
      </c>
      <c r="E788" s="12" t="s">
        <v>365</v>
      </c>
      <c r="F788" s="12" t="s">
        <v>61</v>
      </c>
      <c r="G788" s="12" t="s">
        <v>235</v>
      </c>
      <c r="H788" s="12"/>
      <c r="I788" s="14">
        <v>45495</v>
      </c>
      <c r="J788" s="12" t="s">
        <v>610</v>
      </c>
    </row>
    <row r="789" spans="1:10" s="15" customFormat="1" x14ac:dyDescent="0.15">
      <c r="A789" s="11">
        <v>45496</v>
      </c>
      <c r="B789" s="12" t="s">
        <v>364</v>
      </c>
      <c r="C789" s="12" t="s">
        <v>364</v>
      </c>
      <c r="D789" s="13" t="str">
        <f>HYPERLINK("https://www.marklines.com/en/global/9057","Neftekamsk Motor Plant OJSC (OAO Neftekamskij avtozavod (NefAZ))")</f>
        <v>Neftekamsk Motor Plant OJSC (OAO Neftekamskij avtozavod (NefAZ))</v>
      </c>
      <c r="E789" s="12" t="s">
        <v>368</v>
      </c>
      <c r="F789" s="12" t="s">
        <v>61</v>
      </c>
      <c r="G789" s="12" t="s">
        <v>235</v>
      </c>
      <c r="H789" s="12"/>
      <c r="I789" s="14">
        <v>45495</v>
      </c>
      <c r="J789" s="12" t="s">
        <v>610</v>
      </c>
    </row>
    <row r="790" spans="1:10" s="15" customFormat="1" x14ac:dyDescent="0.15">
      <c r="A790" s="11">
        <v>45496</v>
      </c>
      <c r="B790" s="12" t="s">
        <v>364</v>
      </c>
      <c r="C790" s="12" t="s">
        <v>364</v>
      </c>
      <c r="D790" s="13" t="str">
        <f>HYPERLINK("https://www.marklines.com/en/global/737","Kamaz, Naberezhnye Chelny Plant")</f>
        <v>Kamaz, Naberezhnye Chelny Plant</v>
      </c>
      <c r="E790" s="12" t="s">
        <v>369</v>
      </c>
      <c r="F790" s="12" t="s">
        <v>61</v>
      </c>
      <c r="G790" s="12" t="s">
        <v>235</v>
      </c>
      <c r="H790" s="12"/>
      <c r="I790" s="14">
        <v>45495</v>
      </c>
      <c r="J790" s="12" t="s">
        <v>610</v>
      </c>
    </row>
    <row r="791" spans="1:10" s="15" customFormat="1" x14ac:dyDescent="0.15">
      <c r="A791" s="11">
        <v>45496</v>
      </c>
      <c r="B791" s="12" t="s">
        <v>364</v>
      </c>
      <c r="C791" s="12" t="s">
        <v>364</v>
      </c>
      <c r="D791" s="13" t="str">
        <f>HYPERLINK("https://www.marklines.com/en/global/741","Trucks Vostok Rus LLC (TVR), Naberezhnye Chelny Plant (formerly OOO Daimler Kamaz Rus (DK Rus), OOO Mercedes-Benz Trucks Vostok) ")</f>
        <v xml:space="preserve">Trucks Vostok Rus LLC (TVR), Naberezhnye Chelny Plant (formerly OOO Daimler Kamaz Rus (DK Rus), OOO Mercedes-Benz Trucks Vostok) </v>
      </c>
      <c r="E791" s="12" t="s">
        <v>370</v>
      </c>
      <c r="F791" s="12" t="s">
        <v>61</v>
      </c>
      <c r="G791" s="12" t="s">
        <v>235</v>
      </c>
      <c r="H791" s="12"/>
      <c r="I791" s="14">
        <v>45495</v>
      </c>
      <c r="J791" s="12" t="s">
        <v>610</v>
      </c>
    </row>
    <row r="792" spans="1:10" s="15" customFormat="1" x14ac:dyDescent="0.15">
      <c r="A792" s="11">
        <v>45496</v>
      </c>
      <c r="B792" s="12" t="s">
        <v>38</v>
      </c>
      <c r="C792" s="12" t="s">
        <v>38</v>
      </c>
      <c r="D792" s="13" t="str">
        <f>HYPERLINK("https://www.marklines.com/en/global/757","JSC Moscow Automobile Plant Moskvich, Moscow Plant (former CJSC Renault Russia)")</f>
        <v>JSC Moscow Automobile Plant Moskvich, Moscow Plant (former CJSC Renault Russia)</v>
      </c>
      <c r="E792" s="12" t="s">
        <v>556</v>
      </c>
      <c r="F792" s="12" t="s">
        <v>61</v>
      </c>
      <c r="G792" s="12" t="s">
        <v>235</v>
      </c>
      <c r="H792" s="12"/>
      <c r="I792" s="14">
        <v>45495</v>
      </c>
      <c r="J792" s="12" t="s">
        <v>611</v>
      </c>
    </row>
    <row r="793" spans="1:10" s="15" customFormat="1" x14ac:dyDescent="0.15">
      <c r="A793" s="11">
        <v>45496</v>
      </c>
      <c r="B793" s="12" t="s">
        <v>612</v>
      </c>
      <c r="C793" s="12" t="s">
        <v>613</v>
      </c>
      <c r="D793" s="13" t="str">
        <f>HYPERLINK("https://www.marklines.com/en/global/10753","Agratas Limited, Sommerset Plant")</f>
        <v>Agratas Limited, Sommerset Plant</v>
      </c>
      <c r="E793" s="12" t="s">
        <v>614</v>
      </c>
      <c r="F793" s="12" t="s">
        <v>13</v>
      </c>
      <c r="G793" s="12" t="s">
        <v>588</v>
      </c>
      <c r="H793" s="12"/>
      <c r="I793" s="14">
        <v>45495</v>
      </c>
      <c r="J793" s="12" t="s">
        <v>615</v>
      </c>
    </row>
    <row r="794" spans="1:10" s="15" customFormat="1" x14ac:dyDescent="0.15">
      <c r="A794" s="11">
        <v>45496</v>
      </c>
      <c r="B794" s="12" t="s">
        <v>11</v>
      </c>
      <c r="C794" s="12" t="s">
        <v>214</v>
      </c>
      <c r="D794" s="13" t="str">
        <f>HYPERLINK("https://www.marklines.com/en/global/1881","Stellantis, Fiat Serbia, Kragujevac Plant")</f>
        <v>Stellantis, Fiat Serbia, Kragujevac Plant</v>
      </c>
      <c r="E794" s="12" t="s">
        <v>580</v>
      </c>
      <c r="F794" s="12" t="s">
        <v>61</v>
      </c>
      <c r="G794" s="12" t="s">
        <v>581</v>
      </c>
      <c r="H794" s="12"/>
      <c r="I794" s="14">
        <v>45495</v>
      </c>
      <c r="J794" s="12" t="s">
        <v>616</v>
      </c>
    </row>
    <row r="795" spans="1:10" s="15" customFormat="1" x14ac:dyDescent="0.15">
      <c r="A795" s="11">
        <v>45496</v>
      </c>
      <c r="B795" s="12" t="s">
        <v>43</v>
      </c>
      <c r="C795" s="12" t="s">
        <v>43</v>
      </c>
      <c r="D795" s="13" t="str">
        <f>HYPERLINK("https://www.marklines.com/en/global/3121","Honda Development &amp; Manufacturing of America, LLC (HDMA), Alabama Auto Plant")</f>
        <v>Honda Development &amp; Manufacturing of America, LLC (HDMA), Alabama Auto Plant</v>
      </c>
      <c r="E795" s="12" t="s">
        <v>473</v>
      </c>
      <c r="F795" s="12" t="s">
        <v>16</v>
      </c>
      <c r="G795" s="12" t="s">
        <v>17</v>
      </c>
      <c r="H795" s="12" t="s">
        <v>310</v>
      </c>
      <c r="I795" s="14">
        <v>45495</v>
      </c>
      <c r="J795" s="12" t="s">
        <v>617</v>
      </c>
    </row>
    <row r="796" spans="1:10" s="15" customFormat="1" x14ac:dyDescent="0.15">
      <c r="A796" s="11">
        <v>45496</v>
      </c>
      <c r="B796" s="12" t="s">
        <v>43</v>
      </c>
      <c r="C796" s="12" t="s">
        <v>43</v>
      </c>
      <c r="D796" s="13" t="str">
        <f>HYPERLINK("https://www.marklines.com/en/global/3137","Honda Development &amp; Manufacturing of America, LLC (HDMA), Georgia Transmission Plant")</f>
        <v>Honda Development &amp; Manufacturing of America, LLC (HDMA), Georgia Transmission Plant</v>
      </c>
      <c r="E796" s="12" t="s">
        <v>618</v>
      </c>
      <c r="F796" s="12" t="s">
        <v>16</v>
      </c>
      <c r="G796" s="12" t="s">
        <v>17</v>
      </c>
      <c r="H796" s="12" t="s">
        <v>76</v>
      </c>
      <c r="I796" s="14">
        <v>45495</v>
      </c>
      <c r="J796" s="12" t="s">
        <v>617</v>
      </c>
    </row>
    <row r="797" spans="1:10" s="15" customFormat="1" x14ac:dyDescent="0.15">
      <c r="A797" s="11">
        <v>45496</v>
      </c>
      <c r="B797" s="12" t="s">
        <v>33</v>
      </c>
      <c r="C797" s="12" t="s">
        <v>33</v>
      </c>
      <c r="D797" s="13" t="str">
        <f>HYPERLINK("https://www.marklines.com/en/global/2233","Mercedes-Benz Group AG, Stuttgart-Untertürkheim Plant")</f>
        <v>Mercedes-Benz Group AG, Stuttgart-Untertürkheim Plant</v>
      </c>
      <c r="E797" s="12" t="s">
        <v>427</v>
      </c>
      <c r="F797" s="12" t="s">
        <v>13</v>
      </c>
      <c r="G797" s="12" t="s">
        <v>25</v>
      </c>
      <c r="H797" s="12"/>
      <c r="I797" s="14">
        <v>45493</v>
      </c>
      <c r="J797" s="12" t="s">
        <v>619</v>
      </c>
    </row>
    <row r="798" spans="1:10" s="15" customFormat="1" x14ac:dyDescent="0.15">
      <c r="A798" s="11">
        <v>45495</v>
      </c>
      <c r="B798" s="12" t="s">
        <v>95</v>
      </c>
      <c r="C798" s="12" t="s">
        <v>95</v>
      </c>
      <c r="D798" s="13" t="str">
        <f>HYPERLINK("https://www.marklines.com/en/global/2207","BMW AG, Dingolfing Plant")</f>
        <v>BMW AG, Dingolfing Plant</v>
      </c>
      <c r="E798" s="12" t="s">
        <v>198</v>
      </c>
      <c r="F798" s="12" t="s">
        <v>13</v>
      </c>
      <c r="G798" s="12" t="s">
        <v>25</v>
      </c>
      <c r="H798" s="12"/>
      <c r="I798" s="14">
        <v>45495</v>
      </c>
      <c r="J798" s="12" t="s">
        <v>620</v>
      </c>
    </row>
    <row r="799" spans="1:10" s="15" customFormat="1" x14ac:dyDescent="0.15">
      <c r="A799" s="11">
        <v>45495</v>
      </c>
      <c r="B799" s="12" t="s">
        <v>95</v>
      </c>
      <c r="C799" s="12" t="s">
        <v>95</v>
      </c>
      <c r="D799" s="13" t="str">
        <f>HYPERLINK("https://www.marklines.com/en/global/10495","BMW Brilliance Automotive Ltd. Lydia Plant (formerly Tiexi New Plant (Lydia Project))")</f>
        <v>BMW Brilliance Automotive Ltd. Lydia Plant (formerly Tiexi New Plant (Lydia Project))</v>
      </c>
      <c r="E799" s="12" t="s">
        <v>621</v>
      </c>
      <c r="F799" s="12" t="s">
        <v>21</v>
      </c>
      <c r="G799" s="12" t="s">
        <v>47</v>
      </c>
      <c r="H799" s="12" t="s">
        <v>622</v>
      </c>
      <c r="I799" s="14">
        <v>45495</v>
      </c>
      <c r="J799" s="12" t="s">
        <v>620</v>
      </c>
    </row>
    <row r="800" spans="1:10" s="15" customFormat="1" x14ac:dyDescent="0.15">
      <c r="A800" s="11">
        <v>45495</v>
      </c>
      <c r="B800" s="12" t="s">
        <v>95</v>
      </c>
      <c r="C800" s="12" t="s">
        <v>95</v>
      </c>
      <c r="D800" s="13" t="str">
        <f>HYPERLINK("https://www.marklines.com/en/global/9879","BMW Manufacturing Hungary Kft., Debrecen Gyar plant")</f>
        <v>BMW Manufacturing Hungary Kft., Debrecen Gyar plant</v>
      </c>
      <c r="E800" s="12" t="s">
        <v>623</v>
      </c>
      <c r="F800" s="12" t="s">
        <v>61</v>
      </c>
      <c r="G800" s="12" t="s">
        <v>96</v>
      </c>
      <c r="H800" s="12"/>
      <c r="I800" s="14">
        <v>45495</v>
      </c>
      <c r="J800" s="12" t="s">
        <v>620</v>
      </c>
    </row>
    <row r="801" spans="1:10" s="15" customFormat="1" x14ac:dyDescent="0.15">
      <c r="A801" s="11">
        <v>45495</v>
      </c>
      <c r="B801" s="12" t="s">
        <v>95</v>
      </c>
      <c r="C801" s="12" t="s">
        <v>95</v>
      </c>
      <c r="D801" s="13" t="str">
        <f>HYPERLINK("https://www.marklines.com/en/global/2209","BMW AG, Regensburg Plant")</f>
        <v>BMW AG, Regensburg Plant</v>
      </c>
      <c r="E801" s="12" t="s">
        <v>432</v>
      </c>
      <c r="F801" s="12" t="s">
        <v>13</v>
      </c>
      <c r="G801" s="12" t="s">
        <v>25</v>
      </c>
      <c r="H801" s="12"/>
      <c r="I801" s="14">
        <v>45495</v>
      </c>
      <c r="J801" s="12" t="s">
        <v>620</v>
      </c>
    </row>
    <row r="802" spans="1:10" s="15" customFormat="1" x14ac:dyDescent="0.15">
      <c r="A802" s="11">
        <v>45495</v>
      </c>
      <c r="B802" s="12" t="s">
        <v>78</v>
      </c>
      <c r="C802" s="12" t="s">
        <v>78</v>
      </c>
      <c r="D802" s="13" t="str">
        <f>HYPERLINK("https://www.marklines.com/en/global/2247","Daimler Truck AG, Kassel Plant")</f>
        <v>Daimler Truck AG, Kassel Plant</v>
      </c>
      <c r="E802" s="12" t="s">
        <v>469</v>
      </c>
      <c r="F802" s="12" t="s">
        <v>13</v>
      </c>
      <c r="G802" s="12" t="s">
        <v>25</v>
      </c>
      <c r="H802" s="12"/>
      <c r="I802" s="14">
        <v>45492</v>
      </c>
      <c r="J802" s="12" t="s">
        <v>624</v>
      </c>
    </row>
    <row r="803" spans="1:10" s="15" customFormat="1" x14ac:dyDescent="0.15">
      <c r="A803" s="11">
        <v>45495</v>
      </c>
      <c r="B803" s="12" t="s">
        <v>78</v>
      </c>
      <c r="C803" s="12" t="s">
        <v>78</v>
      </c>
      <c r="D803" s="13" t="str">
        <f>HYPERLINK("https://www.marklines.com/en/global/2227","Daimler Truck AG, Mannheim Plant")</f>
        <v>Daimler Truck AG, Mannheim Plant</v>
      </c>
      <c r="E803" s="12" t="s">
        <v>470</v>
      </c>
      <c r="F803" s="12" t="s">
        <v>13</v>
      </c>
      <c r="G803" s="12" t="s">
        <v>25</v>
      </c>
      <c r="H803" s="12"/>
      <c r="I803" s="14">
        <v>45492</v>
      </c>
      <c r="J803" s="12" t="s">
        <v>624</v>
      </c>
    </row>
    <row r="804" spans="1:10" s="15" customFormat="1" x14ac:dyDescent="0.15">
      <c r="A804" s="11">
        <v>45495</v>
      </c>
      <c r="B804" s="12" t="s">
        <v>78</v>
      </c>
      <c r="C804" s="12" t="s">
        <v>78</v>
      </c>
      <c r="D804" s="13" t="str">
        <f>HYPERLINK("https://www.marklines.com/en/global/2229","Daimler Truck AG/Mercedes-Benz Group AG, Gaggenau Plant")</f>
        <v>Daimler Truck AG/Mercedes-Benz Group AG, Gaggenau Plant</v>
      </c>
      <c r="E804" s="12" t="s">
        <v>278</v>
      </c>
      <c r="F804" s="12" t="s">
        <v>13</v>
      </c>
      <c r="G804" s="12" t="s">
        <v>25</v>
      </c>
      <c r="H804" s="12"/>
      <c r="I804" s="14">
        <v>45492</v>
      </c>
      <c r="J804" s="12" t="s">
        <v>624</v>
      </c>
    </row>
    <row r="805" spans="1:10" s="15" customFormat="1" x14ac:dyDescent="0.15">
      <c r="A805" s="11">
        <v>45495</v>
      </c>
      <c r="B805" s="12" t="s">
        <v>49</v>
      </c>
      <c r="C805" s="12" t="s">
        <v>586</v>
      </c>
      <c r="D805" s="13" t="str">
        <f>HYPERLINK("https://www.marklines.com/en/global/1378","Bentley Motors Ltd., Crewe Plant")</f>
        <v>Bentley Motors Ltd., Crewe Plant</v>
      </c>
      <c r="E805" s="12" t="s">
        <v>587</v>
      </c>
      <c r="F805" s="12" t="s">
        <v>13</v>
      </c>
      <c r="G805" s="12" t="s">
        <v>588</v>
      </c>
      <c r="H805" s="12"/>
      <c r="I805" s="14">
        <v>45492</v>
      </c>
      <c r="J805" s="12" t="s">
        <v>625</v>
      </c>
    </row>
    <row r="806" spans="1:10" s="15" customFormat="1" x14ac:dyDescent="0.15">
      <c r="A806" s="11">
        <v>45495</v>
      </c>
      <c r="B806" s="12" t="s">
        <v>33</v>
      </c>
      <c r="C806" s="12" t="s">
        <v>33</v>
      </c>
      <c r="D806" s="13" t="str">
        <f>HYPERLINK("https://www.marklines.com/en/global/1921","Mercedes-Benz Spain, Vitoria (Alava) Plant")</f>
        <v>Mercedes-Benz Spain, Vitoria (Alava) Plant</v>
      </c>
      <c r="E806" s="12" t="s">
        <v>626</v>
      </c>
      <c r="F806" s="12" t="s">
        <v>13</v>
      </c>
      <c r="G806" s="12" t="s">
        <v>14</v>
      </c>
      <c r="H806" s="12"/>
      <c r="I806" s="14">
        <v>45492</v>
      </c>
      <c r="J806" s="12" t="s">
        <v>627</v>
      </c>
    </row>
    <row r="807" spans="1:10" s="15" customFormat="1" x14ac:dyDescent="0.15">
      <c r="A807" s="11">
        <v>45495</v>
      </c>
      <c r="B807" s="12" t="s">
        <v>82</v>
      </c>
      <c r="C807" s="12" t="s">
        <v>82</v>
      </c>
      <c r="D807" s="13" t="str">
        <f>HYPERLINK("https://www.marklines.com/en/global/3415","Beijing Automotive Group Co., Ltd.")</f>
        <v>Beijing Automotive Group Co., Ltd.</v>
      </c>
      <c r="E807" s="12" t="s">
        <v>122</v>
      </c>
      <c r="F807" s="12" t="s">
        <v>21</v>
      </c>
      <c r="G807" s="12" t="s">
        <v>47</v>
      </c>
      <c r="H807" s="12" t="s">
        <v>56</v>
      </c>
      <c r="I807" s="14">
        <v>45490</v>
      </c>
      <c r="J807" s="12" t="s">
        <v>628</v>
      </c>
    </row>
    <row r="808" spans="1:10" s="15" customFormat="1" x14ac:dyDescent="0.15">
      <c r="A808" s="11">
        <v>45495</v>
      </c>
      <c r="B808" s="12" t="s">
        <v>49</v>
      </c>
      <c r="C808" s="12" t="s">
        <v>227</v>
      </c>
      <c r="D808" s="13" t="str">
        <f>HYPERLINK("https://www.marklines.com/en/global/9517","Volkswagen (Anhui) Automotive Company Limited  (formerly JAC Volkswagen Automotive Co., Ltd.)")</f>
        <v>Volkswagen (Anhui) Automotive Company Limited  (formerly JAC Volkswagen Automotive Co., Ltd.)</v>
      </c>
      <c r="E808" s="12" t="s">
        <v>441</v>
      </c>
      <c r="F808" s="12" t="s">
        <v>21</v>
      </c>
      <c r="G808" s="12" t="s">
        <v>47</v>
      </c>
      <c r="H808" s="12" t="s">
        <v>105</v>
      </c>
      <c r="I808" s="14">
        <v>45490</v>
      </c>
      <c r="J808" s="12" t="s">
        <v>629</v>
      </c>
    </row>
    <row r="809" spans="1:10" s="15" customFormat="1" x14ac:dyDescent="0.15">
      <c r="A809" s="11">
        <v>45495</v>
      </c>
      <c r="B809" s="12" t="s">
        <v>58</v>
      </c>
      <c r="C809" s="12" t="s">
        <v>58</v>
      </c>
      <c r="D809" s="13" t="str">
        <f>HYPERLINK("https://www.marklines.com/en/global/3333","China FAW Group Co., Ltd.  (Formerly China FAW Group Corporation)")</f>
        <v>China FAW Group Co., Ltd.  (Formerly China FAW Group Corporation)</v>
      </c>
      <c r="E809" s="12" t="s">
        <v>123</v>
      </c>
      <c r="F809" s="12" t="s">
        <v>21</v>
      </c>
      <c r="G809" s="12" t="s">
        <v>47</v>
      </c>
      <c r="H809" s="12" t="s">
        <v>57</v>
      </c>
      <c r="I809" s="14">
        <v>45490</v>
      </c>
      <c r="J809" s="12" t="s">
        <v>630</v>
      </c>
    </row>
    <row r="810" spans="1:10" s="15" customFormat="1" x14ac:dyDescent="0.15">
      <c r="A810" s="11">
        <v>45495</v>
      </c>
      <c r="B810" s="12" t="s">
        <v>88</v>
      </c>
      <c r="C810" s="12" t="s">
        <v>88</v>
      </c>
      <c r="D810" s="13" t="str">
        <f>HYPERLINK("https://www.marklines.com/en/global/3743","Changan Mazda Automobile Co., Ltd.")</f>
        <v>Changan Mazda Automobile Co., Ltd.</v>
      </c>
      <c r="E810" s="12" t="s">
        <v>631</v>
      </c>
      <c r="F810" s="12" t="s">
        <v>21</v>
      </c>
      <c r="G810" s="12" t="s">
        <v>47</v>
      </c>
      <c r="H810" s="12" t="s">
        <v>354</v>
      </c>
      <c r="I810" s="14">
        <v>45490</v>
      </c>
      <c r="J810" s="12" t="s">
        <v>632</v>
      </c>
    </row>
    <row r="811" spans="1:10" s="15" customFormat="1" x14ac:dyDescent="0.15">
      <c r="A811" s="11">
        <v>45495</v>
      </c>
      <c r="B811" s="12" t="s">
        <v>38</v>
      </c>
      <c r="C811" s="12" t="s">
        <v>38</v>
      </c>
      <c r="D811" s="13" t="str">
        <f>HYPERLINK("https://www.marklines.com/en/global/9602","OOO Motorinvest, Lipetsk Plant (formerly Changan Automobile, Lipetsk Plant)")</f>
        <v>OOO Motorinvest, Lipetsk Plant (formerly Changan Automobile, Lipetsk Plant)</v>
      </c>
      <c r="E811" s="12" t="s">
        <v>633</v>
      </c>
      <c r="F811" s="12" t="s">
        <v>61</v>
      </c>
      <c r="G811" s="12" t="s">
        <v>235</v>
      </c>
      <c r="H811" s="12"/>
      <c r="I811" s="14">
        <v>45482</v>
      </c>
      <c r="J811" s="12" t="s">
        <v>634</v>
      </c>
    </row>
    <row r="812" spans="1:10" s="15" customFormat="1" x14ac:dyDescent="0.15">
      <c r="A812" s="11">
        <v>45493</v>
      </c>
      <c r="B812" s="12" t="s">
        <v>11</v>
      </c>
      <c r="C812" s="12" t="s">
        <v>11</v>
      </c>
      <c r="D812" s="13" t="str">
        <f>HYPERLINK("https://www.marklines.com/en/global/10577","NextStar Energy, Windsor Battery Plant")</f>
        <v>NextStar Energy, Windsor Battery Plant</v>
      </c>
      <c r="E812" s="12" t="s">
        <v>635</v>
      </c>
      <c r="F812" s="12" t="s">
        <v>16</v>
      </c>
      <c r="G812" s="12" t="s">
        <v>241</v>
      </c>
      <c r="H812" s="12"/>
      <c r="I812" s="14">
        <v>45492</v>
      </c>
      <c r="J812" s="12" t="s">
        <v>636</v>
      </c>
    </row>
    <row r="813" spans="1:10" s="15" customFormat="1" x14ac:dyDescent="0.15">
      <c r="A813" s="11">
        <v>45492</v>
      </c>
      <c r="B813" s="12" t="s">
        <v>15</v>
      </c>
      <c r="C813" s="12" t="s">
        <v>15</v>
      </c>
      <c r="D813" s="13" t="str">
        <f>HYPERLINK("https://www.marklines.com/en/global/2575","Ford Motor, Sterling Axle Plant")</f>
        <v>Ford Motor, Sterling Axle Plant</v>
      </c>
      <c r="E813" s="12" t="s">
        <v>417</v>
      </c>
      <c r="F813" s="12" t="s">
        <v>16</v>
      </c>
      <c r="G813" s="12" t="s">
        <v>17</v>
      </c>
      <c r="H813" s="12" t="s">
        <v>19</v>
      </c>
      <c r="I813" s="14">
        <v>45491</v>
      </c>
      <c r="J813" s="12" t="s">
        <v>418</v>
      </c>
    </row>
    <row r="814" spans="1:10" s="15" customFormat="1" x14ac:dyDescent="0.15">
      <c r="A814" s="11">
        <v>45492</v>
      </c>
      <c r="B814" s="12" t="s">
        <v>15</v>
      </c>
      <c r="C814" s="12" t="s">
        <v>15</v>
      </c>
      <c r="D814" s="13" t="str">
        <f>HYPERLINK("https://www.marklines.com/en/global/2591","Ford Motor, Sharonville Transmission Plant")</f>
        <v>Ford Motor, Sharonville Transmission Plant</v>
      </c>
      <c r="E814" s="12" t="s">
        <v>419</v>
      </c>
      <c r="F814" s="12" t="s">
        <v>16</v>
      </c>
      <c r="G814" s="12" t="s">
        <v>17</v>
      </c>
      <c r="H814" s="12" t="s">
        <v>18</v>
      </c>
      <c r="I814" s="14">
        <v>45491</v>
      </c>
      <c r="J814" s="12" t="s">
        <v>418</v>
      </c>
    </row>
    <row r="815" spans="1:10" s="15" customFormat="1" x14ac:dyDescent="0.15">
      <c r="A815" s="11">
        <v>45492</v>
      </c>
      <c r="B815" s="12" t="s">
        <v>15</v>
      </c>
      <c r="C815" s="12" t="s">
        <v>15</v>
      </c>
      <c r="D815" s="13" t="str">
        <f>HYPERLINK("https://www.marklines.com/en/global/2571","Ford Motor, Rawsonville Components Plant")</f>
        <v>Ford Motor, Rawsonville Components Plant</v>
      </c>
      <c r="E815" s="12" t="s">
        <v>420</v>
      </c>
      <c r="F815" s="12" t="s">
        <v>16</v>
      </c>
      <c r="G815" s="12" t="s">
        <v>17</v>
      </c>
      <c r="H815" s="12" t="s">
        <v>19</v>
      </c>
      <c r="I815" s="14">
        <v>45491</v>
      </c>
      <c r="J815" s="12" t="s">
        <v>418</v>
      </c>
    </row>
    <row r="816" spans="1:10" s="15" customFormat="1" x14ac:dyDescent="0.15">
      <c r="A816" s="11">
        <v>45492</v>
      </c>
      <c r="B816" s="12" t="s">
        <v>15</v>
      </c>
      <c r="C816" s="12" t="s">
        <v>15</v>
      </c>
      <c r="D816" s="13" t="str">
        <f>HYPERLINK("https://www.marklines.com/en/global/2621","Ford Motor Canada, Windsor Engine Plant")</f>
        <v>Ford Motor Canada, Windsor Engine Plant</v>
      </c>
      <c r="E816" s="12" t="s">
        <v>421</v>
      </c>
      <c r="F816" s="12" t="s">
        <v>16</v>
      </c>
      <c r="G816" s="12" t="s">
        <v>241</v>
      </c>
      <c r="H816" s="12"/>
      <c r="I816" s="14">
        <v>45491</v>
      </c>
      <c r="J816" s="12" t="s">
        <v>418</v>
      </c>
    </row>
    <row r="817" spans="1:10" s="15" customFormat="1" x14ac:dyDescent="0.15">
      <c r="A817" s="11">
        <v>45492</v>
      </c>
      <c r="B817" s="12" t="s">
        <v>15</v>
      </c>
      <c r="C817" s="12" t="s">
        <v>15</v>
      </c>
      <c r="D817" s="13" t="str">
        <f>HYPERLINK("https://www.marklines.com/en/global/2617","Ford Motor Canada, Oakville Assembly Plant")</f>
        <v>Ford Motor Canada, Oakville Assembly Plant</v>
      </c>
      <c r="E817" s="12" t="s">
        <v>422</v>
      </c>
      <c r="F817" s="12" t="s">
        <v>16</v>
      </c>
      <c r="G817" s="12" t="s">
        <v>241</v>
      </c>
      <c r="H817" s="12"/>
      <c r="I817" s="14">
        <v>45491</v>
      </c>
      <c r="J817" s="12" t="s">
        <v>418</v>
      </c>
    </row>
    <row r="818" spans="1:10" s="15" customFormat="1" x14ac:dyDescent="0.15">
      <c r="A818" s="11">
        <v>45492</v>
      </c>
      <c r="B818" s="12" t="s">
        <v>423</v>
      </c>
      <c r="C818" s="12" t="s">
        <v>423</v>
      </c>
      <c r="D818" s="13" t="str">
        <f>HYPERLINK("https://www.marklines.com/en/global/10827","Jianghuai Huawei Smart Car Super Plant")</f>
        <v>Jianghuai Huawei Smart Car Super Plant</v>
      </c>
      <c r="E818" s="12" t="s">
        <v>424</v>
      </c>
      <c r="F818" s="12" t="s">
        <v>21</v>
      </c>
      <c r="G818" s="12" t="s">
        <v>47</v>
      </c>
      <c r="H818" s="12" t="s">
        <v>105</v>
      </c>
      <c r="I818" s="14">
        <v>45489</v>
      </c>
      <c r="J818" s="12" t="s">
        <v>425</v>
      </c>
    </row>
    <row r="819" spans="1:10" s="15" customFormat="1" x14ac:dyDescent="0.15">
      <c r="A819" s="11">
        <v>45492</v>
      </c>
      <c r="B819" s="12" t="s">
        <v>224</v>
      </c>
      <c r="C819" s="12" t="s">
        <v>414</v>
      </c>
      <c r="D819" s="13" t="str">
        <f>HYPERLINK("https://www.marklines.com/en/global/867","General Motors Mexico, Ramos Arizpe Plant")</f>
        <v>General Motors Mexico, Ramos Arizpe Plant</v>
      </c>
      <c r="E819" s="12" t="s">
        <v>415</v>
      </c>
      <c r="F819" s="12" t="s">
        <v>16</v>
      </c>
      <c r="G819" s="12" t="s">
        <v>229</v>
      </c>
      <c r="H819" s="12"/>
      <c r="I819" s="14">
        <v>45485</v>
      </c>
      <c r="J819" s="12" t="s">
        <v>426</v>
      </c>
    </row>
    <row r="820" spans="1:10" s="15" customFormat="1" x14ac:dyDescent="0.15">
      <c r="A820" s="11">
        <v>45492</v>
      </c>
      <c r="B820" s="12" t="s">
        <v>33</v>
      </c>
      <c r="C820" s="12" t="s">
        <v>34</v>
      </c>
      <c r="D820" s="13" t="str">
        <f>HYPERLINK("https://www.marklines.com/en/global/2233","Mercedes-Benz Group AG, Stuttgart-Untertürkheim Plant")</f>
        <v>Mercedes-Benz Group AG, Stuttgart-Untertürkheim Plant</v>
      </c>
      <c r="E820" s="12" t="s">
        <v>427</v>
      </c>
      <c r="F820" s="12" t="s">
        <v>13</v>
      </c>
      <c r="G820" s="12" t="s">
        <v>25</v>
      </c>
      <c r="H820" s="12"/>
      <c r="I820" s="14">
        <v>45481</v>
      </c>
      <c r="J820" s="12" t="s">
        <v>428</v>
      </c>
    </row>
    <row r="821" spans="1:10" s="15" customFormat="1" x14ac:dyDescent="0.15">
      <c r="A821" s="11">
        <v>45492</v>
      </c>
      <c r="B821" s="12" t="s">
        <v>33</v>
      </c>
      <c r="C821" s="12" t="s">
        <v>34</v>
      </c>
      <c r="D821" s="13" t="str">
        <f>HYPERLINK("https://www.marklines.com/en/global/10243","Group Research &amp; MBC Development (Stuttgart-Untertürkheim)")</f>
        <v>Group Research &amp; MBC Development (Stuttgart-Untertürkheim)</v>
      </c>
      <c r="E821" s="12" t="s">
        <v>429</v>
      </c>
      <c r="F821" s="12" t="s">
        <v>13</v>
      </c>
      <c r="G821" s="12" t="s">
        <v>25</v>
      </c>
      <c r="H821" s="12"/>
      <c r="I821" s="14">
        <v>45481</v>
      </c>
      <c r="J821" s="12" t="s">
        <v>428</v>
      </c>
    </row>
    <row r="822" spans="1:10" s="15" customFormat="1" x14ac:dyDescent="0.15">
      <c r="A822" s="11">
        <v>45492</v>
      </c>
      <c r="B822" s="12" t="s">
        <v>287</v>
      </c>
      <c r="C822" s="12" t="s">
        <v>287</v>
      </c>
      <c r="D822" s="13" t="str">
        <f>HYPERLINK("https://www.marklines.com/en/global/10769","Changan Auto Southeast Asia Co., Ltd., Rayong Plant")</f>
        <v>Changan Auto Southeast Asia Co., Ltd., Rayong Plant</v>
      </c>
      <c r="E822" s="12" t="s">
        <v>430</v>
      </c>
      <c r="F822" s="12" t="s">
        <v>60</v>
      </c>
      <c r="G822" s="12" t="s">
        <v>72</v>
      </c>
      <c r="H822" s="12" t="s">
        <v>73</v>
      </c>
      <c r="I822" s="14">
        <v>45432</v>
      </c>
      <c r="J822" s="12" t="s">
        <v>431</v>
      </c>
    </row>
    <row r="823" spans="1:10" s="15" customFormat="1" x14ac:dyDescent="0.15">
      <c r="A823" s="11">
        <v>45491</v>
      </c>
      <c r="B823" s="12" t="s">
        <v>95</v>
      </c>
      <c r="C823" s="12" t="s">
        <v>95</v>
      </c>
      <c r="D823" s="13" t="str">
        <f>HYPERLINK("https://www.marklines.com/en/global/2209","BMW AG, Regensburg Plant")</f>
        <v>BMW AG, Regensburg Plant</v>
      </c>
      <c r="E823" s="12" t="s">
        <v>432</v>
      </c>
      <c r="F823" s="12" t="s">
        <v>13</v>
      </c>
      <c r="G823" s="12" t="s">
        <v>25</v>
      </c>
      <c r="H823" s="12"/>
      <c r="I823" s="14">
        <v>45491</v>
      </c>
      <c r="J823" s="12" t="s">
        <v>433</v>
      </c>
    </row>
    <row r="824" spans="1:10" s="15" customFormat="1" x14ac:dyDescent="0.15">
      <c r="A824" s="11">
        <v>45491</v>
      </c>
      <c r="B824" s="12" t="s">
        <v>11</v>
      </c>
      <c r="C824" s="12" t="s">
        <v>11</v>
      </c>
      <c r="D824" s="13" t="str">
        <f>HYPERLINK("https://www.marklines.com/en/global/1337","Stellantis, Fiat Powertrain Technologies, Mirafiori (Turin) Plant")</f>
        <v>Stellantis, Fiat Powertrain Technologies, Mirafiori (Turin) Plant</v>
      </c>
      <c r="E824" s="12" t="s">
        <v>434</v>
      </c>
      <c r="F824" s="12" t="s">
        <v>13</v>
      </c>
      <c r="G824" s="12" t="s">
        <v>216</v>
      </c>
      <c r="H824" s="12"/>
      <c r="I824" s="14">
        <v>45490</v>
      </c>
      <c r="J824" s="12" t="s">
        <v>435</v>
      </c>
    </row>
    <row r="825" spans="1:10" s="15" customFormat="1" x14ac:dyDescent="0.15">
      <c r="A825" s="11">
        <v>45491</v>
      </c>
      <c r="B825" s="12" t="s">
        <v>11</v>
      </c>
      <c r="C825" s="12" t="s">
        <v>11</v>
      </c>
      <c r="D825" s="13" t="str">
        <f>HYPERLINK("https://www.marklines.com/en/global/1327","Stellantis, FCA Italy, Mirafiori (Turin) Plant")</f>
        <v>Stellantis, FCA Italy, Mirafiori (Turin) Plant</v>
      </c>
      <c r="E825" s="12" t="s">
        <v>218</v>
      </c>
      <c r="F825" s="12" t="s">
        <v>13</v>
      </c>
      <c r="G825" s="12" t="s">
        <v>216</v>
      </c>
      <c r="H825" s="12"/>
      <c r="I825" s="14">
        <v>45490</v>
      </c>
      <c r="J825" s="12" t="s">
        <v>435</v>
      </c>
    </row>
    <row r="826" spans="1:10" s="15" customFormat="1" x14ac:dyDescent="0.15">
      <c r="A826" s="11">
        <v>45491</v>
      </c>
      <c r="B826" s="12" t="s">
        <v>55</v>
      </c>
      <c r="C826" s="12" t="s">
        <v>55</v>
      </c>
      <c r="D826" s="13" t="str">
        <f>HYPERLINK("https://www.marklines.com/en/global/9975","PT. Hyundai Motor Manufacturing Indonesia (HMMI), Cikarang Plant")</f>
        <v>PT. Hyundai Motor Manufacturing Indonesia (HMMI), Cikarang Plant</v>
      </c>
      <c r="E826" s="12" t="s">
        <v>140</v>
      </c>
      <c r="F826" s="12" t="s">
        <v>60</v>
      </c>
      <c r="G826" s="12" t="s">
        <v>118</v>
      </c>
      <c r="H826" s="12"/>
      <c r="I826" s="14">
        <v>45490</v>
      </c>
      <c r="J826" s="12" t="s">
        <v>436</v>
      </c>
    </row>
    <row r="827" spans="1:10" s="15" customFormat="1" x14ac:dyDescent="0.15">
      <c r="A827" s="11">
        <v>45491</v>
      </c>
      <c r="B827" s="12" t="s">
        <v>55</v>
      </c>
      <c r="C827" s="12" t="s">
        <v>55</v>
      </c>
      <c r="D827" s="13" t="str">
        <f>HYPERLINK("https://www.marklines.com/en/global/10428","PT HLI Green Power, Karawang plant ")</f>
        <v xml:space="preserve">PT HLI Green Power, Karawang plant </v>
      </c>
      <c r="E827" s="12" t="s">
        <v>139</v>
      </c>
      <c r="F827" s="12" t="s">
        <v>60</v>
      </c>
      <c r="G827" s="12" t="s">
        <v>118</v>
      </c>
      <c r="H827" s="12"/>
      <c r="I827" s="14">
        <v>45490</v>
      </c>
      <c r="J827" s="12" t="s">
        <v>436</v>
      </c>
    </row>
    <row r="828" spans="1:10" s="15" customFormat="1" x14ac:dyDescent="0.15">
      <c r="A828" s="11">
        <v>45491</v>
      </c>
      <c r="B828" s="12" t="s">
        <v>55</v>
      </c>
      <c r="C828" s="12" t="s">
        <v>55</v>
      </c>
      <c r="D828" s="13" t="str">
        <f>HYPERLINK("https://www.marklines.com/en/global/10740","PT Hyundai Energy Indonesia (HEI), Bekasi Plant")</f>
        <v>PT Hyundai Energy Indonesia (HEI), Bekasi Plant</v>
      </c>
      <c r="E828" s="12" t="s">
        <v>437</v>
      </c>
      <c r="F828" s="12" t="s">
        <v>60</v>
      </c>
      <c r="G828" s="12" t="s">
        <v>118</v>
      </c>
      <c r="H828" s="12"/>
      <c r="I828" s="14">
        <v>45490</v>
      </c>
      <c r="J828" s="12" t="s">
        <v>436</v>
      </c>
    </row>
    <row r="829" spans="1:10" s="15" customFormat="1" x14ac:dyDescent="0.15">
      <c r="A829" s="11">
        <v>45491</v>
      </c>
      <c r="B829" s="12" t="s">
        <v>59</v>
      </c>
      <c r="C829" s="12" t="s">
        <v>253</v>
      </c>
      <c r="D829" s="13" t="str">
        <f>HYPERLINK("https://www.marklines.com/en/global/10787","AION Automobile Manufacturing Thailand Co., Ltd., Rayong Plant")</f>
        <v>AION Automobile Manufacturing Thailand Co., Ltd., Rayong Plant</v>
      </c>
      <c r="E829" s="12" t="s">
        <v>254</v>
      </c>
      <c r="F829" s="12" t="s">
        <v>60</v>
      </c>
      <c r="G829" s="12" t="s">
        <v>72</v>
      </c>
      <c r="H829" s="12" t="s">
        <v>73</v>
      </c>
      <c r="I829" s="14">
        <v>45490</v>
      </c>
      <c r="J829" s="12" t="s">
        <v>438</v>
      </c>
    </row>
    <row r="830" spans="1:10" s="15" customFormat="1" x14ac:dyDescent="0.15">
      <c r="A830" s="11">
        <v>45491</v>
      </c>
      <c r="B830" s="12" t="s">
        <v>49</v>
      </c>
      <c r="C830" s="12" t="s">
        <v>227</v>
      </c>
      <c r="D830" s="13" t="str">
        <f>HYPERLINK("https://www.marklines.com/en/global/10310","Volkswagen  (Anhui) New Energy Passenger Vehicle R&amp;D Center (Hefei City)")</f>
        <v>Volkswagen  (Anhui) New Energy Passenger Vehicle R&amp;D Center (Hefei City)</v>
      </c>
      <c r="E830" s="12" t="s">
        <v>439</v>
      </c>
      <c r="F830" s="12" t="s">
        <v>21</v>
      </c>
      <c r="G830" s="12" t="s">
        <v>47</v>
      </c>
      <c r="H830" s="12" t="s">
        <v>105</v>
      </c>
      <c r="I830" s="14">
        <v>45490</v>
      </c>
      <c r="J830" s="12" t="s">
        <v>440</v>
      </c>
    </row>
    <row r="831" spans="1:10" s="15" customFormat="1" x14ac:dyDescent="0.15">
      <c r="A831" s="11">
        <v>45491</v>
      </c>
      <c r="B831" s="12" t="s">
        <v>49</v>
      </c>
      <c r="C831" s="12" t="s">
        <v>227</v>
      </c>
      <c r="D831" s="13" t="str">
        <f>HYPERLINK("https://www.marklines.com/en/global/9517","Volkswagen (Anhui) Automotive Company Limited  (formerly JAC Volkswagen Automotive Co., Ltd.)")</f>
        <v>Volkswagen (Anhui) Automotive Company Limited  (formerly JAC Volkswagen Automotive Co., Ltd.)</v>
      </c>
      <c r="E831" s="12" t="s">
        <v>441</v>
      </c>
      <c r="F831" s="12" t="s">
        <v>21</v>
      </c>
      <c r="G831" s="12" t="s">
        <v>47</v>
      </c>
      <c r="H831" s="12" t="s">
        <v>105</v>
      </c>
      <c r="I831" s="14">
        <v>45490</v>
      </c>
      <c r="J831" s="12" t="s">
        <v>440</v>
      </c>
    </row>
    <row r="832" spans="1:10" s="15" customFormat="1" x14ac:dyDescent="0.15">
      <c r="A832" s="11">
        <v>45491</v>
      </c>
      <c r="B832" s="12" t="s">
        <v>11</v>
      </c>
      <c r="C832" s="12" t="s">
        <v>11</v>
      </c>
      <c r="D832" s="13" t="str">
        <f>HYPERLINK("https://www.marklines.com/en/global/2658","Stellantis, FCA US, Indiana Transmission Plant")</f>
        <v>Stellantis, FCA US, Indiana Transmission Plant</v>
      </c>
      <c r="E832" s="12" t="s">
        <v>442</v>
      </c>
      <c r="F832" s="12" t="s">
        <v>16</v>
      </c>
      <c r="G832" s="12" t="s">
        <v>17</v>
      </c>
      <c r="H832" s="12" t="s">
        <v>263</v>
      </c>
      <c r="I832" s="14">
        <v>45489</v>
      </c>
      <c r="J832" s="12" t="s">
        <v>443</v>
      </c>
    </row>
    <row r="833" spans="1:10" s="15" customFormat="1" x14ac:dyDescent="0.15">
      <c r="A833" s="11">
        <v>45491</v>
      </c>
      <c r="B833" s="12" t="s">
        <v>23</v>
      </c>
      <c r="C833" s="12" t="s">
        <v>23</v>
      </c>
      <c r="D833" s="13" t="str">
        <f>HYPERLINK("https://www.marklines.com/en/global/10763","Tesla Global Engineering and AI Headquarters ")</f>
        <v xml:space="preserve">Tesla Global Engineering and AI Headquarters </v>
      </c>
      <c r="E833" s="12" t="s">
        <v>444</v>
      </c>
      <c r="F833" s="12" t="s">
        <v>16</v>
      </c>
      <c r="G833" s="12" t="s">
        <v>17</v>
      </c>
      <c r="H833" s="12" t="s">
        <v>445</v>
      </c>
      <c r="I833" s="14">
        <v>45489</v>
      </c>
      <c r="J833" s="12" t="s">
        <v>446</v>
      </c>
    </row>
    <row r="834" spans="1:10" s="15" customFormat="1" x14ac:dyDescent="0.15">
      <c r="A834" s="11">
        <v>45491</v>
      </c>
      <c r="B834" s="12" t="s">
        <v>70</v>
      </c>
      <c r="C834" s="12" t="s">
        <v>70</v>
      </c>
      <c r="D834" s="13" t="str">
        <f>HYPERLINK("https://www.marklines.com/en/global/9497","BYD Uzbekistan Factory (formerly Uzbekistan Peugeot Citroen Automotive LLC.)")</f>
        <v>BYD Uzbekistan Factory (formerly Uzbekistan Peugeot Citroen Automotive LLC.)</v>
      </c>
      <c r="E834" s="12" t="s">
        <v>447</v>
      </c>
      <c r="F834" s="12" t="s">
        <v>61</v>
      </c>
      <c r="G834" s="12" t="s">
        <v>148</v>
      </c>
      <c r="H834" s="12"/>
      <c r="I834" s="14">
        <v>45488</v>
      </c>
      <c r="J834" s="12" t="s">
        <v>448</v>
      </c>
    </row>
    <row r="835" spans="1:10" s="15" customFormat="1" x14ac:dyDescent="0.15">
      <c r="A835" s="11">
        <v>45491</v>
      </c>
      <c r="B835" s="12" t="s">
        <v>38</v>
      </c>
      <c r="C835" s="12" t="s">
        <v>449</v>
      </c>
      <c r="D835" s="13" t="str">
        <f>HYPERLINK("https://www.marklines.com/en/global/9497","BYD Uzbekistan Factory (formerly Uzbekistan Peugeot Citroen Automotive LLC.)")</f>
        <v>BYD Uzbekistan Factory (formerly Uzbekistan Peugeot Citroen Automotive LLC.)</v>
      </c>
      <c r="E835" s="12" t="s">
        <v>447</v>
      </c>
      <c r="F835" s="12" t="s">
        <v>61</v>
      </c>
      <c r="G835" s="12" t="s">
        <v>148</v>
      </c>
      <c r="H835" s="12"/>
      <c r="I835" s="14">
        <v>45488</v>
      </c>
      <c r="J835" s="12" t="s">
        <v>448</v>
      </c>
    </row>
    <row r="836" spans="1:10" s="15" customFormat="1" x14ac:dyDescent="0.15">
      <c r="A836" s="11">
        <v>45491</v>
      </c>
      <c r="B836" s="12" t="s">
        <v>52</v>
      </c>
      <c r="C836" s="12" t="s">
        <v>378</v>
      </c>
      <c r="D836" s="13" t="str">
        <f>HYPERLINK("https://www.marklines.com/en/global/3893","Anhui Hualing Automobile Co., Ltd.")</f>
        <v>Anhui Hualing Automobile Co., Ltd.</v>
      </c>
      <c r="E836" s="12" t="s">
        <v>450</v>
      </c>
      <c r="F836" s="12" t="s">
        <v>21</v>
      </c>
      <c r="G836" s="12" t="s">
        <v>47</v>
      </c>
      <c r="H836" s="12" t="s">
        <v>105</v>
      </c>
      <c r="I836" s="14">
        <v>45487</v>
      </c>
      <c r="J836" s="12" t="s">
        <v>451</v>
      </c>
    </row>
    <row r="837" spans="1:10" s="15" customFormat="1" x14ac:dyDescent="0.15">
      <c r="A837" s="11">
        <v>45491</v>
      </c>
      <c r="B837" s="12" t="s">
        <v>52</v>
      </c>
      <c r="C837" s="12" t="s">
        <v>378</v>
      </c>
      <c r="D837" s="13" t="str">
        <f>HYPERLINK("https://www.marklines.com/en/global/9594","Shanxi New Energy Automobile Industry Co., Ltd.")</f>
        <v>Shanxi New Energy Automobile Industry Co., Ltd.</v>
      </c>
      <c r="E837" s="12" t="s">
        <v>452</v>
      </c>
      <c r="F837" s="12" t="s">
        <v>21</v>
      </c>
      <c r="G837" s="12" t="s">
        <v>47</v>
      </c>
      <c r="H837" s="12" t="s">
        <v>453</v>
      </c>
      <c r="I837" s="14">
        <v>45487</v>
      </c>
      <c r="J837" s="12" t="s">
        <v>451</v>
      </c>
    </row>
    <row r="838" spans="1:10" s="15" customFormat="1" x14ac:dyDescent="0.15">
      <c r="A838" s="11">
        <v>45491</v>
      </c>
      <c r="B838" s="12" t="s">
        <v>423</v>
      </c>
      <c r="C838" s="12" t="s">
        <v>423</v>
      </c>
      <c r="D838" s="13" t="str">
        <f>HYPERLINK("https://www.marklines.com/en/global/10827","Jianghuai Huawei Smart Car Super Plant")</f>
        <v>Jianghuai Huawei Smart Car Super Plant</v>
      </c>
      <c r="E838" s="12" t="s">
        <v>424</v>
      </c>
      <c r="F838" s="12" t="s">
        <v>21</v>
      </c>
      <c r="G838" s="12" t="s">
        <v>47</v>
      </c>
      <c r="H838" s="12" t="s">
        <v>105</v>
      </c>
      <c r="I838" s="14">
        <v>45485</v>
      </c>
      <c r="J838" s="12" t="s">
        <v>454</v>
      </c>
    </row>
    <row r="839" spans="1:10" s="15" customFormat="1" x14ac:dyDescent="0.15">
      <c r="A839" s="11">
        <v>45491</v>
      </c>
      <c r="B839" s="12" t="s">
        <v>58</v>
      </c>
      <c r="C839" s="12" t="s">
        <v>455</v>
      </c>
      <c r="D839" s="13" t="str">
        <f>HYPERLINK("https://www.marklines.com/en/global/9099","China FAW Corporation Limited Hongqi Branch")</f>
        <v>China FAW Corporation Limited Hongqi Branch</v>
      </c>
      <c r="E839" s="12" t="s">
        <v>456</v>
      </c>
      <c r="F839" s="12" t="s">
        <v>21</v>
      </c>
      <c r="G839" s="12" t="s">
        <v>47</v>
      </c>
      <c r="H839" s="12" t="s">
        <v>57</v>
      </c>
      <c r="I839" s="14">
        <v>45484</v>
      </c>
      <c r="J839" s="12" t="s">
        <v>457</v>
      </c>
    </row>
    <row r="840" spans="1:10" s="15" customFormat="1" x14ac:dyDescent="0.15">
      <c r="A840" s="11">
        <v>45491</v>
      </c>
      <c r="B840" s="12" t="s">
        <v>51</v>
      </c>
      <c r="C840" s="12" t="s">
        <v>458</v>
      </c>
      <c r="D840" s="13" t="str">
        <f>HYPERLINK("https://www.marklines.com/en/global/4153","SAIC-GM-Wuling Automobile Co., Ltd. (SGMW)　")</f>
        <v>SAIC-GM-Wuling Automobile Co., Ltd. (SGMW)　</v>
      </c>
      <c r="E840" s="12" t="s">
        <v>459</v>
      </c>
      <c r="F840" s="12" t="s">
        <v>21</v>
      </c>
      <c r="G840" s="12" t="s">
        <v>47</v>
      </c>
      <c r="H840" s="12" t="s">
        <v>460</v>
      </c>
      <c r="I840" s="14">
        <v>45483</v>
      </c>
      <c r="J840" s="12" t="s">
        <v>461</v>
      </c>
    </row>
    <row r="841" spans="1:10" s="15" customFormat="1" x14ac:dyDescent="0.15">
      <c r="A841" s="11">
        <v>45490</v>
      </c>
      <c r="B841" s="12" t="s">
        <v>11</v>
      </c>
      <c r="C841" s="12" t="s">
        <v>462</v>
      </c>
      <c r="D841" s="13" t="str">
        <f>HYPERLINK("https://www.marklines.com/en/global/2251","Stellantis, Opel Automobile GmbH, Rüsselsheim Plant (Former Adam Opel AG, Russelsheim Plant)")</f>
        <v>Stellantis, Opel Automobile GmbH, Rüsselsheim Plant (Former Adam Opel AG, Russelsheim Plant)</v>
      </c>
      <c r="E841" s="12" t="s">
        <v>463</v>
      </c>
      <c r="F841" s="12" t="s">
        <v>13</v>
      </c>
      <c r="G841" s="12" t="s">
        <v>25</v>
      </c>
      <c r="H841" s="12"/>
      <c r="I841" s="14">
        <v>45489</v>
      </c>
      <c r="J841" s="12" t="s">
        <v>464</v>
      </c>
    </row>
    <row r="842" spans="1:10" s="15" customFormat="1" x14ac:dyDescent="0.15">
      <c r="A842" s="11">
        <v>45490</v>
      </c>
      <c r="B842" s="12" t="s">
        <v>49</v>
      </c>
      <c r="C842" s="12" t="s">
        <v>98</v>
      </c>
      <c r="D842" s="13" t="str">
        <f>HYPERLINK("https://www.marklines.com/en/global/2201","Audi AG, Audi Sport GmbH, Neckarsulm Plant")</f>
        <v>Audi AG, Audi Sport GmbH, Neckarsulm Plant</v>
      </c>
      <c r="E842" s="12" t="s">
        <v>465</v>
      </c>
      <c r="F842" s="12" t="s">
        <v>13</v>
      </c>
      <c r="G842" s="12" t="s">
        <v>25</v>
      </c>
      <c r="H842" s="12"/>
      <c r="I842" s="14">
        <v>45489</v>
      </c>
      <c r="J842" s="12" t="s">
        <v>466</v>
      </c>
    </row>
    <row r="843" spans="1:10" s="15" customFormat="1" x14ac:dyDescent="0.15">
      <c r="A843" s="11">
        <v>45490</v>
      </c>
      <c r="B843" s="12" t="s">
        <v>33</v>
      </c>
      <c r="C843" s="12" t="s">
        <v>33</v>
      </c>
      <c r="D843" s="13" t="str">
        <f>HYPERLINK("https://www.marklines.com/en/global/2225","Mercedes-Benz Group AG, Sindelfingen Plant")</f>
        <v>Mercedes-Benz Group AG, Sindelfingen Plant</v>
      </c>
      <c r="E843" s="12" t="s">
        <v>467</v>
      </c>
      <c r="F843" s="12" t="s">
        <v>13</v>
      </c>
      <c r="G843" s="12" t="s">
        <v>25</v>
      </c>
      <c r="H843" s="12"/>
      <c r="I843" s="14">
        <v>45489</v>
      </c>
      <c r="J843" s="12" t="s">
        <v>468</v>
      </c>
    </row>
    <row r="844" spans="1:10" s="15" customFormat="1" x14ac:dyDescent="0.15">
      <c r="A844" s="11">
        <v>45490</v>
      </c>
      <c r="B844" s="12" t="s">
        <v>33</v>
      </c>
      <c r="C844" s="12" t="s">
        <v>33</v>
      </c>
      <c r="D844" s="13" t="str">
        <f>HYPERLINK("https://www.marklines.com/en/global/2229","Daimler Truck AG/Mercedes-Benz Group AG, Gaggenau Plant")</f>
        <v>Daimler Truck AG/Mercedes-Benz Group AG, Gaggenau Plant</v>
      </c>
      <c r="E844" s="12" t="s">
        <v>278</v>
      </c>
      <c r="F844" s="12" t="s">
        <v>13</v>
      </c>
      <c r="G844" s="12" t="s">
        <v>25</v>
      </c>
      <c r="H844" s="12"/>
      <c r="I844" s="14">
        <v>45489</v>
      </c>
      <c r="J844" s="12" t="s">
        <v>468</v>
      </c>
    </row>
    <row r="845" spans="1:10" s="15" customFormat="1" x14ac:dyDescent="0.15">
      <c r="A845" s="11">
        <v>45490</v>
      </c>
      <c r="B845" s="12" t="s">
        <v>78</v>
      </c>
      <c r="C845" s="12" t="s">
        <v>78</v>
      </c>
      <c r="D845" s="13" t="str">
        <f>HYPERLINK("https://www.marklines.com/en/global/2247","Daimler Truck AG, Kassel Plant")</f>
        <v>Daimler Truck AG, Kassel Plant</v>
      </c>
      <c r="E845" s="12" t="s">
        <v>469</v>
      </c>
      <c r="F845" s="12" t="s">
        <v>13</v>
      </c>
      <c r="G845" s="12" t="s">
        <v>25</v>
      </c>
      <c r="H845" s="12"/>
      <c r="I845" s="14">
        <v>45489</v>
      </c>
      <c r="J845" s="12" t="s">
        <v>468</v>
      </c>
    </row>
    <row r="846" spans="1:10" s="15" customFormat="1" x14ac:dyDescent="0.15">
      <c r="A846" s="11">
        <v>45490</v>
      </c>
      <c r="B846" s="12" t="s">
        <v>78</v>
      </c>
      <c r="C846" s="12" t="s">
        <v>78</v>
      </c>
      <c r="D846" s="13" t="str">
        <f>HYPERLINK("https://www.marklines.com/en/global/2227","Daimler Truck AG, Mannheim Plant")</f>
        <v>Daimler Truck AG, Mannheim Plant</v>
      </c>
      <c r="E846" s="12" t="s">
        <v>470</v>
      </c>
      <c r="F846" s="12" t="s">
        <v>13</v>
      </c>
      <c r="G846" s="12" t="s">
        <v>25</v>
      </c>
      <c r="H846" s="12"/>
      <c r="I846" s="14">
        <v>45489</v>
      </c>
      <c r="J846" s="12" t="s">
        <v>468</v>
      </c>
    </row>
    <row r="847" spans="1:10" s="15" customFormat="1" x14ac:dyDescent="0.15">
      <c r="A847" s="11">
        <v>45490</v>
      </c>
      <c r="B847" s="12" t="s">
        <v>78</v>
      </c>
      <c r="C847" s="12" t="s">
        <v>78</v>
      </c>
      <c r="D847" s="13" t="str">
        <f>HYPERLINK("https://www.marklines.com/en/global/2243","Daimler Truck AG, Wörth Plant")</f>
        <v>Daimler Truck AG, Wörth Plant</v>
      </c>
      <c r="E847" s="12" t="s">
        <v>471</v>
      </c>
      <c r="F847" s="12" t="s">
        <v>13</v>
      </c>
      <c r="G847" s="12" t="s">
        <v>25</v>
      </c>
      <c r="H847" s="12"/>
      <c r="I847" s="14">
        <v>45489</v>
      </c>
      <c r="J847" s="12" t="s">
        <v>468</v>
      </c>
    </row>
    <row r="848" spans="1:10" s="15" customFormat="1" x14ac:dyDescent="0.15">
      <c r="A848" s="11">
        <v>45490</v>
      </c>
      <c r="B848" s="12" t="s">
        <v>78</v>
      </c>
      <c r="C848" s="12" t="s">
        <v>78</v>
      </c>
      <c r="D848" s="13" t="str">
        <f>HYPERLINK("https://www.marklines.com/en/global/2229","Daimler Truck AG/Mercedes-Benz Group AG, Gaggenau Plant")</f>
        <v>Daimler Truck AG/Mercedes-Benz Group AG, Gaggenau Plant</v>
      </c>
      <c r="E848" s="12" t="s">
        <v>278</v>
      </c>
      <c r="F848" s="12" t="s">
        <v>13</v>
      </c>
      <c r="G848" s="12" t="s">
        <v>25</v>
      </c>
      <c r="H848" s="12"/>
      <c r="I848" s="14">
        <v>45489</v>
      </c>
      <c r="J848" s="12" t="s">
        <v>468</v>
      </c>
    </row>
    <row r="849" spans="1:10" s="15" customFormat="1" x14ac:dyDescent="0.15">
      <c r="A849" s="11">
        <v>45490</v>
      </c>
      <c r="B849" s="12" t="s">
        <v>275</v>
      </c>
      <c r="C849" s="12" t="s">
        <v>275</v>
      </c>
      <c r="D849" s="13" t="str">
        <f>HYPERLINK("https://www.marklines.com/en/global/9873","Lucid Motors (Lucid Group, Inc.), Casa Grande plant (AMP-1)")</f>
        <v>Lucid Motors (Lucid Group, Inc.), Casa Grande plant (AMP-1)</v>
      </c>
      <c r="E849" s="12" t="s">
        <v>276</v>
      </c>
      <c r="F849" s="12" t="s">
        <v>16</v>
      </c>
      <c r="G849" s="12" t="s">
        <v>17</v>
      </c>
      <c r="H849" s="12" t="s">
        <v>28</v>
      </c>
      <c r="I849" s="14">
        <v>45489</v>
      </c>
      <c r="J849" s="12" t="s">
        <v>472</v>
      </c>
    </row>
    <row r="850" spans="1:10" s="15" customFormat="1" x14ac:dyDescent="0.15">
      <c r="A850" s="11">
        <v>45490</v>
      </c>
      <c r="B850" s="12" t="s">
        <v>43</v>
      </c>
      <c r="C850" s="12" t="s">
        <v>43</v>
      </c>
      <c r="D850" s="13" t="str">
        <f>HYPERLINK("https://www.marklines.com/en/global/3121","Honda Development &amp; Manufacturing of America, LLC (HDMA), Alabama Auto Plant")</f>
        <v>Honda Development &amp; Manufacturing of America, LLC (HDMA), Alabama Auto Plant</v>
      </c>
      <c r="E850" s="12" t="s">
        <v>473</v>
      </c>
      <c r="F850" s="12" t="s">
        <v>16</v>
      </c>
      <c r="G850" s="12" t="s">
        <v>17</v>
      </c>
      <c r="H850" s="12" t="s">
        <v>310</v>
      </c>
      <c r="I850" s="14">
        <v>45489</v>
      </c>
      <c r="J850" s="12" t="s">
        <v>474</v>
      </c>
    </row>
    <row r="851" spans="1:10" s="15" customFormat="1" x14ac:dyDescent="0.15">
      <c r="A851" s="11">
        <v>45490</v>
      </c>
      <c r="B851" s="12" t="s">
        <v>38</v>
      </c>
      <c r="C851" s="12" t="s">
        <v>356</v>
      </c>
      <c r="D851" s="13" t="str">
        <f>HYPERLINK("https://www.marklines.com/en/global/803","JSC UralAZ (Ural Avtomobilny Zavod), Chelyabinsk Plant")</f>
        <v>JSC UralAZ (Ural Avtomobilny Zavod), Chelyabinsk Plant</v>
      </c>
      <c r="E851" s="12" t="s">
        <v>357</v>
      </c>
      <c r="F851" s="12" t="s">
        <v>61</v>
      </c>
      <c r="G851" s="12" t="s">
        <v>235</v>
      </c>
      <c r="H851" s="12"/>
      <c r="I851" s="14">
        <v>45488</v>
      </c>
      <c r="J851" s="12" t="s">
        <v>475</v>
      </c>
    </row>
    <row r="852" spans="1:10" s="15" customFormat="1" x14ac:dyDescent="0.15">
      <c r="A852" s="11">
        <v>45490</v>
      </c>
      <c r="B852" s="12" t="s">
        <v>476</v>
      </c>
      <c r="C852" s="12" t="s">
        <v>476</v>
      </c>
      <c r="D852" s="13" t="str">
        <f>HYPERLINK("https://www.marklines.com/en/global/3961","Haima Motor Co., Ltd.")</f>
        <v>Haima Motor Co., Ltd.</v>
      </c>
      <c r="E852" s="12" t="s">
        <v>477</v>
      </c>
      <c r="F852" s="12" t="s">
        <v>21</v>
      </c>
      <c r="G852" s="12" t="s">
        <v>47</v>
      </c>
      <c r="H852" s="12" t="s">
        <v>478</v>
      </c>
      <c r="I852" s="14">
        <v>45488</v>
      </c>
      <c r="J852" s="12" t="s">
        <v>479</v>
      </c>
    </row>
    <row r="853" spans="1:10" s="15" customFormat="1" x14ac:dyDescent="0.15">
      <c r="A853" s="11">
        <v>45490</v>
      </c>
      <c r="B853" s="12" t="s">
        <v>15</v>
      </c>
      <c r="C853" s="12" t="s">
        <v>15</v>
      </c>
      <c r="D853" s="13" t="str">
        <f>HYPERLINK("https://www.marklines.com/en/global/10431","Ford, BlueOval City/ BlueOval SK battery plant")</f>
        <v>Ford, BlueOval City/ BlueOval SK battery plant</v>
      </c>
      <c r="E853" s="12" t="s">
        <v>480</v>
      </c>
      <c r="F853" s="12" t="s">
        <v>16</v>
      </c>
      <c r="G853" s="12" t="s">
        <v>17</v>
      </c>
      <c r="H853" s="12" t="s">
        <v>481</v>
      </c>
      <c r="I853" s="14">
        <v>45488</v>
      </c>
      <c r="J853" s="12" t="s">
        <v>482</v>
      </c>
    </row>
    <row r="854" spans="1:10" s="15" customFormat="1" x14ac:dyDescent="0.15">
      <c r="A854" s="11">
        <v>45490</v>
      </c>
      <c r="B854" s="12" t="s">
        <v>483</v>
      </c>
      <c r="C854" s="12" t="s">
        <v>483</v>
      </c>
      <c r="D854" s="13" t="str">
        <f>HYPERLINK("https://www.marklines.com/en/global/10580","Xiaomi EV Technology Co., Ltd.")</f>
        <v>Xiaomi EV Technology Co., Ltd.</v>
      </c>
      <c r="E854" s="12" t="s">
        <v>484</v>
      </c>
      <c r="F854" s="12" t="s">
        <v>21</v>
      </c>
      <c r="G854" s="12" t="s">
        <v>47</v>
      </c>
      <c r="H854" s="12" t="s">
        <v>56</v>
      </c>
      <c r="I854" s="14">
        <v>45485</v>
      </c>
      <c r="J854" s="12" t="s">
        <v>485</v>
      </c>
    </row>
    <row r="855" spans="1:10" s="15" customFormat="1" x14ac:dyDescent="0.15">
      <c r="A855" s="11">
        <v>45490</v>
      </c>
      <c r="B855" s="12" t="s">
        <v>58</v>
      </c>
      <c r="C855" s="12" t="s">
        <v>58</v>
      </c>
      <c r="D855" s="13" t="str">
        <f>HYPERLINK("https://www.marklines.com/en/global/3689","FAW Jiefang Qingdao Automotive Co., Ltd. ")</f>
        <v xml:space="preserve">FAW Jiefang Qingdao Automotive Co., Ltd. </v>
      </c>
      <c r="E855" s="12" t="s">
        <v>486</v>
      </c>
      <c r="F855" s="12" t="s">
        <v>21</v>
      </c>
      <c r="G855" s="12" t="s">
        <v>47</v>
      </c>
      <c r="H855" s="12" t="s">
        <v>116</v>
      </c>
      <c r="I855" s="14">
        <v>45484</v>
      </c>
      <c r="J855" s="12" t="s">
        <v>487</v>
      </c>
    </row>
    <row r="856" spans="1:10" s="15" customFormat="1" x14ac:dyDescent="0.15">
      <c r="A856" s="11">
        <v>45489</v>
      </c>
      <c r="B856" s="12" t="s">
        <v>49</v>
      </c>
      <c r="C856" s="12" t="s">
        <v>98</v>
      </c>
      <c r="D856" s="13" t="str">
        <f>HYPERLINK("https://www.marklines.com/en/global/2201","Audi AG, Audi Sport GmbH, Neckarsulm Plant")</f>
        <v>Audi AG, Audi Sport GmbH, Neckarsulm Plant</v>
      </c>
      <c r="E856" s="12" t="s">
        <v>465</v>
      </c>
      <c r="F856" s="12" t="s">
        <v>13</v>
      </c>
      <c r="G856" s="12" t="s">
        <v>25</v>
      </c>
      <c r="H856" s="12"/>
      <c r="I856" s="14">
        <v>45489</v>
      </c>
      <c r="J856" s="12" t="s">
        <v>488</v>
      </c>
    </row>
    <row r="857" spans="1:10" s="15" customFormat="1" x14ac:dyDescent="0.15">
      <c r="A857" s="11">
        <v>45489</v>
      </c>
      <c r="B857" s="12" t="s">
        <v>49</v>
      </c>
      <c r="C857" s="12" t="s">
        <v>227</v>
      </c>
      <c r="D857" s="13" t="str">
        <f>HYPERLINK("https://www.marklines.com/en/global/10220","Volkswagen Group Future Center Europe GmbH (Volkswagen Design Center Potsdam)")</f>
        <v>Volkswagen Group Future Center Europe GmbH (Volkswagen Design Center Potsdam)</v>
      </c>
      <c r="E857" s="12" t="s">
        <v>489</v>
      </c>
      <c r="F857" s="12" t="s">
        <v>13</v>
      </c>
      <c r="G857" s="12" t="s">
        <v>25</v>
      </c>
      <c r="H857" s="12"/>
      <c r="I857" s="14">
        <v>45488</v>
      </c>
      <c r="J857" s="12" t="s">
        <v>490</v>
      </c>
    </row>
    <row r="858" spans="1:10" s="15" customFormat="1" x14ac:dyDescent="0.15">
      <c r="A858" s="11">
        <v>45489</v>
      </c>
      <c r="B858" s="12" t="s">
        <v>11</v>
      </c>
      <c r="C858" s="12" t="s">
        <v>11</v>
      </c>
      <c r="D858" s="13" t="str">
        <f>HYPERLINK("https://www.marklines.com/en/global/1343","Stellantis, Fiat Powertrain Technologies, Termoli Plant / Automotive Cell Company (ACC), Termoli Plant")</f>
        <v>Stellantis, Fiat Powertrain Technologies, Termoli Plant / Automotive Cell Company (ACC), Termoli Plant</v>
      </c>
      <c r="E858" s="12" t="s">
        <v>491</v>
      </c>
      <c r="F858" s="12" t="s">
        <v>13</v>
      </c>
      <c r="G858" s="12" t="s">
        <v>216</v>
      </c>
      <c r="H858" s="12"/>
      <c r="I858" s="14">
        <v>45488</v>
      </c>
      <c r="J858" s="12" t="s">
        <v>492</v>
      </c>
    </row>
    <row r="859" spans="1:10" s="15" customFormat="1" x14ac:dyDescent="0.15">
      <c r="A859" s="11">
        <v>45489</v>
      </c>
      <c r="B859" s="12" t="s">
        <v>121</v>
      </c>
      <c r="C859" s="12" t="s">
        <v>134</v>
      </c>
      <c r="D859" s="13" t="str">
        <f>HYPERLINK("https://www.marklines.com/en/global/9267","OOO Haveyl Motor Manufacturing Rus (Haval Motor Manufacturing Russia Limited Liability Company), Tula plant")</f>
        <v>OOO Haveyl Motor Manufacturing Rus (Haval Motor Manufacturing Russia Limited Liability Company), Tula plant</v>
      </c>
      <c r="E859" s="12" t="s">
        <v>493</v>
      </c>
      <c r="F859" s="12" t="s">
        <v>61</v>
      </c>
      <c r="G859" s="12" t="s">
        <v>235</v>
      </c>
      <c r="H859" s="12"/>
      <c r="I859" s="14">
        <v>45488</v>
      </c>
      <c r="J859" s="12" t="s">
        <v>494</v>
      </c>
    </row>
    <row r="860" spans="1:10" s="15" customFormat="1" x14ac:dyDescent="0.15">
      <c r="A860" s="11">
        <v>45489</v>
      </c>
      <c r="B860" s="12" t="s">
        <v>495</v>
      </c>
      <c r="C860" s="12" t="s">
        <v>496</v>
      </c>
      <c r="D860" s="13" t="str">
        <f>HYPERLINK("https://www.marklines.com/en/global/10896","PT VinFast Automobile Indonesia, West Java plant")</f>
        <v>PT VinFast Automobile Indonesia, West Java plant</v>
      </c>
      <c r="E860" s="12" t="s">
        <v>497</v>
      </c>
      <c r="F860" s="12" t="s">
        <v>60</v>
      </c>
      <c r="G860" s="12" t="s">
        <v>118</v>
      </c>
      <c r="H860" s="12"/>
      <c r="I860" s="14">
        <v>45488</v>
      </c>
      <c r="J860" s="12" t="s">
        <v>498</v>
      </c>
    </row>
    <row r="861" spans="1:10" s="15" customFormat="1" x14ac:dyDescent="0.15">
      <c r="A861" s="11">
        <v>45489</v>
      </c>
      <c r="B861" s="12" t="s">
        <v>15</v>
      </c>
      <c r="C861" s="12" t="s">
        <v>15</v>
      </c>
      <c r="D861" s="13" t="str">
        <f>HYPERLINK("https://www.marklines.com/en/global/2607","Ford Motor, Kentucky Truck Plant")</f>
        <v>Ford Motor, Kentucky Truck Plant</v>
      </c>
      <c r="E861" s="12" t="s">
        <v>499</v>
      </c>
      <c r="F861" s="12" t="s">
        <v>16</v>
      </c>
      <c r="G861" s="12" t="s">
        <v>17</v>
      </c>
      <c r="H861" s="12" t="s">
        <v>260</v>
      </c>
      <c r="I861" s="14">
        <v>45485</v>
      </c>
      <c r="J861" s="12" t="s">
        <v>500</v>
      </c>
    </row>
    <row r="862" spans="1:10" s="15" customFormat="1" x14ac:dyDescent="0.15">
      <c r="A862" s="11">
        <v>45489</v>
      </c>
      <c r="B862" s="12" t="s">
        <v>15</v>
      </c>
      <c r="C862" s="12" t="s">
        <v>15</v>
      </c>
      <c r="D862" s="13" t="str">
        <f>HYPERLINK("https://www.marklines.com/en/global/2605","Ford Motor, Louisville Assembly Plant")</f>
        <v>Ford Motor, Louisville Assembly Plant</v>
      </c>
      <c r="E862" s="12" t="s">
        <v>501</v>
      </c>
      <c r="F862" s="12" t="s">
        <v>16</v>
      </c>
      <c r="G862" s="12" t="s">
        <v>17</v>
      </c>
      <c r="H862" s="12" t="s">
        <v>260</v>
      </c>
      <c r="I862" s="14">
        <v>45485</v>
      </c>
      <c r="J862" s="12" t="s">
        <v>500</v>
      </c>
    </row>
    <row r="863" spans="1:10" s="15" customFormat="1" x14ac:dyDescent="0.15">
      <c r="A863" s="11">
        <v>45488</v>
      </c>
      <c r="B863" s="12" t="s">
        <v>44</v>
      </c>
      <c r="C863" s="12" t="s">
        <v>502</v>
      </c>
      <c r="D863" s="13" t="str">
        <f>HYPERLINK("https://www.marklines.com/en/global/6431","Renault Tangier Méditerranée, Tangier Plant")</f>
        <v>Renault Tangier Méditerranée, Tangier Plant</v>
      </c>
      <c r="E863" s="12" t="s">
        <v>503</v>
      </c>
      <c r="F863" s="12" t="s">
        <v>114</v>
      </c>
      <c r="G863" s="12" t="s">
        <v>504</v>
      </c>
      <c r="H863" s="12"/>
      <c r="I863" s="14">
        <v>45485</v>
      </c>
      <c r="J863" s="12" t="s">
        <v>505</v>
      </c>
    </row>
    <row r="864" spans="1:10" s="15" customFormat="1" x14ac:dyDescent="0.15">
      <c r="A864" s="11">
        <v>45488</v>
      </c>
      <c r="B864" s="12" t="s">
        <v>103</v>
      </c>
      <c r="C864" s="12" t="s">
        <v>506</v>
      </c>
      <c r="D864" s="13" t="str">
        <f>HYPERLINK("https://www.marklines.com/en/global/1925","Barcelona Decarbonisation Hub (D-HUB) (former Nissan Motor Iberica, Barcelona Plant)")</f>
        <v>Barcelona Decarbonisation Hub (D-HUB) (former Nissan Motor Iberica, Barcelona Plant)</v>
      </c>
      <c r="E864" s="12" t="s">
        <v>507</v>
      </c>
      <c r="F864" s="12" t="s">
        <v>13</v>
      </c>
      <c r="G864" s="12" t="s">
        <v>14</v>
      </c>
      <c r="H864" s="12"/>
      <c r="I864" s="14">
        <v>45485</v>
      </c>
      <c r="J864" s="12" t="s">
        <v>508</v>
      </c>
    </row>
    <row r="865" spans="1:10" s="15" customFormat="1" x14ac:dyDescent="0.15">
      <c r="A865" s="11">
        <v>45488</v>
      </c>
      <c r="B865" s="12" t="s">
        <v>35</v>
      </c>
      <c r="C865" s="12" t="s">
        <v>35</v>
      </c>
      <c r="D865" s="13" t="str">
        <f>HYPERLINK("https://www.marklines.com/en/global/1065","Indus Motor Company Ltd. (IMC), Karachi Plant")</f>
        <v>Indus Motor Company Ltd. (IMC), Karachi Plant</v>
      </c>
      <c r="E865" s="12" t="s">
        <v>509</v>
      </c>
      <c r="F865" s="12" t="s">
        <v>36</v>
      </c>
      <c r="G865" s="12" t="s">
        <v>510</v>
      </c>
      <c r="H865" s="12"/>
      <c r="I865" s="14">
        <v>45485</v>
      </c>
      <c r="J865" s="12" t="s">
        <v>511</v>
      </c>
    </row>
    <row r="866" spans="1:10" s="15" customFormat="1" x14ac:dyDescent="0.15">
      <c r="A866" s="11">
        <v>45488</v>
      </c>
      <c r="B866" s="12" t="s">
        <v>290</v>
      </c>
      <c r="C866" s="12" t="s">
        <v>290</v>
      </c>
      <c r="D866" s="13" t="str">
        <f>HYPERLINK("https://www.marklines.com/en/global/3979","Dongfeng Automobile Co., Ltd. (DFAC)")</f>
        <v>Dongfeng Automobile Co., Ltd. (DFAC)</v>
      </c>
      <c r="E866" s="12" t="s">
        <v>512</v>
      </c>
      <c r="F866" s="12" t="s">
        <v>21</v>
      </c>
      <c r="G866" s="12" t="s">
        <v>47</v>
      </c>
      <c r="H866" s="12" t="s">
        <v>294</v>
      </c>
      <c r="I866" s="14">
        <v>45483</v>
      </c>
      <c r="J866" s="12" t="s">
        <v>513</v>
      </c>
    </row>
    <row r="867" spans="1:10" s="15" customFormat="1" x14ac:dyDescent="0.15">
      <c r="A867" s="11">
        <v>45488</v>
      </c>
      <c r="B867" s="12" t="s">
        <v>38</v>
      </c>
      <c r="C867" s="12" t="s">
        <v>352</v>
      </c>
      <c r="D867" s="13" t="str">
        <f>HYPERLINK("https://www.marklines.com/en/global/10327","Jiangsu Skywell Automobile Co., Ltd.")</f>
        <v>Jiangsu Skywell Automobile Co., Ltd.</v>
      </c>
      <c r="E867" s="12" t="s">
        <v>514</v>
      </c>
      <c r="F867" s="12" t="s">
        <v>21</v>
      </c>
      <c r="G867" s="12" t="s">
        <v>47</v>
      </c>
      <c r="H867" s="12" t="s">
        <v>354</v>
      </c>
      <c r="I867" s="14">
        <v>45482</v>
      </c>
      <c r="J867" s="12" t="s">
        <v>515</v>
      </c>
    </row>
    <row r="868" spans="1:10" s="15" customFormat="1" x14ac:dyDescent="0.15">
      <c r="A868" s="11">
        <v>45488</v>
      </c>
      <c r="B868" s="12" t="s">
        <v>38</v>
      </c>
      <c r="C868" s="12" t="s">
        <v>352</v>
      </c>
      <c r="D868" s="13" t="str">
        <f>HYPERLINK("https://www.marklines.com/en/global/3749","Nanjing Golden Dragon Bus Co., Ltd.")</f>
        <v>Nanjing Golden Dragon Bus Co., Ltd.</v>
      </c>
      <c r="E868" s="12" t="s">
        <v>353</v>
      </c>
      <c r="F868" s="12" t="s">
        <v>21</v>
      </c>
      <c r="G868" s="12" t="s">
        <v>47</v>
      </c>
      <c r="H868" s="12" t="s">
        <v>354</v>
      </c>
      <c r="I868" s="14">
        <v>45482</v>
      </c>
      <c r="J868" s="12" t="s">
        <v>515</v>
      </c>
    </row>
    <row r="869" spans="1:10" s="15" customFormat="1" x14ac:dyDescent="0.15">
      <c r="A869" s="11">
        <v>45488</v>
      </c>
      <c r="B869" s="12" t="s">
        <v>49</v>
      </c>
      <c r="C869" s="12" t="s">
        <v>227</v>
      </c>
      <c r="D869" s="13" t="str">
        <f>HYPERLINK("https://www.marklines.com/en/global/3341","FAW-Volkswagen Automotive Co., Ltd.")</f>
        <v>FAW-Volkswagen Automotive Co., Ltd.</v>
      </c>
      <c r="E869" s="12" t="s">
        <v>237</v>
      </c>
      <c r="F869" s="12" t="s">
        <v>21</v>
      </c>
      <c r="G869" s="12" t="s">
        <v>47</v>
      </c>
      <c r="H869" s="12" t="s">
        <v>57</v>
      </c>
      <c r="I869" s="14">
        <v>45476</v>
      </c>
      <c r="J869" s="12" t="s">
        <v>516</v>
      </c>
    </row>
    <row r="870" spans="1:10" s="15" customFormat="1" x14ac:dyDescent="0.15">
      <c r="A870" s="11">
        <v>45486</v>
      </c>
      <c r="B870" s="12" t="s">
        <v>224</v>
      </c>
      <c r="C870" s="12" t="s">
        <v>414</v>
      </c>
      <c r="D870" s="13" t="str">
        <f>HYPERLINK("https://www.marklines.com/en/global/867","General Motors Mexico, Ramos Arizpe Plant")</f>
        <v>General Motors Mexico, Ramos Arizpe Plant</v>
      </c>
      <c r="E870" s="12" t="s">
        <v>415</v>
      </c>
      <c r="F870" s="12" t="s">
        <v>16</v>
      </c>
      <c r="G870" s="12" t="s">
        <v>229</v>
      </c>
      <c r="H870" s="12"/>
      <c r="I870" s="14">
        <v>45484</v>
      </c>
      <c r="J870" s="12" t="s">
        <v>517</v>
      </c>
    </row>
    <row r="871" spans="1:10" s="15" customFormat="1" x14ac:dyDescent="0.15">
      <c r="A871" s="11">
        <v>45486</v>
      </c>
      <c r="B871" s="12" t="s">
        <v>11</v>
      </c>
      <c r="C871" s="12" t="s">
        <v>11</v>
      </c>
      <c r="D871" s="13" t="str">
        <f>HYPERLINK("https://www.marklines.com/en/global/2833","Stellantis, FCA Brazil, Betim Plant")</f>
        <v>Stellantis, FCA Brazil, Betim Plant</v>
      </c>
      <c r="E871" s="12" t="s">
        <v>518</v>
      </c>
      <c r="F871" s="12" t="s">
        <v>45</v>
      </c>
      <c r="G871" s="12" t="s">
        <v>232</v>
      </c>
      <c r="H871" s="12"/>
      <c r="I871" s="14">
        <v>45483</v>
      </c>
      <c r="J871" s="12" t="s">
        <v>519</v>
      </c>
    </row>
    <row r="872" spans="1:10" s="15" customFormat="1" x14ac:dyDescent="0.15">
      <c r="A872" s="11">
        <v>45486</v>
      </c>
      <c r="B872" s="12" t="s">
        <v>224</v>
      </c>
      <c r="C872" s="12" t="s">
        <v>414</v>
      </c>
      <c r="D872" s="13" t="str">
        <f>HYPERLINK("https://www.marklines.com/en/global/2459","General Motors, Factory ZERO (Detroit-Hamtramck Plant) ")</f>
        <v xml:space="preserve">General Motors, Factory ZERO (Detroit-Hamtramck Plant) </v>
      </c>
      <c r="E872" s="12" t="s">
        <v>520</v>
      </c>
      <c r="F872" s="12" t="s">
        <v>16</v>
      </c>
      <c r="G872" s="12" t="s">
        <v>17</v>
      </c>
      <c r="H872" s="12" t="s">
        <v>19</v>
      </c>
      <c r="I872" s="14">
        <v>45481</v>
      </c>
      <c r="J872" s="12" t="s">
        <v>521</v>
      </c>
    </row>
    <row r="873" spans="1:10" s="15" customFormat="1" x14ac:dyDescent="0.15">
      <c r="A873" s="11">
        <v>45485</v>
      </c>
      <c r="B873" s="12" t="s">
        <v>11</v>
      </c>
      <c r="C873" s="12" t="s">
        <v>214</v>
      </c>
      <c r="D873" s="13" t="str">
        <f>HYPERLINK("https://www.marklines.com/en/global/10285","Stellantis, FCA Design Center (FCA Centro Stile) (Turin)")</f>
        <v>Stellantis, FCA Design Center (FCA Centro Stile) (Turin)</v>
      </c>
      <c r="E873" s="12" t="s">
        <v>215</v>
      </c>
      <c r="F873" s="12" t="s">
        <v>13</v>
      </c>
      <c r="G873" s="12" t="s">
        <v>216</v>
      </c>
      <c r="H873" s="12"/>
      <c r="I873" s="14">
        <v>45484</v>
      </c>
      <c r="J873" s="12" t="s">
        <v>217</v>
      </c>
    </row>
    <row r="874" spans="1:10" s="15" customFormat="1" x14ac:dyDescent="0.15">
      <c r="A874" s="11">
        <v>45485</v>
      </c>
      <c r="B874" s="12" t="s">
        <v>11</v>
      </c>
      <c r="C874" s="12" t="s">
        <v>214</v>
      </c>
      <c r="D874" s="13" t="str">
        <f>HYPERLINK("https://www.marklines.com/en/global/1327","Stellantis, FCA Italy, Mirafiori (Turin) Plant")</f>
        <v>Stellantis, FCA Italy, Mirafiori (Turin) Plant</v>
      </c>
      <c r="E874" s="12" t="s">
        <v>218</v>
      </c>
      <c r="F874" s="12" t="s">
        <v>13</v>
      </c>
      <c r="G874" s="12" t="s">
        <v>216</v>
      </c>
      <c r="H874" s="12"/>
      <c r="I874" s="14">
        <v>45484</v>
      </c>
      <c r="J874" s="12" t="s">
        <v>217</v>
      </c>
    </row>
    <row r="875" spans="1:10" s="15" customFormat="1" x14ac:dyDescent="0.15">
      <c r="A875" s="11">
        <v>45485</v>
      </c>
      <c r="B875" s="12" t="s">
        <v>95</v>
      </c>
      <c r="C875" s="12" t="s">
        <v>95</v>
      </c>
      <c r="D875" s="13" t="str">
        <f>HYPERLINK("https://www.marklines.com/en/global/2211","BMW AG, Landshut Plant")</f>
        <v>BMW AG, Landshut Plant</v>
      </c>
      <c r="E875" s="12" t="s">
        <v>219</v>
      </c>
      <c r="F875" s="12" t="s">
        <v>13</v>
      </c>
      <c r="G875" s="12" t="s">
        <v>25</v>
      </c>
      <c r="H875" s="12"/>
      <c r="I875" s="14">
        <v>45484</v>
      </c>
      <c r="J875" s="12" t="s">
        <v>220</v>
      </c>
    </row>
    <row r="876" spans="1:10" s="15" customFormat="1" x14ac:dyDescent="0.15">
      <c r="A876" s="11">
        <v>45485</v>
      </c>
      <c r="B876" s="12" t="s">
        <v>11</v>
      </c>
      <c r="C876" s="12" t="s">
        <v>221</v>
      </c>
      <c r="D876" s="13" t="str">
        <f>HYPERLINK("https://www.marklines.com/en/global/2797","Stellantis, PSA Argentina, Buenos Aires (El Palomar) Plant")</f>
        <v>Stellantis, PSA Argentina, Buenos Aires (El Palomar) Plant</v>
      </c>
      <c r="E876" s="12" t="s">
        <v>222</v>
      </c>
      <c r="F876" s="12" t="s">
        <v>45</v>
      </c>
      <c r="G876" s="12" t="s">
        <v>79</v>
      </c>
      <c r="H876" s="12"/>
      <c r="I876" s="14">
        <v>45484</v>
      </c>
      <c r="J876" s="12" t="s">
        <v>223</v>
      </c>
    </row>
    <row r="877" spans="1:10" s="15" customFormat="1" x14ac:dyDescent="0.15">
      <c r="A877" s="11">
        <v>45485</v>
      </c>
      <c r="B877" s="12" t="s">
        <v>224</v>
      </c>
      <c r="C877" s="12" t="s">
        <v>224</v>
      </c>
      <c r="D877" s="13" t="str">
        <f>HYPERLINK("https://www.marklines.com/en/global/2475","General Motors, Lansing Grand River Assembly / Stamping Plant")</f>
        <v>General Motors, Lansing Grand River Assembly / Stamping Plant</v>
      </c>
      <c r="E877" s="12" t="s">
        <v>225</v>
      </c>
      <c r="F877" s="12" t="s">
        <v>16</v>
      </c>
      <c r="G877" s="12" t="s">
        <v>17</v>
      </c>
      <c r="H877" s="12" t="s">
        <v>19</v>
      </c>
      <c r="I877" s="14">
        <v>45484</v>
      </c>
      <c r="J877" s="12" t="s">
        <v>226</v>
      </c>
    </row>
    <row r="878" spans="1:10" s="15" customFormat="1" x14ac:dyDescent="0.15">
      <c r="A878" s="11">
        <v>45485</v>
      </c>
      <c r="B878" s="12" t="s">
        <v>49</v>
      </c>
      <c r="C878" s="12" t="s">
        <v>227</v>
      </c>
      <c r="D878" s="13" t="str">
        <f>HYPERLINK("https://www.marklines.com/en/global/911","Volkswagen Mexico, Puebla Plant")</f>
        <v>Volkswagen Mexico, Puebla Plant</v>
      </c>
      <c r="E878" s="12" t="s">
        <v>228</v>
      </c>
      <c r="F878" s="12" t="s">
        <v>16</v>
      </c>
      <c r="G878" s="12" t="s">
        <v>229</v>
      </c>
      <c r="H878" s="12"/>
      <c r="I878" s="14">
        <v>45483</v>
      </c>
      <c r="J878" s="12" t="s">
        <v>230</v>
      </c>
    </row>
    <row r="879" spans="1:10" s="15" customFormat="1" x14ac:dyDescent="0.15">
      <c r="A879" s="11">
        <v>45485</v>
      </c>
      <c r="B879" s="12" t="s">
        <v>70</v>
      </c>
      <c r="C879" s="12" t="s">
        <v>70</v>
      </c>
      <c r="D879" s="13" t="str">
        <f>HYPERLINK("https://www.marklines.com/en/global/2837","BYD Auto Camaçari (former Ford Motor Brazil, Camacari Plant)")</f>
        <v>BYD Auto Camaçari (former Ford Motor Brazil, Camacari Plant)</v>
      </c>
      <c r="E879" s="12" t="s">
        <v>231</v>
      </c>
      <c r="F879" s="12" t="s">
        <v>45</v>
      </c>
      <c r="G879" s="12" t="s">
        <v>232</v>
      </c>
      <c r="H879" s="12"/>
      <c r="I879" s="14">
        <v>45483</v>
      </c>
      <c r="J879" s="12" t="s">
        <v>233</v>
      </c>
    </row>
    <row r="880" spans="1:10" s="15" customFormat="1" x14ac:dyDescent="0.15">
      <c r="A880" s="11">
        <v>45485</v>
      </c>
      <c r="B880" s="12" t="s">
        <v>38</v>
      </c>
      <c r="C880" s="12" t="s">
        <v>38</v>
      </c>
      <c r="D880" s="13" t="str">
        <f>HYPERLINK("https://www.marklines.com/en/global/705","AGR Automobile Plant, St. Petersburg-2 (formerly General Motors Russia)")</f>
        <v>AGR Automobile Plant, St. Petersburg-2 (formerly General Motors Russia)</v>
      </c>
      <c r="E880" s="12" t="s">
        <v>234</v>
      </c>
      <c r="F880" s="12" t="s">
        <v>61</v>
      </c>
      <c r="G880" s="12" t="s">
        <v>235</v>
      </c>
      <c r="H880" s="12"/>
      <c r="I880" s="14">
        <v>45482</v>
      </c>
      <c r="J880" s="12" t="s">
        <v>236</v>
      </c>
    </row>
    <row r="881" spans="1:10" s="15" customFormat="1" x14ac:dyDescent="0.15">
      <c r="A881" s="11">
        <v>45485</v>
      </c>
      <c r="B881" s="12" t="s">
        <v>49</v>
      </c>
      <c r="C881" s="12" t="s">
        <v>227</v>
      </c>
      <c r="D881" s="13" t="str">
        <f>HYPERLINK("https://www.marklines.com/en/global/3341","FAW-Volkswagen Automotive Co., Ltd.")</f>
        <v>FAW-Volkswagen Automotive Co., Ltd.</v>
      </c>
      <c r="E881" s="12" t="s">
        <v>237</v>
      </c>
      <c r="F881" s="12" t="s">
        <v>21</v>
      </c>
      <c r="G881" s="12" t="s">
        <v>47</v>
      </c>
      <c r="H881" s="12" t="s">
        <v>57</v>
      </c>
      <c r="I881" s="14">
        <v>45482</v>
      </c>
      <c r="J881" s="12" t="s">
        <v>238</v>
      </c>
    </row>
    <row r="882" spans="1:10" s="15" customFormat="1" x14ac:dyDescent="0.15">
      <c r="A882" s="11">
        <v>45485</v>
      </c>
      <c r="B882" s="12" t="s">
        <v>51</v>
      </c>
      <c r="C882" s="12" t="s">
        <v>51</v>
      </c>
      <c r="D882" s="13" t="str">
        <f>HYPERLINK("https://www.marklines.com/en/global/3609","SAIC Motor Corporation Limited")</f>
        <v>SAIC Motor Corporation Limited</v>
      </c>
      <c r="E882" s="12" t="s">
        <v>137</v>
      </c>
      <c r="F882" s="12" t="s">
        <v>21</v>
      </c>
      <c r="G882" s="12" t="s">
        <v>47</v>
      </c>
      <c r="H882" s="12" t="s">
        <v>94</v>
      </c>
      <c r="I882" s="14">
        <v>45482</v>
      </c>
      <c r="J882" s="12" t="s">
        <v>239</v>
      </c>
    </row>
    <row r="883" spans="1:10" s="15" customFormat="1" x14ac:dyDescent="0.15">
      <c r="A883" s="11">
        <v>45485</v>
      </c>
      <c r="B883" s="12" t="s">
        <v>224</v>
      </c>
      <c r="C883" s="12" t="s">
        <v>224</v>
      </c>
      <c r="D883" s="13" t="str">
        <f>HYPERLINK("https://www.marklines.com/en/global/2541","General Motors Canada, Ingersoll Plant")</f>
        <v>General Motors Canada, Ingersoll Plant</v>
      </c>
      <c r="E883" s="12" t="s">
        <v>240</v>
      </c>
      <c r="F883" s="12" t="s">
        <v>16</v>
      </c>
      <c r="G883" s="12" t="s">
        <v>241</v>
      </c>
      <c r="H883" s="12"/>
      <c r="I883" s="14">
        <v>45481</v>
      </c>
      <c r="J883" s="12" t="s">
        <v>242</v>
      </c>
    </row>
    <row r="884" spans="1:10" s="15" customFormat="1" x14ac:dyDescent="0.15">
      <c r="A884" s="11">
        <v>45484</v>
      </c>
      <c r="B884" s="12" t="s">
        <v>243</v>
      </c>
      <c r="C884" s="12" t="s">
        <v>243</v>
      </c>
      <c r="D884" s="13" t="str">
        <f>HYPERLINK("https://www.marklines.com/en/global/10691","Volvo Battery cell, Skövde plant (tentative name)")</f>
        <v>Volvo Battery cell, Skövde plant (tentative name)</v>
      </c>
      <c r="E884" s="12" t="s">
        <v>244</v>
      </c>
      <c r="F884" s="12" t="s">
        <v>13</v>
      </c>
      <c r="G884" s="12" t="s">
        <v>245</v>
      </c>
      <c r="H884" s="12"/>
      <c r="I884" s="14">
        <v>45484</v>
      </c>
      <c r="J884" s="12" t="s">
        <v>246</v>
      </c>
    </row>
    <row r="885" spans="1:10" s="15" customFormat="1" x14ac:dyDescent="0.15">
      <c r="A885" s="11">
        <v>45484</v>
      </c>
      <c r="B885" s="12" t="s">
        <v>38</v>
      </c>
      <c r="C885" s="12" t="s">
        <v>38</v>
      </c>
      <c r="D885" s="13" t="str">
        <f>HYPERLINK("https://www.marklines.com/en/global/8784","Triton Electric Vehicle India Pvt Ltd., Bhuj, Gujarat plant (formerly AMW Motors Limited)")</f>
        <v>Triton Electric Vehicle India Pvt Ltd., Bhuj, Gujarat plant (formerly AMW Motors Limited)</v>
      </c>
      <c r="E885" s="12" t="s">
        <v>247</v>
      </c>
      <c r="F885" s="12" t="s">
        <v>36</v>
      </c>
      <c r="G885" s="12" t="s">
        <v>37</v>
      </c>
      <c r="H885" s="12" t="s">
        <v>248</v>
      </c>
      <c r="I885" s="14">
        <v>45484</v>
      </c>
      <c r="J885" s="12" t="s">
        <v>249</v>
      </c>
    </row>
    <row r="886" spans="1:10" s="15" customFormat="1" x14ac:dyDescent="0.15">
      <c r="A886" s="11">
        <v>45484</v>
      </c>
      <c r="B886" s="12" t="s">
        <v>49</v>
      </c>
      <c r="C886" s="12" t="s">
        <v>98</v>
      </c>
      <c r="D886" s="13" t="str">
        <f>HYPERLINK("https://www.marklines.com/en/global/1514","Audi Brussels S.A./N.V., Brussels (Forest) Plant")</f>
        <v>Audi Brussels S.A./N.V., Brussels (Forest) Plant</v>
      </c>
      <c r="E886" s="12" t="s">
        <v>250</v>
      </c>
      <c r="F886" s="12" t="s">
        <v>13</v>
      </c>
      <c r="G886" s="12" t="s">
        <v>251</v>
      </c>
      <c r="H886" s="12"/>
      <c r="I886" s="14">
        <v>45483</v>
      </c>
      <c r="J886" s="12" t="s">
        <v>252</v>
      </c>
    </row>
    <row r="887" spans="1:10" s="15" customFormat="1" x14ac:dyDescent="0.15">
      <c r="A887" s="11">
        <v>45484</v>
      </c>
      <c r="B887" s="12" t="s">
        <v>59</v>
      </c>
      <c r="C887" s="12" t="s">
        <v>253</v>
      </c>
      <c r="D887" s="13" t="str">
        <f>HYPERLINK("https://www.marklines.com/en/global/10787","AION Automobile Manufacturing Thailand Co., Ltd., Rayong Plant")</f>
        <v>AION Automobile Manufacturing Thailand Co., Ltd., Rayong Plant</v>
      </c>
      <c r="E887" s="12" t="s">
        <v>254</v>
      </c>
      <c r="F887" s="12" t="s">
        <v>60</v>
      </c>
      <c r="G887" s="12" t="s">
        <v>72</v>
      </c>
      <c r="H887" s="12" t="s">
        <v>73</v>
      </c>
      <c r="I887" s="14">
        <v>45483</v>
      </c>
      <c r="J887" s="12" t="s">
        <v>255</v>
      </c>
    </row>
    <row r="888" spans="1:10" s="15" customFormat="1" x14ac:dyDescent="0.15">
      <c r="A888" s="11">
        <v>45484</v>
      </c>
      <c r="B888" s="12" t="s">
        <v>11</v>
      </c>
      <c r="C888" s="12" t="s">
        <v>221</v>
      </c>
      <c r="D888" s="13" t="str">
        <f>HYPERLINK("https://www.marklines.com/en/global/2797","Stellantis, PSA Argentina, Buenos Aires (El Palomar) Plant")</f>
        <v>Stellantis, PSA Argentina, Buenos Aires (El Palomar) Plant</v>
      </c>
      <c r="E888" s="12" t="s">
        <v>222</v>
      </c>
      <c r="F888" s="12" t="s">
        <v>45</v>
      </c>
      <c r="G888" s="12" t="s">
        <v>79</v>
      </c>
      <c r="H888" s="12"/>
      <c r="I888" s="14">
        <v>45483</v>
      </c>
      <c r="J888" s="12" t="s">
        <v>256</v>
      </c>
    </row>
    <row r="889" spans="1:10" s="15" customFormat="1" x14ac:dyDescent="0.15">
      <c r="A889" s="11">
        <v>45484</v>
      </c>
      <c r="B889" s="12" t="s">
        <v>15</v>
      </c>
      <c r="C889" s="12" t="s">
        <v>15</v>
      </c>
      <c r="D889" s="13" t="str">
        <f>HYPERLINK("https://www.marklines.com/en/global/2143","Ford Cologne Electric Vehicle Center (former Ford Motor Germany, Cologne-Niehl Plant)")</f>
        <v>Ford Cologne Electric Vehicle Center (former Ford Motor Germany, Cologne-Niehl Plant)</v>
      </c>
      <c r="E889" s="12" t="s">
        <v>257</v>
      </c>
      <c r="F889" s="12" t="s">
        <v>13</v>
      </c>
      <c r="G889" s="12" t="s">
        <v>25</v>
      </c>
      <c r="H889" s="12"/>
      <c r="I889" s="14">
        <v>45483</v>
      </c>
      <c r="J889" s="12" t="s">
        <v>258</v>
      </c>
    </row>
    <row r="890" spans="1:10" s="15" customFormat="1" x14ac:dyDescent="0.15">
      <c r="A890" s="11">
        <v>45484</v>
      </c>
      <c r="B890" s="12" t="s">
        <v>35</v>
      </c>
      <c r="C890" s="12" t="s">
        <v>35</v>
      </c>
      <c r="D890" s="13" t="str">
        <f>HYPERLINK("https://www.marklines.com/en/global/3233","Toyota Motor Manufacturing, Kentucky,  Inc. (TMMK), Georgetown Plant")</f>
        <v>Toyota Motor Manufacturing, Kentucky,  Inc. (TMMK), Georgetown Plant</v>
      </c>
      <c r="E890" s="12" t="s">
        <v>259</v>
      </c>
      <c r="F890" s="12" t="s">
        <v>16</v>
      </c>
      <c r="G890" s="12" t="s">
        <v>17</v>
      </c>
      <c r="H890" s="12" t="s">
        <v>260</v>
      </c>
      <c r="I890" s="14">
        <v>45483</v>
      </c>
      <c r="J890" s="12" t="s">
        <v>261</v>
      </c>
    </row>
    <row r="891" spans="1:10" s="15" customFormat="1" x14ac:dyDescent="0.15">
      <c r="A891" s="11">
        <v>45484</v>
      </c>
      <c r="B891" s="12" t="s">
        <v>35</v>
      </c>
      <c r="C891" s="12" t="s">
        <v>35</v>
      </c>
      <c r="D891" s="13" t="str">
        <f>HYPERLINK("https://www.marklines.com/en/global/3237","Toyota Motor Manufacturing, Indiana,  Inc. (TMMI), Princeton Plant")</f>
        <v>Toyota Motor Manufacturing, Indiana,  Inc. (TMMI), Princeton Plant</v>
      </c>
      <c r="E891" s="12" t="s">
        <v>262</v>
      </c>
      <c r="F891" s="12" t="s">
        <v>16</v>
      </c>
      <c r="G891" s="12" t="s">
        <v>17</v>
      </c>
      <c r="H891" s="12" t="s">
        <v>263</v>
      </c>
      <c r="I891" s="14">
        <v>45483</v>
      </c>
      <c r="J891" s="12" t="s">
        <v>261</v>
      </c>
    </row>
    <row r="892" spans="1:10" s="15" customFormat="1" x14ac:dyDescent="0.15">
      <c r="A892" s="11">
        <v>45484</v>
      </c>
      <c r="B892" s="12" t="s">
        <v>38</v>
      </c>
      <c r="C892" s="12" t="s">
        <v>264</v>
      </c>
      <c r="D892" s="13" t="str">
        <f>HYPERLINK("https://www.marklines.com/en/global/10633","Sollers Comtrans, Ulyanovsk Plant (formerly JSC Isuzu Rus)")</f>
        <v>Sollers Comtrans, Ulyanovsk Plant (formerly JSC Isuzu Rus)</v>
      </c>
      <c r="E892" s="12" t="s">
        <v>265</v>
      </c>
      <c r="F892" s="12" t="s">
        <v>61</v>
      </c>
      <c r="G892" s="12" t="s">
        <v>235</v>
      </c>
      <c r="H892" s="12"/>
      <c r="I892" s="14">
        <v>45482</v>
      </c>
      <c r="J892" s="12" t="s">
        <v>266</v>
      </c>
    </row>
    <row r="893" spans="1:10" s="15" customFormat="1" x14ac:dyDescent="0.15">
      <c r="A893" s="11">
        <v>45484</v>
      </c>
      <c r="B893" s="12" t="s">
        <v>43</v>
      </c>
      <c r="C893" s="12" t="s">
        <v>43</v>
      </c>
      <c r="D893" s="13" t="str">
        <f>HYPERLINK("https://www.marklines.com/en/global/2007","Honda Automobile (Thailand), Ayutthaya Plant")</f>
        <v>Honda Automobile (Thailand), Ayutthaya Plant</v>
      </c>
      <c r="E893" s="12" t="s">
        <v>267</v>
      </c>
      <c r="F893" s="12" t="s">
        <v>60</v>
      </c>
      <c r="G893" s="12" t="s">
        <v>72</v>
      </c>
      <c r="H893" s="12" t="s">
        <v>268</v>
      </c>
      <c r="I893" s="14">
        <v>45481</v>
      </c>
      <c r="J893" s="12" t="s">
        <v>269</v>
      </c>
    </row>
    <row r="894" spans="1:10" s="15" customFormat="1" x14ac:dyDescent="0.15">
      <c r="A894" s="11">
        <v>45484</v>
      </c>
      <c r="B894" s="12" t="s">
        <v>43</v>
      </c>
      <c r="C894" s="12" t="s">
        <v>43</v>
      </c>
      <c r="D894" s="13" t="str">
        <f>HYPERLINK("https://www.marklines.com/en/global/2009","Honda Automobile (Thailand), Prachinburi Plant")</f>
        <v>Honda Automobile (Thailand), Prachinburi Plant</v>
      </c>
      <c r="E894" s="12" t="s">
        <v>270</v>
      </c>
      <c r="F894" s="12" t="s">
        <v>60</v>
      </c>
      <c r="G894" s="12" t="s">
        <v>72</v>
      </c>
      <c r="H894" s="12" t="s">
        <v>271</v>
      </c>
      <c r="I894" s="14">
        <v>45481</v>
      </c>
      <c r="J894" s="12" t="s">
        <v>269</v>
      </c>
    </row>
    <row r="895" spans="1:10" s="15" customFormat="1" x14ac:dyDescent="0.15">
      <c r="A895" s="11">
        <v>45484</v>
      </c>
      <c r="B895" s="12" t="s">
        <v>43</v>
      </c>
      <c r="C895" s="12" t="s">
        <v>43</v>
      </c>
      <c r="D895" s="13" t="str">
        <f>HYPERLINK("https://www.marklines.com/en/global/2003","Honda Automobile (Thailand) Co., Ltd.")</f>
        <v>Honda Automobile (Thailand) Co., Ltd.</v>
      </c>
      <c r="E895" s="12" t="s">
        <v>272</v>
      </c>
      <c r="F895" s="12" t="s">
        <v>60</v>
      </c>
      <c r="G895" s="12" t="s">
        <v>72</v>
      </c>
      <c r="H895" s="12" t="s">
        <v>268</v>
      </c>
      <c r="I895" s="14">
        <v>45481</v>
      </c>
      <c r="J895" s="12" t="s">
        <v>269</v>
      </c>
    </row>
    <row r="896" spans="1:10" s="15" customFormat="1" x14ac:dyDescent="0.15">
      <c r="A896" s="11">
        <v>45484</v>
      </c>
      <c r="B896" s="12" t="s">
        <v>70</v>
      </c>
      <c r="C896" s="12" t="s">
        <v>70</v>
      </c>
      <c r="D896" s="13" t="str">
        <f>HYPERLINK("https://www.marklines.com/en/global/4125","BYD Automobile Industry Co., Ltd., Shenzhen Plant")</f>
        <v>BYD Automobile Industry Co., Ltd., Shenzhen Plant</v>
      </c>
      <c r="E896" s="12" t="s">
        <v>273</v>
      </c>
      <c r="F896" s="12" t="s">
        <v>21</v>
      </c>
      <c r="G896" s="12" t="s">
        <v>47</v>
      </c>
      <c r="H896" s="12" t="s">
        <v>48</v>
      </c>
      <c r="I896" s="14">
        <v>45481</v>
      </c>
      <c r="J896" s="12" t="s">
        <v>274</v>
      </c>
    </row>
    <row r="897" spans="1:10" s="15" customFormat="1" x14ac:dyDescent="0.15">
      <c r="A897" s="11">
        <v>45484</v>
      </c>
      <c r="B897" s="12" t="s">
        <v>275</v>
      </c>
      <c r="C897" s="12" t="s">
        <v>275</v>
      </c>
      <c r="D897" s="13" t="str">
        <f>HYPERLINK("https://www.marklines.com/en/global/9873","Lucid Motors (Lucid Group, Inc.), Casa Grande plant (AMP-1)")</f>
        <v>Lucid Motors (Lucid Group, Inc.), Casa Grande plant (AMP-1)</v>
      </c>
      <c r="E897" s="12" t="s">
        <v>276</v>
      </c>
      <c r="F897" s="12" t="s">
        <v>16</v>
      </c>
      <c r="G897" s="12" t="s">
        <v>17</v>
      </c>
      <c r="H897" s="12" t="s">
        <v>28</v>
      </c>
      <c r="I897" s="14">
        <v>45481</v>
      </c>
      <c r="J897" s="12" t="s">
        <v>277</v>
      </c>
    </row>
    <row r="898" spans="1:10" s="15" customFormat="1" x14ac:dyDescent="0.15">
      <c r="A898" s="11">
        <v>45484</v>
      </c>
      <c r="B898" s="12" t="s">
        <v>78</v>
      </c>
      <c r="C898" s="12" t="s">
        <v>78</v>
      </c>
      <c r="D898" s="13" t="str">
        <f>HYPERLINK("https://www.marklines.com/en/global/2229","Daimler Truck AG/Mercedes-Benz Group AG, Gaggenau Plant")</f>
        <v>Daimler Truck AG/Mercedes-Benz Group AG, Gaggenau Plant</v>
      </c>
      <c r="E898" s="12" t="s">
        <v>278</v>
      </c>
      <c r="F898" s="12" t="s">
        <v>13</v>
      </c>
      <c r="G898" s="12" t="s">
        <v>25</v>
      </c>
      <c r="H898" s="12"/>
      <c r="I898" s="14">
        <v>45478</v>
      </c>
      <c r="J898" s="12" t="s">
        <v>279</v>
      </c>
    </row>
    <row r="899" spans="1:10" s="15" customFormat="1" x14ac:dyDescent="0.15">
      <c r="A899" s="11">
        <v>45484</v>
      </c>
      <c r="B899" s="12" t="s">
        <v>82</v>
      </c>
      <c r="C899" s="12" t="s">
        <v>83</v>
      </c>
      <c r="D899" s="13" t="str">
        <f>HYPERLINK("https://www.marklines.com/en/global/3429","Beijing Foton Daimler Automotive Co., Ltd. (BFDA)")</f>
        <v>Beijing Foton Daimler Automotive Co., Ltd. (BFDA)</v>
      </c>
      <c r="E899" s="12" t="s">
        <v>280</v>
      </c>
      <c r="F899" s="12" t="s">
        <v>21</v>
      </c>
      <c r="G899" s="12" t="s">
        <v>47</v>
      </c>
      <c r="H899" s="12" t="s">
        <v>56</v>
      </c>
      <c r="I899" s="14">
        <v>45478</v>
      </c>
      <c r="J899" s="12" t="s">
        <v>281</v>
      </c>
    </row>
    <row r="900" spans="1:10" s="15" customFormat="1" x14ac:dyDescent="0.15">
      <c r="A900" s="11">
        <v>45484</v>
      </c>
      <c r="B900" s="12" t="s">
        <v>59</v>
      </c>
      <c r="C900" s="12" t="s">
        <v>59</v>
      </c>
      <c r="D900" s="13" t="str">
        <f>HYPERLINK("https://www.marklines.com/en/global/4073","Guangzhou Automobile Group Co., Ltd. (GAC)")</f>
        <v>Guangzhou Automobile Group Co., Ltd. (GAC)</v>
      </c>
      <c r="E900" s="12" t="s">
        <v>97</v>
      </c>
      <c r="F900" s="12" t="s">
        <v>21</v>
      </c>
      <c r="G900" s="12" t="s">
        <v>47</v>
      </c>
      <c r="H900" s="12" t="s">
        <v>48</v>
      </c>
      <c r="I900" s="14">
        <v>45478</v>
      </c>
      <c r="J900" s="12" t="s">
        <v>282</v>
      </c>
    </row>
    <row r="901" spans="1:10" s="15" customFormat="1" x14ac:dyDescent="0.15">
      <c r="A901" s="11">
        <v>45484</v>
      </c>
      <c r="B901" s="12" t="s">
        <v>52</v>
      </c>
      <c r="C901" s="12" t="s">
        <v>283</v>
      </c>
      <c r="D901" s="13" t="str">
        <f>HYPERLINK("https://www.marklines.com/en/global/9839","Guizhou Geely New Energy Automobile Co., Ltd.")</f>
        <v>Guizhou Geely New Energy Automobile Co., Ltd.</v>
      </c>
      <c r="E901" s="12" t="s">
        <v>284</v>
      </c>
      <c r="F901" s="12" t="s">
        <v>21</v>
      </c>
      <c r="G901" s="12" t="s">
        <v>47</v>
      </c>
      <c r="H901" s="12" t="s">
        <v>285</v>
      </c>
      <c r="I901" s="14">
        <v>45478</v>
      </c>
      <c r="J901" s="12" t="s">
        <v>286</v>
      </c>
    </row>
    <row r="902" spans="1:10" s="15" customFormat="1" x14ac:dyDescent="0.15">
      <c r="A902" s="11">
        <v>45484</v>
      </c>
      <c r="B902" s="12" t="s">
        <v>287</v>
      </c>
      <c r="C902" s="12" t="s">
        <v>287</v>
      </c>
      <c r="D902" s="13" t="str">
        <f>HYPERLINK("https://www.marklines.com/en/global/3449","China Changan Automobile Group Co., Ltd. ")</f>
        <v xml:space="preserve">China Changan Automobile Group Co., Ltd. </v>
      </c>
      <c r="E902" s="12" t="s">
        <v>288</v>
      </c>
      <c r="F902" s="12" t="s">
        <v>21</v>
      </c>
      <c r="G902" s="12" t="s">
        <v>47</v>
      </c>
      <c r="H902" s="12" t="s">
        <v>56</v>
      </c>
      <c r="I902" s="14">
        <v>45478</v>
      </c>
      <c r="J902" s="12" t="s">
        <v>289</v>
      </c>
    </row>
    <row r="903" spans="1:10" s="15" customFormat="1" x14ac:dyDescent="0.15">
      <c r="A903" s="11">
        <v>45484</v>
      </c>
      <c r="B903" s="12" t="s">
        <v>290</v>
      </c>
      <c r="C903" s="12" t="s">
        <v>290</v>
      </c>
      <c r="D903" s="13" t="str">
        <f>HYPERLINK("https://www.marklines.com/en/global/4133","Dongfeng Honda Auto Parts Co., Ltd.  ")</f>
        <v xml:space="preserve">Dongfeng Honda Auto Parts Co., Ltd.  </v>
      </c>
      <c r="E903" s="12" t="s">
        <v>291</v>
      </c>
      <c r="F903" s="12" t="s">
        <v>21</v>
      </c>
      <c r="G903" s="12" t="s">
        <v>47</v>
      </c>
      <c r="H903" s="12" t="s">
        <v>48</v>
      </c>
      <c r="I903" s="14">
        <v>45478</v>
      </c>
      <c r="J903" s="12" t="s">
        <v>292</v>
      </c>
    </row>
    <row r="904" spans="1:10" s="15" customFormat="1" x14ac:dyDescent="0.15">
      <c r="A904" s="11">
        <v>45484</v>
      </c>
      <c r="B904" s="12" t="s">
        <v>290</v>
      </c>
      <c r="C904" s="12" t="s">
        <v>290</v>
      </c>
      <c r="D904" s="13" t="str">
        <f>HYPERLINK("https://www.marklines.com/en/global/10679","Zhixin Technology Co., Ltd.")</f>
        <v>Zhixin Technology Co., Ltd.</v>
      </c>
      <c r="E904" s="12" t="s">
        <v>293</v>
      </c>
      <c r="F904" s="12" t="s">
        <v>21</v>
      </c>
      <c r="G904" s="12" t="s">
        <v>47</v>
      </c>
      <c r="H904" s="12" t="s">
        <v>294</v>
      </c>
      <c r="I904" s="14">
        <v>45478</v>
      </c>
      <c r="J904" s="12" t="s">
        <v>292</v>
      </c>
    </row>
    <row r="905" spans="1:10" s="15" customFormat="1" x14ac:dyDescent="0.15">
      <c r="A905" s="11">
        <v>45484</v>
      </c>
      <c r="B905" s="12" t="s">
        <v>290</v>
      </c>
      <c r="C905" s="12" t="s">
        <v>290</v>
      </c>
      <c r="D905" s="13" t="str">
        <f>HYPERLINK("https://www.marklines.com/en/global/3971","Dongfeng Motor Corporation ")</f>
        <v xml:space="preserve">Dongfeng Motor Corporation </v>
      </c>
      <c r="E905" s="12" t="s">
        <v>295</v>
      </c>
      <c r="F905" s="12" t="s">
        <v>21</v>
      </c>
      <c r="G905" s="12" t="s">
        <v>47</v>
      </c>
      <c r="H905" s="12" t="s">
        <v>294</v>
      </c>
      <c r="I905" s="14">
        <v>45478</v>
      </c>
      <c r="J905" s="12" t="s">
        <v>292</v>
      </c>
    </row>
    <row r="906" spans="1:10" s="15" customFormat="1" x14ac:dyDescent="0.15">
      <c r="A906" s="11">
        <v>45484</v>
      </c>
      <c r="B906" s="12" t="s">
        <v>38</v>
      </c>
      <c r="C906" s="12" t="s">
        <v>264</v>
      </c>
      <c r="D906" s="13" t="str">
        <f>HYPERLINK("https://www.marklines.com/en/global/10409","Zavolzhsky Motor Plant (ZMZ), Sollers Group")</f>
        <v>Zavolzhsky Motor Plant (ZMZ), Sollers Group</v>
      </c>
      <c r="E906" s="12" t="s">
        <v>296</v>
      </c>
      <c r="F906" s="12" t="s">
        <v>61</v>
      </c>
      <c r="G906" s="12" t="s">
        <v>235</v>
      </c>
      <c r="H906" s="12"/>
      <c r="I906" s="14">
        <v>45477</v>
      </c>
      <c r="J906" s="12" t="s">
        <v>297</v>
      </c>
    </row>
    <row r="907" spans="1:10" s="15" customFormat="1" x14ac:dyDescent="0.15">
      <c r="A907" s="11">
        <v>45484</v>
      </c>
      <c r="B907" s="12" t="s">
        <v>38</v>
      </c>
      <c r="C907" s="12" t="s">
        <v>264</v>
      </c>
      <c r="D907" s="13" t="str">
        <f>HYPERLINK("https://www.marklines.com/en/global/687","Sollers-Yelabuga OOO, Yelabuga Plant")</f>
        <v>Sollers-Yelabuga OOO, Yelabuga Plant</v>
      </c>
      <c r="E907" s="12" t="s">
        <v>298</v>
      </c>
      <c r="F907" s="12" t="s">
        <v>61</v>
      </c>
      <c r="G907" s="12" t="s">
        <v>235</v>
      </c>
      <c r="H907" s="12"/>
      <c r="I907" s="14">
        <v>45477</v>
      </c>
      <c r="J907" s="12" t="s">
        <v>297</v>
      </c>
    </row>
    <row r="908" spans="1:10" s="15" customFormat="1" x14ac:dyDescent="0.15">
      <c r="A908" s="11">
        <v>45484</v>
      </c>
      <c r="B908" s="12" t="s">
        <v>38</v>
      </c>
      <c r="C908" s="12" t="s">
        <v>264</v>
      </c>
      <c r="D908" s="13" t="str">
        <f>HYPERLINK("https://www.marklines.com/en/global/799","OAO UAZ (Ulyanovsky Avtomobilny Zavod), Ulyanovsk Plant")</f>
        <v>OAO UAZ (Ulyanovsky Avtomobilny Zavod), Ulyanovsk Plant</v>
      </c>
      <c r="E908" s="12" t="s">
        <v>299</v>
      </c>
      <c r="F908" s="12" t="s">
        <v>61</v>
      </c>
      <c r="G908" s="12" t="s">
        <v>235</v>
      </c>
      <c r="H908" s="12"/>
      <c r="I908" s="14">
        <v>45477</v>
      </c>
      <c r="J908" s="12" t="s">
        <v>297</v>
      </c>
    </row>
    <row r="909" spans="1:10" s="15" customFormat="1" x14ac:dyDescent="0.15">
      <c r="A909" s="11">
        <v>45483</v>
      </c>
      <c r="B909" s="12" t="s">
        <v>300</v>
      </c>
      <c r="C909" s="12" t="s">
        <v>301</v>
      </c>
      <c r="D909" s="13" t="str">
        <f>HYPERLINK("https://www.marklines.com/en/global/1103","Ashok Leyland, Hosur Plant")</f>
        <v>Ashok Leyland, Hosur Plant</v>
      </c>
      <c r="E909" s="12" t="s">
        <v>302</v>
      </c>
      <c r="F909" s="12" t="s">
        <v>36</v>
      </c>
      <c r="G909" s="12" t="s">
        <v>37</v>
      </c>
      <c r="H909" s="12" t="s">
        <v>84</v>
      </c>
      <c r="I909" s="14">
        <v>45483</v>
      </c>
      <c r="J909" s="12" t="s">
        <v>303</v>
      </c>
    </row>
    <row r="910" spans="1:10" s="15" customFormat="1" x14ac:dyDescent="0.15">
      <c r="A910" s="11">
        <v>45483</v>
      </c>
      <c r="B910" s="12" t="s">
        <v>38</v>
      </c>
      <c r="C910" s="12" t="s">
        <v>264</v>
      </c>
      <c r="D910" s="13" t="str">
        <f>HYPERLINK("https://www.marklines.com/en/global/10409","Zavolzhsky Motor Plant (ZMZ), Sollers Group")</f>
        <v>Zavolzhsky Motor Plant (ZMZ), Sollers Group</v>
      </c>
      <c r="E910" s="12" t="s">
        <v>296</v>
      </c>
      <c r="F910" s="12" t="s">
        <v>61</v>
      </c>
      <c r="G910" s="12" t="s">
        <v>235</v>
      </c>
      <c r="H910" s="12"/>
      <c r="I910" s="14">
        <v>45482</v>
      </c>
      <c r="J910" s="12" t="s">
        <v>304</v>
      </c>
    </row>
    <row r="911" spans="1:10" s="15" customFormat="1" x14ac:dyDescent="0.15">
      <c r="A911" s="11">
        <v>45483</v>
      </c>
      <c r="B911" s="12" t="s">
        <v>38</v>
      </c>
      <c r="C911" s="12" t="s">
        <v>264</v>
      </c>
      <c r="D911" s="13" t="str">
        <f>HYPERLINK("https://www.marklines.com/en/global/687","Sollers-Yelabuga OOO, Yelabuga Plant")</f>
        <v>Sollers-Yelabuga OOO, Yelabuga Plant</v>
      </c>
      <c r="E911" s="12" t="s">
        <v>298</v>
      </c>
      <c r="F911" s="12" t="s">
        <v>61</v>
      </c>
      <c r="G911" s="12" t="s">
        <v>235</v>
      </c>
      <c r="H911" s="12"/>
      <c r="I911" s="14">
        <v>45482</v>
      </c>
      <c r="J911" s="12" t="s">
        <v>304</v>
      </c>
    </row>
    <row r="912" spans="1:10" s="15" customFormat="1" x14ac:dyDescent="0.15">
      <c r="A912" s="11">
        <v>45483</v>
      </c>
      <c r="B912" s="12" t="s">
        <v>38</v>
      </c>
      <c r="C912" s="12" t="s">
        <v>264</v>
      </c>
      <c r="D912" s="13" t="str">
        <f>HYPERLINK("https://www.marklines.com/en/global/799","OAO UAZ (Ulyanovsky Avtomobilny Zavod), Ulyanovsk Plant")</f>
        <v>OAO UAZ (Ulyanovsky Avtomobilny Zavod), Ulyanovsk Plant</v>
      </c>
      <c r="E912" s="12" t="s">
        <v>299</v>
      </c>
      <c r="F912" s="12" t="s">
        <v>61</v>
      </c>
      <c r="G912" s="12" t="s">
        <v>235</v>
      </c>
      <c r="H912" s="12"/>
      <c r="I912" s="14">
        <v>45482</v>
      </c>
      <c r="J912" s="12" t="s">
        <v>304</v>
      </c>
    </row>
    <row r="913" spans="1:10" s="15" customFormat="1" x14ac:dyDescent="0.15">
      <c r="A913" s="11">
        <v>45483</v>
      </c>
      <c r="B913" s="12" t="s">
        <v>49</v>
      </c>
      <c r="C913" s="12" t="s">
        <v>86</v>
      </c>
      <c r="D913" s="13" t="str">
        <f>HYPERLINK("https://www.marklines.com/en/global/9216","Volkswagen Poznan Sp. z o.o., Wrzesnia Plant")</f>
        <v>Volkswagen Poznan Sp. z o.o., Wrzesnia Plant</v>
      </c>
      <c r="E913" s="12" t="s">
        <v>305</v>
      </c>
      <c r="F913" s="12" t="s">
        <v>61</v>
      </c>
      <c r="G913" s="12" t="s">
        <v>306</v>
      </c>
      <c r="H913" s="12"/>
      <c r="I913" s="14">
        <v>45482</v>
      </c>
      <c r="J913" s="12" t="s">
        <v>307</v>
      </c>
    </row>
    <row r="914" spans="1:10" s="15" customFormat="1" x14ac:dyDescent="0.15">
      <c r="A914" s="11">
        <v>45483</v>
      </c>
      <c r="B914" s="12" t="s">
        <v>49</v>
      </c>
      <c r="C914" s="12" t="s">
        <v>98</v>
      </c>
      <c r="D914" s="13" t="str">
        <f>HYPERLINK("https://www.marklines.com/en/global/1514","Audi Brussels S.A./N.V., Brussels (Forest) Plant")</f>
        <v>Audi Brussels S.A./N.V., Brussels (Forest) Plant</v>
      </c>
      <c r="E914" s="12" t="s">
        <v>250</v>
      </c>
      <c r="F914" s="12" t="s">
        <v>13</v>
      </c>
      <c r="G914" s="12" t="s">
        <v>251</v>
      </c>
      <c r="H914" s="12"/>
      <c r="I914" s="14">
        <v>45482</v>
      </c>
      <c r="J914" s="12" t="s">
        <v>308</v>
      </c>
    </row>
    <row r="915" spans="1:10" s="15" customFormat="1" x14ac:dyDescent="0.15">
      <c r="A915" s="11">
        <v>45483</v>
      </c>
      <c r="B915" s="12" t="s">
        <v>88</v>
      </c>
      <c r="C915" s="12" t="s">
        <v>88</v>
      </c>
      <c r="D915" s="13" t="str">
        <f>HYPERLINK("https://www.marklines.com/en/global/9563","Mazda Toyota Manufacturing, USA, Inc. (MTMUS), Huntsville Plant")</f>
        <v>Mazda Toyota Manufacturing, USA, Inc. (MTMUS), Huntsville Plant</v>
      </c>
      <c r="E915" s="12" t="s">
        <v>309</v>
      </c>
      <c r="F915" s="12" t="s">
        <v>16</v>
      </c>
      <c r="G915" s="12" t="s">
        <v>17</v>
      </c>
      <c r="H915" s="12" t="s">
        <v>310</v>
      </c>
      <c r="I915" s="14">
        <v>45482</v>
      </c>
      <c r="J915" s="12" t="s">
        <v>311</v>
      </c>
    </row>
    <row r="916" spans="1:10" s="15" customFormat="1" x14ac:dyDescent="0.15">
      <c r="A916" s="11">
        <v>45483</v>
      </c>
      <c r="B916" s="12" t="s">
        <v>15</v>
      </c>
      <c r="C916" s="12" t="s">
        <v>15</v>
      </c>
      <c r="D916" s="13" t="str">
        <f>HYPERLINK("https://www.marklines.com/en/global/10759","Ford, BlueOval Battery Park Michigan")</f>
        <v>Ford, BlueOval Battery Park Michigan</v>
      </c>
      <c r="E916" s="12" t="s">
        <v>312</v>
      </c>
      <c r="F916" s="12" t="s">
        <v>16</v>
      </c>
      <c r="G916" s="12" t="s">
        <v>17</v>
      </c>
      <c r="H916" s="12" t="s">
        <v>19</v>
      </c>
      <c r="I916" s="14">
        <v>45482</v>
      </c>
      <c r="J916" s="12" t="s">
        <v>313</v>
      </c>
    </row>
    <row r="917" spans="1:10" s="15" customFormat="1" x14ac:dyDescent="0.15">
      <c r="A917" s="11">
        <v>45483</v>
      </c>
      <c r="B917" s="12" t="s">
        <v>314</v>
      </c>
      <c r="C917" s="12" t="s">
        <v>314</v>
      </c>
      <c r="D917" s="13" t="str">
        <f>HYPERLINK("https://www.marklines.com/en/global/1256","Maruti Suzuki India Ltd. (MSIL), Hansalpur plant (former Suzuki Motor Gujarat Private Limited (SMG))")</f>
        <v>Maruti Suzuki India Ltd. (MSIL), Hansalpur plant (former Suzuki Motor Gujarat Private Limited (SMG))</v>
      </c>
      <c r="E917" s="12" t="s">
        <v>315</v>
      </c>
      <c r="F917" s="12" t="s">
        <v>36</v>
      </c>
      <c r="G917" s="12" t="s">
        <v>37</v>
      </c>
      <c r="H917" s="12" t="s">
        <v>248</v>
      </c>
      <c r="I917" s="14">
        <v>45481</v>
      </c>
      <c r="J917" s="12" t="s">
        <v>316</v>
      </c>
    </row>
    <row r="918" spans="1:10" s="15" customFormat="1" x14ac:dyDescent="0.15">
      <c r="A918" s="11">
        <v>45483</v>
      </c>
      <c r="B918" s="12" t="s">
        <v>314</v>
      </c>
      <c r="C918" s="12" t="s">
        <v>314</v>
      </c>
      <c r="D918" s="13" t="str">
        <f>HYPERLINK("https://www.marklines.com/en/global/1251","Maruti Suzuki India Ltd. (MSIL)")</f>
        <v>Maruti Suzuki India Ltd. (MSIL)</v>
      </c>
      <c r="E918" s="12" t="s">
        <v>317</v>
      </c>
      <c r="F918" s="12" t="s">
        <v>36</v>
      </c>
      <c r="G918" s="12" t="s">
        <v>37</v>
      </c>
      <c r="H918" s="12" t="s">
        <v>318</v>
      </c>
      <c r="I918" s="14">
        <v>45481</v>
      </c>
      <c r="J918" s="12" t="s">
        <v>316</v>
      </c>
    </row>
    <row r="919" spans="1:10" s="15" customFormat="1" x14ac:dyDescent="0.15">
      <c r="A919" s="11">
        <v>45483</v>
      </c>
      <c r="B919" s="12" t="s">
        <v>314</v>
      </c>
      <c r="C919" s="12" t="s">
        <v>314</v>
      </c>
      <c r="D919" s="13" t="str">
        <f>HYPERLINK("https://www.marklines.com/en/global/1255","Maruti Suzuki India Ltd. (MSIL), Manesar Plant")</f>
        <v>Maruti Suzuki India Ltd. (MSIL), Manesar Plant</v>
      </c>
      <c r="E919" s="12" t="s">
        <v>319</v>
      </c>
      <c r="F919" s="12" t="s">
        <v>36</v>
      </c>
      <c r="G919" s="12" t="s">
        <v>37</v>
      </c>
      <c r="H919" s="12" t="s">
        <v>320</v>
      </c>
      <c r="I919" s="14">
        <v>45481</v>
      </c>
      <c r="J919" s="12" t="s">
        <v>316</v>
      </c>
    </row>
    <row r="920" spans="1:10" s="15" customFormat="1" x14ac:dyDescent="0.15">
      <c r="A920" s="11">
        <v>45483</v>
      </c>
      <c r="B920" s="12" t="s">
        <v>314</v>
      </c>
      <c r="C920" s="12" t="s">
        <v>314</v>
      </c>
      <c r="D920" s="13" t="str">
        <f>HYPERLINK("https://www.marklines.com/en/global/1253","Maruti Suzuki India Ltd. (MSIL), Gurgaon Plant")</f>
        <v>Maruti Suzuki India Ltd. (MSIL), Gurgaon Plant</v>
      </c>
      <c r="E920" s="12" t="s">
        <v>321</v>
      </c>
      <c r="F920" s="12" t="s">
        <v>36</v>
      </c>
      <c r="G920" s="12" t="s">
        <v>37</v>
      </c>
      <c r="H920" s="12" t="s">
        <v>320</v>
      </c>
      <c r="I920" s="14">
        <v>45481</v>
      </c>
      <c r="J920" s="12" t="s">
        <v>316</v>
      </c>
    </row>
    <row r="921" spans="1:10" s="15" customFormat="1" x14ac:dyDescent="0.15">
      <c r="A921" s="11">
        <v>45483</v>
      </c>
      <c r="B921" s="12" t="s">
        <v>52</v>
      </c>
      <c r="C921" s="12" t="s">
        <v>322</v>
      </c>
      <c r="D921" s="13" t="str">
        <f>HYPERLINK("https://www.marklines.com/en/global/9324","Volvo Cars, Ridgeville Plant")</f>
        <v>Volvo Cars, Ridgeville Plant</v>
      </c>
      <c r="E921" s="12" t="s">
        <v>323</v>
      </c>
      <c r="F921" s="12" t="s">
        <v>16</v>
      </c>
      <c r="G921" s="12" t="s">
        <v>17</v>
      </c>
      <c r="H921" s="12" t="s">
        <v>324</v>
      </c>
      <c r="I921" s="14">
        <v>45471</v>
      </c>
      <c r="J921" s="12" t="s">
        <v>325</v>
      </c>
    </row>
    <row r="922" spans="1:10" s="15" customFormat="1" x14ac:dyDescent="0.15">
      <c r="A922" s="11">
        <v>45482</v>
      </c>
      <c r="B922" s="12" t="s">
        <v>243</v>
      </c>
      <c r="C922" s="12" t="s">
        <v>326</v>
      </c>
      <c r="D922" s="13" t="str">
        <f>HYPERLINK("https://www.marklines.com/en/global/10303","Mack Trucks Roanoke Valley Operations (RVO)")</f>
        <v>Mack Trucks Roanoke Valley Operations (RVO)</v>
      </c>
      <c r="E922" s="12" t="s">
        <v>327</v>
      </c>
      <c r="F922" s="12" t="s">
        <v>16</v>
      </c>
      <c r="G922" s="12" t="s">
        <v>17</v>
      </c>
      <c r="H922" s="12" t="s">
        <v>328</v>
      </c>
      <c r="I922" s="14">
        <v>45482</v>
      </c>
      <c r="J922" s="12" t="s">
        <v>329</v>
      </c>
    </row>
    <row r="923" spans="1:10" s="15" customFormat="1" x14ac:dyDescent="0.15">
      <c r="A923" s="11">
        <v>45482</v>
      </c>
      <c r="B923" s="12" t="s">
        <v>11</v>
      </c>
      <c r="C923" s="12" t="s">
        <v>11</v>
      </c>
      <c r="D923" s="13" t="str">
        <f>HYPERLINK("https://www.marklines.com/en/global/1375","Stellantis Europe SpA, Atessa Plant (formerly Sevel S.p.A., Val di Sangro (Atessa) Plant)")</f>
        <v>Stellantis Europe SpA, Atessa Plant (formerly Sevel S.p.A., Val di Sangro (Atessa) Plant)</v>
      </c>
      <c r="E923" s="12" t="s">
        <v>330</v>
      </c>
      <c r="F923" s="12" t="s">
        <v>13</v>
      </c>
      <c r="G923" s="12" t="s">
        <v>216</v>
      </c>
      <c r="H923" s="12"/>
      <c r="I923" s="14">
        <v>45481</v>
      </c>
      <c r="J923" s="12" t="s">
        <v>331</v>
      </c>
    </row>
    <row r="924" spans="1:10" s="15" customFormat="1" x14ac:dyDescent="0.15">
      <c r="A924" s="11">
        <v>45482</v>
      </c>
      <c r="B924" s="12" t="s">
        <v>11</v>
      </c>
      <c r="C924" s="12" t="s">
        <v>11</v>
      </c>
      <c r="D924" s="13" t="str">
        <f>HYPERLINK("https://www.marklines.com/en/global/1325","Stellantis, FCA Italy, Melfi (Basilicata) Plant")</f>
        <v>Stellantis, FCA Italy, Melfi (Basilicata) Plant</v>
      </c>
      <c r="E924" s="12" t="s">
        <v>332</v>
      </c>
      <c r="F924" s="12" t="s">
        <v>13</v>
      </c>
      <c r="G924" s="12" t="s">
        <v>216</v>
      </c>
      <c r="H924" s="12"/>
      <c r="I924" s="14">
        <v>45481</v>
      </c>
      <c r="J924" s="12" t="s">
        <v>333</v>
      </c>
    </row>
    <row r="925" spans="1:10" s="15" customFormat="1" x14ac:dyDescent="0.15">
      <c r="A925" s="11">
        <v>45482</v>
      </c>
      <c r="B925" s="12" t="s">
        <v>11</v>
      </c>
      <c r="C925" s="12" t="s">
        <v>11</v>
      </c>
      <c r="D925" s="13" t="str">
        <f>HYPERLINK("https://www.marklines.com/en/global/1323","Stellantis, FCA Italy, Cassino Plant")</f>
        <v>Stellantis, FCA Italy, Cassino Plant</v>
      </c>
      <c r="E925" s="12" t="s">
        <v>334</v>
      </c>
      <c r="F925" s="12" t="s">
        <v>13</v>
      </c>
      <c r="G925" s="12" t="s">
        <v>216</v>
      </c>
      <c r="H925" s="12"/>
      <c r="I925" s="14">
        <v>45481</v>
      </c>
      <c r="J925" s="12" t="s">
        <v>335</v>
      </c>
    </row>
    <row r="926" spans="1:10" s="15" customFormat="1" x14ac:dyDescent="0.15">
      <c r="A926" s="11">
        <v>45482</v>
      </c>
      <c r="B926" s="12" t="s">
        <v>11</v>
      </c>
      <c r="C926" s="12" t="s">
        <v>11</v>
      </c>
      <c r="D926" s="13" t="str">
        <f>HYPERLINK("https://www.marklines.com/en/global/1329","Stellantis, FCA Italy, Giambattista Vico (Pomigliano d'Arco) Plant")</f>
        <v>Stellantis, FCA Italy, Giambattista Vico (Pomigliano d'Arco) Plant</v>
      </c>
      <c r="E926" s="12" t="s">
        <v>336</v>
      </c>
      <c r="F926" s="12" t="s">
        <v>13</v>
      </c>
      <c r="G926" s="12" t="s">
        <v>216</v>
      </c>
      <c r="H926" s="12"/>
      <c r="I926" s="14">
        <v>45481</v>
      </c>
      <c r="J926" s="12" t="s">
        <v>337</v>
      </c>
    </row>
    <row r="927" spans="1:10" s="15" customFormat="1" x14ac:dyDescent="0.15">
      <c r="A927" s="11">
        <v>45482</v>
      </c>
      <c r="B927" s="12" t="s">
        <v>11</v>
      </c>
      <c r="C927" s="12" t="s">
        <v>11</v>
      </c>
      <c r="D927" s="13" t="str">
        <f>HYPERLINK("https://www.marklines.com/en/global/1361","Stellantis, Maserati S.p.A., Modena Plant")</f>
        <v>Stellantis, Maserati S.p.A., Modena Plant</v>
      </c>
      <c r="E927" s="12" t="s">
        <v>338</v>
      </c>
      <c r="F927" s="12" t="s">
        <v>13</v>
      </c>
      <c r="G927" s="12" t="s">
        <v>216</v>
      </c>
      <c r="H927" s="12"/>
      <c r="I927" s="14">
        <v>45481</v>
      </c>
      <c r="J927" s="12" t="s">
        <v>339</v>
      </c>
    </row>
    <row r="928" spans="1:10" s="15" customFormat="1" x14ac:dyDescent="0.15">
      <c r="A928" s="11">
        <v>45482</v>
      </c>
      <c r="B928" s="12" t="s">
        <v>11</v>
      </c>
      <c r="C928" s="12" t="s">
        <v>11</v>
      </c>
      <c r="D928" s="13" t="str">
        <f>HYPERLINK("https://www.marklines.com/en/global/1327","Stellantis, FCA Italy, Mirafiori (Turin) Plant")</f>
        <v>Stellantis, FCA Italy, Mirafiori (Turin) Plant</v>
      </c>
      <c r="E928" s="12" t="s">
        <v>218</v>
      </c>
      <c r="F928" s="12" t="s">
        <v>13</v>
      </c>
      <c r="G928" s="12" t="s">
        <v>216</v>
      </c>
      <c r="H928" s="12"/>
      <c r="I928" s="14">
        <v>45481</v>
      </c>
      <c r="J928" s="12" t="s">
        <v>340</v>
      </c>
    </row>
    <row r="929" spans="1:10" s="15" customFormat="1" x14ac:dyDescent="0.15">
      <c r="A929" s="11">
        <v>45482</v>
      </c>
      <c r="B929" s="12" t="s">
        <v>55</v>
      </c>
      <c r="C929" s="12" t="s">
        <v>74</v>
      </c>
      <c r="D929" s="13" t="str">
        <f>HYPERLINK("https://www.marklines.com/en/global/10395","ADM-Jizzakh (Lada)")</f>
        <v>ADM-Jizzakh (Lada)</v>
      </c>
      <c r="E929" s="12" t="s">
        <v>186</v>
      </c>
      <c r="F929" s="12" t="s">
        <v>61</v>
      </c>
      <c r="G929" s="12" t="s">
        <v>148</v>
      </c>
      <c r="H929" s="12"/>
      <c r="I929" s="14">
        <v>45481</v>
      </c>
      <c r="J929" s="12" t="s">
        <v>341</v>
      </c>
    </row>
    <row r="930" spans="1:10" s="15" customFormat="1" x14ac:dyDescent="0.15">
      <c r="A930" s="11">
        <v>45482</v>
      </c>
      <c r="B930" s="12" t="s">
        <v>38</v>
      </c>
      <c r="C930" s="12" t="s">
        <v>38</v>
      </c>
      <c r="D930" s="13" t="str">
        <f>HYPERLINK("https://www.marklines.com/en/global/817","AGR Automotive Plant, Kaluga (formerly OOO Volkswagen Russia)")</f>
        <v>AGR Automotive Plant, Kaluga (formerly OOO Volkswagen Russia)</v>
      </c>
      <c r="E930" s="12" t="s">
        <v>342</v>
      </c>
      <c r="F930" s="12" t="s">
        <v>61</v>
      </c>
      <c r="G930" s="12" t="s">
        <v>235</v>
      </c>
      <c r="H930" s="12"/>
      <c r="I930" s="14">
        <v>45481</v>
      </c>
      <c r="J930" s="12" t="s">
        <v>343</v>
      </c>
    </row>
    <row r="931" spans="1:10" s="15" customFormat="1" x14ac:dyDescent="0.15">
      <c r="A931" s="11">
        <v>45482</v>
      </c>
      <c r="B931" s="12" t="s">
        <v>300</v>
      </c>
      <c r="C931" s="12" t="s">
        <v>301</v>
      </c>
      <c r="D931" s="13" t="str">
        <f>HYPERLINK("https://www.marklines.com/en/global/10478","Switch Mobility Limited, Advanced Manufacturing and Technology Centre (Valladolid)")</f>
        <v>Switch Mobility Limited, Advanced Manufacturing and Technology Centre (Valladolid)</v>
      </c>
      <c r="E931" s="12" t="s">
        <v>344</v>
      </c>
      <c r="F931" s="12" t="s">
        <v>13</v>
      </c>
      <c r="G931" s="12" t="s">
        <v>14</v>
      </c>
      <c r="H931" s="12"/>
      <c r="I931" s="14">
        <v>45481</v>
      </c>
      <c r="J931" s="12" t="s">
        <v>345</v>
      </c>
    </row>
    <row r="932" spans="1:10" s="15" customFormat="1" x14ac:dyDescent="0.15">
      <c r="A932" s="11">
        <v>45482</v>
      </c>
      <c r="B932" s="12" t="s">
        <v>275</v>
      </c>
      <c r="C932" s="12" t="s">
        <v>275</v>
      </c>
      <c r="D932" s="13" t="str">
        <f>HYPERLINK("https://www.marklines.com/en/global/9873","Lucid Motors (Lucid Group, Inc.), Casa Grande plant (AMP-1)")</f>
        <v>Lucid Motors (Lucid Group, Inc.), Casa Grande plant (AMP-1)</v>
      </c>
      <c r="E932" s="12" t="s">
        <v>276</v>
      </c>
      <c r="F932" s="12" t="s">
        <v>16</v>
      </c>
      <c r="G932" s="12" t="s">
        <v>17</v>
      </c>
      <c r="H932" s="12" t="s">
        <v>28</v>
      </c>
      <c r="I932" s="14">
        <v>45481</v>
      </c>
      <c r="J932" s="12" t="s">
        <v>346</v>
      </c>
    </row>
    <row r="933" spans="1:10" s="15" customFormat="1" x14ac:dyDescent="0.15">
      <c r="A933" s="11">
        <v>45482</v>
      </c>
      <c r="B933" s="12" t="s">
        <v>23</v>
      </c>
      <c r="C933" s="12" t="s">
        <v>23</v>
      </c>
      <c r="D933" s="13" t="str">
        <f>HYPERLINK("https://www.marklines.com/en/global/4512","Tesla Gigafactory Nevada")</f>
        <v>Tesla Gigafactory Nevada</v>
      </c>
      <c r="E933" s="12" t="s">
        <v>347</v>
      </c>
      <c r="F933" s="12" t="s">
        <v>16</v>
      </c>
      <c r="G933" s="12" t="s">
        <v>17</v>
      </c>
      <c r="H933" s="12" t="s">
        <v>348</v>
      </c>
      <c r="I933" s="14">
        <v>45480</v>
      </c>
      <c r="J933" s="12" t="s">
        <v>349</v>
      </c>
    </row>
    <row r="934" spans="1:10" s="15" customFormat="1" x14ac:dyDescent="0.15">
      <c r="A934" s="11">
        <v>45482</v>
      </c>
      <c r="B934" s="12" t="s">
        <v>46</v>
      </c>
      <c r="C934" s="12" t="s">
        <v>46</v>
      </c>
      <c r="D934" s="13" t="str">
        <f>HYPERLINK("https://www.marklines.com/en/global/9485","Guangzhou Xiaopeng Motors Technology Co., Ltd. ")</f>
        <v xml:space="preserve">Guangzhou Xiaopeng Motors Technology Co., Ltd. </v>
      </c>
      <c r="E934" s="12" t="s">
        <v>350</v>
      </c>
      <c r="F934" s="12" t="s">
        <v>21</v>
      </c>
      <c r="G934" s="12" t="s">
        <v>47</v>
      </c>
      <c r="H934" s="12" t="s">
        <v>48</v>
      </c>
      <c r="I934" s="14">
        <v>45477</v>
      </c>
      <c r="J934" s="12" t="s">
        <v>351</v>
      </c>
    </row>
    <row r="935" spans="1:10" s="15" customFormat="1" x14ac:dyDescent="0.15">
      <c r="A935" s="11">
        <v>45482</v>
      </c>
      <c r="B935" s="12" t="s">
        <v>38</v>
      </c>
      <c r="C935" s="12" t="s">
        <v>352</v>
      </c>
      <c r="D935" s="13" t="str">
        <f>HYPERLINK("https://www.marklines.com/en/global/3749","Nanjing Golden Dragon Bus Co., Ltd.")</f>
        <v>Nanjing Golden Dragon Bus Co., Ltd.</v>
      </c>
      <c r="E935" s="12" t="s">
        <v>353</v>
      </c>
      <c r="F935" s="12" t="s">
        <v>21</v>
      </c>
      <c r="G935" s="12" t="s">
        <v>47</v>
      </c>
      <c r="H935" s="12" t="s">
        <v>354</v>
      </c>
      <c r="I935" s="14">
        <v>45471</v>
      </c>
      <c r="J935" s="12" t="s">
        <v>355</v>
      </c>
    </row>
    <row r="936" spans="1:10" s="15" customFormat="1" x14ac:dyDescent="0.15">
      <c r="A936" s="11">
        <v>45481</v>
      </c>
      <c r="B936" s="12" t="s">
        <v>38</v>
      </c>
      <c r="C936" s="12" t="s">
        <v>356</v>
      </c>
      <c r="D936" s="13" t="str">
        <f>HYPERLINK("https://www.marklines.com/en/global/803","JSC UralAZ (Ural Avtomobilny Zavod), Chelyabinsk Plant")</f>
        <v>JSC UralAZ (Ural Avtomobilny Zavod), Chelyabinsk Plant</v>
      </c>
      <c r="E936" s="12" t="s">
        <v>357</v>
      </c>
      <c r="F936" s="12" t="s">
        <v>61</v>
      </c>
      <c r="G936" s="12" t="s">
        <v>235</v>
      </c>
      <c r="H936" s="12"/>
      <c r="I936" s="14">
        <v>45481</v>
      </c>
      <c r="J936" s="12" t="s">
        <v>358</v>
      </c>
    </row>
    <row r="937" spans="1:10" s="15" customFormat="1" x14ac:dyDescent="0.15">
      <c r="A937" s="11">
        <v>45481</v>
      </c>
      <c r="B937" s="12" t="s">
        <v>359</v>
      </c>
      <c r="C937" s="12" t="s">
        <v>360</v>
      </c>
      <c r="D937" s="13" t="str">
        <f>HYPERLINK("https://www.marklines.com/en/global/9105","Xinyuan Automobile Co., Ltd. (formerly Brilliance Xinyuan Chongqing Automobile Co., Ltd.)")</f>
        <v>Xinyuan Automobile Co., Ltd. (formerly Brilliance Xinyuan Chongqing Automobile Co., Ltd.)</v>
      </c>
      <c r="E937" s="12" t="s">
        <v>361</v>
      </c>
      <c r="F937" s="12" t="s">
        <v>21</v>
      </c>
      <c r="G937" s="12" t="s">
        <v>47</v>
      </c>
      <c r="H937" s="12" t="s">
        <v>362</v>
      </c>
      <c r="I937" s="14">
        <v>45481</v>
      </c>
      <c r="J937" s="12" t="s">
        <v>363</v>
      </c>
    </row>
    <row r="938" spans="1:10" s="15" customFormat="1" x14ac:dyDescent="0.15">
      <c r="A938" s="11">
        <v>45481</v>
      </c>
      <c r="B938" s="12" t="s">
        <v>364</v>
      </c>
      <c r="C938" s="12" t="s">
        <v>364</v>
      </c>
      <c r="D938" s="13" t="str">
        <f>HYPERLINK("https://www.marklines.com/en/global/10385","Sokolnichesky Carriage Repair and Construction Plant (SVARZ)")</f>
        <v>Sokolnichesky Carriage Repair and Construction Plant (SVARZ)</v>
      </c>
      <c r="E938" s="12" t="s">
        <v>365</v>
      </c>
      <c r="F938" s="12" t="s">
        <v>61</v>
      </c>
      <c r="G938" s="12" t="s">
        <v>235</v>
      </c>
      <c r="H938" s="12"/>
      <c r="I938" s="14">
        <v>45481</v>
      </c>
      <c r="J938" s="12" t="s">
        <v>366</v>
      </c>
    </row>
    <row r="939" spans="1:10" s="15" customFormat="1" x14ac:dyDescent="0.15">
      <c r="A939" s="11">
        <v>45481</v>
      </c>
      <c r="B939" s="12" t="s">
        <v>364</v>
      </c>
      <c r="C939" s="12" t="s">
        <v>364</v>
      </c>
      <c r="D939" s="13" t="str">
        <f>HYPERLINK("https://www.marklines.com/en/global/735","OJSC (OAO) KAMAZ (Kamskiy Avtomobilny Zavod)")</f>
        <v>OJSC (OAO) KAMAZ (Kamskiy Avtomobilny Zavod)</v>
      </c>
      <c r="E939" s="12" t="s">
        <v>367</v>
      </c>
      <c r="F939" s="12" t="s">
        <v>61</v>
      </c>
      <c r="G939" s="12" t="s">
        <v>235</v>
      </c>
      <c r="H939" s="12"/>
      <c r="I939" s="14">
        <v>45481</v>
      </c>
      <c r="J939" s="12" t="s">
        <v>366</v>
      </c>
    </row>
    <row r="940" spans="1:10" s="15" customFormat="1" x14ac:dyDescent="0.15">
      <c r="A940" s="11">
        <v>45481</v>
      </c>
      <c r="B940" s="12" t="s">
        <v>364</v>
      </c>
      <c r="C940" s="12" t="s">
        <v>364</v>
      </c>
      <c r="D940" s="13" t="str">
        <f>HYPERLINK("https://www.marklines.com/en/global/9057","Neftekamsk Motor Plant OJSC (OAO Neftekamskij avtozavod (NefAZ))")</f>
        <v>Neftekamsk Motor Plant OJSC (OAO Neftekamskij avtozavod (NefAZ))</v>
      </c>
      <c r="E940" s="12" t="s">
        <v>368</v>
      </c>
      <c r="F940" s="12" t="s">
        <v>61</v>
      </c>
      <c r="G940" s="12" t="s">
        <v>235</v>
      </c>
      <c r="H940" s="12"/>
      <c r="I940" s="14">
        <v>45481</v>
      </c>
      <c r="J940" s="12" t="s">
        <v>366</v>
      </c>
    </row>
    <row r="941" spans="1:10" s="15" customFormat="1" x14ac:dyDescent="0.15">
      <c r="A941" s="11">
        <v>45481</v>
      </c>
      <c r="B941" s="12" t="s">
        <v>364</v>
      </c>
      <c r="C941" s="12" t="s">
        <v>364</v>
      </c>
      <c r="D941" s="13" t="str">
        <f>HYPERLINK("https://www.marklines.com/en/global/737","Kamaz, Naberezhnye Chelny Plant")</f>
        <v>Kamaz, Naberezhnye Chelny Plant</v>
      </c>
      <c r="E941" s="12" t="s">
        <v>369</v>
      </c>
      <c r="F941" s="12" t="s">
        <v>61</v>
      </c>
      <c r="G941" s="12" t="s">
        <v>235</v>
      </c>
      <c r="H941" s="12"/>
      <c r="I941" s="14">
        <v>45481</v>
      </c>
      <c r="J941" s="12" t="s">
        <v>366</v>
      </c>
    </row>
    <row r="942" spans="1:10" s="15" customFormat="1" x14ac:dyDescent="0.15">
      <c r="A942" s="11">
        <v>45481</v>
      </c>
      <c r="B942" s="12" t="s">
        <v>364</v>
      </c>
      <c r="C942" s="12" t="s">
        <v>364</v>
      </c>
      <c r="D942" s="13" t="str">
        <f>HYPERLINK("https://www.marklines.com/en/global/741","Trucks Vostok Rus LLC (TVR), Naberezhnye Chelny Plant (formerly OOO Daimler Kamaz Rus (DK Rus), OOO Mercedes-Benz Trucks Vostok) ")</f>
        <v xml:space="preserve">Trucks Vostok Rus LLC (TVR), Naberezhnye Chelny Plant (formerly OOO Daimler Kamaz Rus (DK Rus), OOO Mercedes-Benz Trucks Vostok) </v>
      </c>
      <c r="E942" s="12" t="s">
        <v>370</v>
      </c>
      <c r="F942" s="12" t="s">
        <v>61</v>
      </c>
      <c r="G942" s="12" t="s">
        <v>235</v>
      </c>
      <c r="H942" s="12"/>
      <c r="I942" s="14">
        <v>45481</v>
      </c>
      <c r="J942" s="12" t="s">
        <v>366</v>
      </c>
    </row>
    <row r="943" spans="1:10" s="15" customFormat="1" x14ac:dyDescent="0.15">
      <c r="A943" s="11">
        <v>45481</v>
      </c>
      <c r="B943" s="12" t="s">
        <v>38</v>
      </c>
      <c r="C943" s="12" t="s">
        <v>38</v>
      </c>
      <c r="D943" s="13" t="str">
        <f>HYPERLINK("https://www.marklines.com/en/global/1809","Magna Steyr Fahrzeugtechnik AG &amp; Co KG, Graz Plant")</f>
        <v>Magna Steyr Fahrzeugtechnik AG &amp; Co KG, Graz Plant</v>
      </c>
      <c r="E943" s="12" t="s">
        <v>371</v>
      </c>
      <c r="F943" s="12" t="s">
        <v>13</v>
      </c>
      <c r="G943" s="12" t="s">
        <v>372</v>
      </c>
      <c r="H943" s="12"/>
      <c r="I943" s="14">
        <v>45481</v>
      </c>
      <c r="J943" s="12" t="s">
        <v>373</v>
      </c>
    </row>
    <row r="944" spans="1:10" s="15" customFormat="1" x14ac:dyDescent="0.15">
      <c r="A944" s="11">
        <v>45481</v>
      </c>
      <c r="B944" s="12" t="s">
        <v>11</v>
      </c>
      <c r="C944" s="12" t="s">
        <v>11</v>
      </c>
      <c r="D944" s="13" t="str">
        <f>HYPERLINK("https://www.marklines.com/en/global/1327","Stellantis, FCA Italy, Mirafiori (Turin) Plant")</f>
        <v>Stellantis, FCA Italy, Mirafiori (Turin) Plant</v>
      </c>
      <c r="E944" s="12" t="s">
        <v>218</v>
      </c>
      <c r="F944" s="12" t="s">
        <v>13</v>
      </c>
      <c r="G944" s="12" t="s">
        <v>216</v>
      </c>
      <c r="H944" s="12"/>
      <c r="I944" s="14">
        <v>45479</v>
      </c>
      <c r="J944" s="12" t="s">
        <v>374</v>
      </c>
    </row>
    <row r="945" spans="1:10" s="15" customFormat="1" x14ac:dyDescent="0.15">
      <c r="A945" s="11">
        <v>45481</v>
      </c>
      <c r="B945" s="12" t="s">
        <v>15</v>
      </c>
      <c r="C945" s="12" t="s">
        <v>15</v>
      </c>
      <c r="D945" s="13" t="str">
        <f>HYPERLINK("https://www.marklines.com/en/global/1561","Ford Vietnam Ltd., Hai Duong Plant")</f>
        <v>Ford Vietnam Ltd., Hai Duong Plant</v>
      </c>
      <c r="E945" s="12" t="s">
        <v>375</v>
      </c>
      <c r="F945" s="12" t="s">
        <v>60</v>
      </c>
      <c r="G945" s="12" t="s">
        <v>376</v>
      </c>
      <c r="H945" s="12"/>
      <c r="I945" s="14">
        <v>45478</v>
      </c>
      <c r="J945" s="12" t="s">
        <v>377</v>
      </c>
    </row>
    <row r="946" spans="1:10" s="15" customFormat="1" x14ac:dyDescent="0.15">
      <c r="A946" s="11">
        <v>45481</v>
      </c>
      <c r="B946" s="12" t="s">
        <v>52</v>
      </c>
      <c r="C946" s="12" t="s">
        <v>378</v>
      </c>
      <c r="D946" s="13" t="str">
        <f>HYPERLINK("https://www.marklines.com/en/global/10797","Zhejiang Geely Farizon New Energy Commercial Vehicle Group Co., Ltd. ")</f>
        <v xml:space="preserve">Zhejiang Geely Farizon New Energy Commercial Vehicle Group Co., Ltd. </v>
      </c>
      <c r="E946" s="12" t="s">
        <v>379</v>
      </c>
      <c r="F946" s="12" t="s">
        <v>21</v>
      </c>
      <c r="G946" s="12" t="s">
        <v>47</v>
      </c>
      <c r="H946" s="12" t="s">
        <v>54</v>
      </c>
      <c r="I946" s="14">
        <v>45476</v>
      </c>
      <c r="J946" s="12" t="s">
        <v>380</v>
      </c>
    </row>
    <row r="947" spans="1:10" s="15" customFormat="1" x14ac:dyDescent="0.15">
      <c r="A947" s="11">
        <v>45481</v>
      </c>
      <c r="B947" s="12" t="s">
        <v>381</v>
      </c>
      <c r="C947" s="12" t="s">
        <v>381</v>
      </c>
      <c r="D947" s="13" t="str">
        <f>HYPERLINK("https://www.marklines.com/en/global/9540","SERES Automobile Co., Ltd. (formerly Chongqing Jinkang New Energy Automobile Co., Ltd.)")</f>
        <v>SERES Automobile Co., Ltd. (formerly Chongqing Jinkang New Energy Automobile Co., Ltd.)</v>
      </c>
      <c r="E947" s="12" t="s">
        <v>382</v>
      </c>
      <c r="F947" s="12" t="s">
        <v>21</v>
      </c>
      <c r="G947" s="12" t="s">
        <v>47</v>
      </c>
      <c r="H947" s="12" t="s">
        <v>362</v>
      </c>
      <c r="I947" s="14">
        <v>45476</v>
      </c>
      <c r="J947" s="12" t="s">
        <v>383</v>
      </c>
    </row>
    <row r="948" spans="1:10" s="15" customFormat="1" x14ac:dyDescent="0.15">
      <c r="A948" s="11">
        <v>45481</v>
      </c>
      <c r="B948" s="12" t="s">
        <v>381</v>
      </c>
      <c r="C948" s="12" t="s">
        <v>381</v>
      </c>
      <c r="D948" s="13" t="str">
        <f>HYPERLINK("https://www.marklines.com/en/global/9578","Seres Group Co., Ltd. (formerly Chongqing Sokon Industrial Group Co., Ltd.)")</f>
        <v>Seres Group Co., Ltd. (formerly Chongqing Sokon Industrial Group Co., Ltd.)</v>
      </c>
      <c r="E948" s="12" t="s">
        <v>384</v>
      </c>
      <c r="F948" s="12" t="s">
        <v>21</v>
      </c>
      <c r="G948" s="12" t="s">
        <v>47</v>
      </c>
      <c r="H948" s="12" t="s">
        <v>362</v>
      </c>
      <c r="I948" s="14">
        <v>45476</v>
      </c>
      <c r="J948" s="12" t="s">
        <v>383</v>
      </c>
    </row>
    <row r="949" spans="1:10" s="15" customFormat="1" x14ac:dyDescent="0.15">
      <c r="A949" s="11">
        <v>45481</v>
      </c>
      <c r="B949" s="12" t="s">
        <v>381</v>
      </c>
      <c r="C949" s="12" t="s">
        <v>385</v>
      </c>
      <c r="D949" s="13" t="str">
        <f>HYPERLINK("https://www.marklines.com/en/global/9540","SERES Automobile Co., Ltd. (formerly Chongqing Jinkang New Energy Automobile Co., Ltd.)")</f>
        <v>SERES Automobile Co., Ltd. (formerly Chongqing Jinkang New Energy Automobile Co., Ltd.)</v>
      </c>
      <c r="E949" s="12" t="s">
        <v>382</v>
      </c>
      <c r="F949" s="12" t="s">
        <v>21</v>
      </c>
      <c r="G949" s="12" t="s">
        <v>47</v>
      </c>
      <c r="H949" s="12" t="s">
        <v>362</v>
      </c>
      <c r="I949" s="14">
        <v>45476</v>
      </c>
      <c r="J949" s="12" t="s">
        <v>383</v>
      </c>
    </row>
    <row r="950" spans="1:10" s="15" customFormat="1" x14ac:dyDescent="0.15">
      <c r="A950" s="11">
        <v>45481</v>
      </c>
      <c r="B950" s="12" t="s">
        <v>386</v>
      </c>
      <c r="C950" s="12" t="s">
        <v>386</v>
      </c>
      <c r="D950" s="13" t="str">
        <f>HYPERLINK("https://www.marklines.com/en/global/553","Isuzu Motors, Fujisawa Plant")</f>
        <v>Isuzu Motors, Fujisawa Plant</v>
      </c>
      <c r="E950" s="12" t="s">
        <v>387</v>
      </c>
      <c r="F950" s="12" t="s">
        <v>21</v>
      </c>
      <c r="G950" s="12" t="s">
        <v>22</v>
      </c>
      <c r="H950" s="12" t="s">
        <v>388</v>
      </c>
      <c r="I950" s="14">
        <v>45475</v>
      </c>
      <c r="J950" s="12" t="s">
        <v>1473</v>
      </c>
    </row>
    <row r="951" spans="1:10" s="15" customFormat="1" x14ac:dyDescent="0.15">
      <c r="A951" s="11">
        <v>45481</v>
      </c>
      <c r="B951" s="12" t="s">
        <v>386</v>
      </c>
      <c r="C951" s="12" t="s">
        <v>386</v>
      </c>
      <c r="D951" s="13" t="str">
        <f>HYPERLINK("https://www.marklines.com/en/global/595","J-Bus, Utsunomiya Plant")</f>
        <v>J-Bus, Utsunomiya Plant</v>
      </c>
      <c r="E951" s="12" t="s">
        <v>389</v>
      </c>
      <c r="F951" s="12" t="s">
        <v>21</v>
      </c>
      <c r="G951" s="12" t="s">
        <v>22</v>
      </c>
      <c r="H951" s="12" t="s">
        <v>390</v>
      </c>
      <c r="I951" s="14">
        <v>45475</v>
      </c>
      <c r="J951" s="12" t="s">
        <v>1473</v>
      </c>
    </row>
    <row r="952" spans="1:10" s="15" customFormat="1" x14ac:dyDescent="0.15">
      <c r="A952" s="11">
        <v>45481</v>
      </c>
      <c r="B952" s="12" t="s">
        <v>88</v>
      </c>
      <c r="C952" s="12" t="s">
        <v>88</v>
      </c>
      <c r="D952" s="13" t="str">
        <f>HYPERLINK("https://www.marklines.com/en/global/503","Mazda Motor, Hiroshima Plant")</f>
        <v>Mazda Motor, Hiroshima Plant</v>
      </c>
      <c r="E952" s="12" t="s">
        <v>391</v>
      </c>
      <c r="F952" s="12" t="s">
        <v>21</v>
      </c>
      <c r="G952" s="12" t="s">
        <v>22</v>
      </c>
      <c r="H952" s="12" t="s">
        <v>392</v>
      </c>
      <c r="I952" s="14">
        <v>45474</v>
      </c>
      <c r="J952" s="12" t="s">
        <v>393</v>
      </c>
    </row>
    <row r="953" spans="1:10" s="15" customFormat="1" x14ac:dyDescent="0.15">
      <c r="A953" s="11">
        <v>45481</v>
      </c>
      <c r="B953" s="12" t="s">
        <v>88</v>
      </c>
      <c r="C953" s="12" t="s">
        <v>88</v>
      </c>
      <c r="D953" s="13" t="str">
        <f>HYPERLINK("https://www.marklines.com/en/global/505","Mazda Motor, Hofu Plant")</f>
        <v>Mazda Motor, Hofu Plant</v>
      </c>
      <c r="E953" s="12" t="s">
        <v>394</v>
      </c>
      <c r="F953" s="12" t="s">
        <v>21</v>
      </c>
      <c r="G953" s="12" t="s">
        <v>22</v>
      </c>
      <c r="H953" s="12" t="s">
        <v>395</v>
      </c>
      <c r="I953" s="14">
        <v>45474</v>
      </c>
      <c r="J953" s="12" t="s">
        <v>393</v>
      </c>
    </row>
    <row r="954" spans="1:10" s="15" customFormat="1" x14ac:dyDescent="0.15">
      <c r="A954" s="11">
        <v>45481</v>
      </c>
      <c r="B954" s="12" t="s">
        <v>43</v>
      </c>
      <c r="C954" s="12" t="s">
        <v>43</v>
      </c>
      <c r="D954" s="13" t="str">
        <f>HYPERLINK("https://www.marklines.com/en/global/439","Honda Motor, Saitama Factory Automobile Plant")</f>
        <v>Honda Motor, Saitama Factory Automobile Plant</v>
      </c>
      <c r="E954" s="12" t="s">
        <v>396</v>
      </c>
      <c r="F954" s="12" t="s">
        <v>21</v>
      </c>
      <c r="G954" s="12" t="s">
        <v>22</v>
      </c>
      <c r="H954" s="12" t="s">
        <v>397</v>
      </c>
      <c r="I954" s="14">
        <v>45471</v>
      </c>
      <c r="J954" s="12" t="s">
        <v>398</v>
      </c>
    </row>
    <row r="955" spans="1:10" s="15" customFormat="1" x14ac:dyDescent="0.15">
      <c r="A955" s="11">
        <v>45481</v>
      </c>
      <c r="B955" s="12" t="s">
        <v>35</v>
      </c>
      <c r="C955" s="12" t="s">
        <v>35</v>
      </c>
      <c r="D955" s="13" t="str">
        <f>HYPERLINK("https://www.marklines.com/en/global/424","Toyota Motor East Japan, Iwate Plant")</f>
        <v>Toyota Motor East Japan, Iwate Plant</v>
      </c>
      <c r="E955" s="12" t="s">
        <v>399</v>
      </c>
      <c r="F955" s="12" t="s">
        <v>21</v>
      </c>
      <c r="G955" s="12" t="s">
        <v>22</v>
      </c>
      <c r="H955" s="12" t="s">
        <v>400</v>
      </c>
      <c r="I955" s="14">
        <v>45471</v>
      </c>
      <c r="J955" s="12" t="s">
        <v>401</v>
      </c>
    </row>
    <row r="956" spans="1:10" s="15" customFormat="1" x14ac:dyDescent="0.15">
      <c r="A956" s="11">
        <v>45481</v>
      </c>
      <c r="B956" s="12" t="s">
        <v>43</v>
      </c>
      <c r="C956" s="12" t="s">
        <v>43</v>
      </c>
      <c r="D956" s="13" t="str">
        <f>HYPERLINK("https://www.marklines.com/en/global/437","Honda Motor, Saitama Factory Sayama Plant")</f>
        <v>Honda Motor, Saitama Factory Sayama Plant</v>
      </c>
      <c r="E956" s="12" t="s">
        <v>402</v>
      </c>
      <c r="F956" s="12" t="s">
        <v>21</v>
      </c>
      <c r="G956" s="12" t="s">
        <v>22</v>
      </c>
      <c r="H956" s="12" t="s">
        <v>397</v>
      </c>
      <c r="I956" s="14">
        <v>45471</v>
      </c>
      <c r="J956" s="12" t="s">
        <v>403</v>
      </c>
    </row>
    <row r="957" spans="1:10" s="15" customFormat="1" x14ac:dyDescent="0.15">
      <c r="A957" s="11">
        <v>45481</v>
      </c>
      <c r="B957" s="12" t="s">
        <v>43</v>
      </c>
      <c r="C957" s="12" t="s">
        <v>43</v>
      </c>
      <c r="D957" s="13" t="str">
        <f>HYPERLINK("https://www.marklines.com/en/global/443","Honda Motor, Suzuka Factory")</f>
        <v>Honda Motor, Suzuka Factory</v>
      </c>
      <c r="E957" s="12" t="s">
        <v>404</v>
      </c>
      <c r="F957" s="12" t="s">
        <v>21</v>
      </c>
      <c r="G957" s="12" t="s">
        <v>22</v>
      </c>
      <c r="H957" s="12" t="s">
        <v>405</v>
      </c>
      <c r="I957" s="14">
        <v>45471</v>
      </c>
      <c r="J957" s="12" t="s">
        <v>403</v>
      </c>
    </row>
    <row r="958" spans="1:10" s="15" customFormat="1" x14ac:dyDescent="0.15">
      <c r="A958" s="11">
        <v>45481</v>
      </c>
      <c r="B958" s="12" t="s">
        <v>43</v>
      </c>
      <c r="C958" s="12" t="s">
        <v>43</v>
      </c>
      <c r="D958" s="13" t="str">
        <f>HYPERLINK("https://www.marklines.com/en/global/453","Honda Auto Body Co., Ltd.")</f>
        <v>Honda Auto Body Co., Ltd.</v>
      </c>
      <c r="E958" s="12" t="s">
        <v>406</v>
      </c>
      <c r="F958" s="12" t="s">
        <v>21</v>
      </c>
      <c r="G958" s="12" t="s">
        <v>22</v>
      </c>
      <c r="H958" s="12" t="s">
        <v>405</v>
      </c>
      <c r="I958" s="14">
        <v>45471</v>
      </c>
      <c r="J958" s="12" t="s">
        <v>403</v>
      </c>
    </row>
    <row r="959" spans="1:10" s="15" customFormat="1" x14ac:dyDescent="0.15">
      <c r="A959" s="11">
        <v>45481</v>
      </c>
      <c r="B959" s="12" t="s">
        <v>43</v>
      </c>
      <c r="C959" s="12" t="s">
        <v>43</v>
      </c>
      <c r="D959" s="13" t="str">
        <f>HYPERLINK("https://www.marklines.com/en/global/439","Honda Motor, Saitama Factory Automobile Plant")</f>
        <v>Honda Motor, Saitama Factory Automobile Plant</v>
      </c>
      <c r="E959" s="12" t="s">
        <v>396</v>
      </c>
      <c r="F959" s="12" t="s">
        <v>21</v>
      </c>
      <c r="G959" s="12" t="s">
        <v>22</v>
      </c>
      <c r="H959" s="12" t="s">
        <v>397</v>
      </c>
      <c r="I959" s="14">
        <v>45471</v>
      </c>
      <c r="J959" s="12" t="s">
        <v>403</v>
      </c>
    </row>
    <row r="960" spans="1:10" s="15" customFormat="1" x14ac:dyDescent="0.15">
      <c r="A960" s="11">
        <v>45481</v>
      </c>
      <c r="B960" s="12" t="s">
        <v>314</v>
      </c>
      <c r="C960" s="12" t="s">
        <v>314</v>
      </c>
      <c r="D960" s="13" t="str">
        <f>HYPERLINK("https://www.marklines.com/en/global/495","Suzuki Motor, Kosai Plant")</f>
        <v>Suzuki Motor, Kosai Plant</v>
      </c>
      <c r="E960" s="12" t="s">
        <v>407</v>
      </c>
      <c r="F960" s="12" t="s">
        <v>21</v>
      </c>
      <c r="G960" s="12" t="s">
        <v>22</v>
      </c>
      <c r="H960" s="12" t="s">
        <v>408</v>
      </c>
      <c r="I960" s="14">
        <v>45471</v>
      </c>
      <c r="J960" s="12" t="s">
        <v>403</v>
      </c>
    </row>
    <row r="961" spans="1:10" s="15" customFormat="1" x14ac:dyDescent="0.15">
      <c r="A961" s="11">
        <v>45481</v>
      </c>
      <c r="B961" s="12" t="s">
        <v>88</v>
      </c>
      <c r="C961" s="12" t="s">
        <v>88</v>
      </c>
      <c r="D961" s="13" t="str">
        <f>HYPERLINK("https://www.marklines.com/en/global/503","Mazda Motor, Hiroshima Plant")</f>
        <v>Mazda Motor, Hiroshima Plant</v>
      </c>
      <c r="E961" s="12" t="s">
        <v>391</v>
      </c>
      <c r="F961" s="12" t="s">
        <v>21</v>
      </c>
      <c r="G961" s="12" t="s">
        <v>22</v>
      </c>
      <c r="H961" s="12" t="s">
        <v>392</v>
      </c>
      <c r="I961" s="14">
        <v>45471</v>
      </c>
      <c r="J961" s="12" t="s">
        <v>403</v>
      </c>
    </row>
    <row r="962" spans="1:10" s="15" customFormat="1" x14ac:dyDescent="0.15">
      <c r="A962" s="11">
        <v>45481</v>
      </c>
      <c r="B962" s="12" t="s">
        <v>88</v>
      </c>
      <c r="C962" s="12" t="s">
        <v>88</v>
      </c>
      <c r="D962" s="13" t="str">
        <f>HYPERLINK("https://www.marklines.com/en/global/495","Suzuki Motor, Kosai Plant")</f>
        <v>Suzuki Motor, Kosai Plant</v>
      </c>
      <c r="E962" s="12" t="s">
        <v>407</v>
      </c>
      <c r="F962" s="12" t="s">
        <v>21</v>
      </c>
      <c r="G962" s="12" t="s">
        <v>22</v>
      </c>
      <c r="H962" s="12" t="s">
        <v>408</v>
      </c>
      <c r="I962" s="14">
        <v>45471</v>
      </c>
      <c r="J962" s="12" t="s">
        <v>403</v>
      </c>
    </row>
    <row r="963" spans="1:10" s="15" customFormat="1" x14ac:dyDescent="0.15">
      <c r="A963" s="11">
        <v>45481</v>
      </c>
      <c r="B963" s="12" t="s">
        <v>88</v>
      </c>
      <c r="C963" s="12" t="s">
        <v>88</v>
      </c>
      <c r="D963" s="13" t="str">
        <f>HYPERLINK("https://www.marklines.com/en/global/505","Mazda Motor, Hofu Plant")</f>
        <v>Mazda Motor, Hofu Plant</v>
      </c>
      <c r="E963" s="12" t="s">
        <v>394</v>
      </c>
      <c r="F963" s="12" t="s">
        <v>21</v>
      </c>
      <c r="G963" s="12" t="s">
        <v>22</v>
      </c>
      <c r="H963" s="12" t="s">
        <v>395</v>
      </c>
      <c r="I963" s="14">
        <v>45471</v>
      </c>
      <c r="J963" s="12" t="s">
        <v>403</v>
      </c>
    </row>
    <row r="964" spans="1:10" s="15" customFormat="1" x14ac:dyDescent="0.15">
      <c r="A964" s="11">
        <v>45481</v>
      </c>
      <c r="B964" s="12" t="s">
        <v>77</v>
      </c>
      <c r="C964" s="12" t="s">
        <v>77</v>
      </c>
      <c r="D964" s="13" t="str">
        <f>HYPERLINK("https://www.marklines.com/en/global/517","Mitsubishi Motors, Mizushima Plant")</f>
        <v>Mitsubishi Motors, Mizushima Plant</v>
      </c>
      <c r="E964" s="12" t="s">
        <v>409</v>
      </c>
      <c r="F964" s="12" t="s">
        <v>21</v>
      </c>
      <c r="G964" s="12" t="s">
        <v>22</v>
      </c>
      <c r="H964" s="12" t="s">
        <v>410</v>
      </c>
      <c r="I964" s="14">
        <v>45421</v>
      </c>
      <c r="J964" s="12" t="s">
        <v>411</v>
      </c>
    </row>
    <row r="965" spans="1:10" s="15" customFormat="1" x14ac:dyDescent="0.15">
      <c r="A965" s="11">
        <v>45481</v>
      </c>
      <c r="B965" s="12" t="s">
        <v>412</v>
      </c>
      <c r="C965" s="12" t="s">
        <v>413</v>
      </c>
      <c r="D965" s="13" t="str">
        <f>HYPERLINK("https://www.marklines.com/en/global/517","Mitsubishi Motors, Mizushima Plant")</f>
        <v>Mitsubishi Motors, Mizushima Plant</v>
      </c>
      <c r="E965" s="12" t="s">
        <v>409</v>
      </c>
      <c r="F965" s="12" t="s">
        <v>21</v>
      </c>
      <c r="G965" s="12" t="s">
        <v>22</v>
      </c>
      <c r="H965" s="12" t="s">
        <v>410</v>
      </c>
      <c r="I965" s="14">
        <v>45421</v>
      </c>
      <c r="J965" s="12" t="s">
        <v>411</v>
      </c>
    </row>
    <row r="966" spans="1:10" s="15" customFormat="1" x14ac:dyDescent="0.15">
      <c r="A966" s="11">
        <v>45479</v>
      </c>
      <c r="B966" s="12" t="s">
        <v>224</v>
      </c>
      <c r="C966" s="12" t="s">
        <v>414</v>
      </c>
      <c r="D966" s="13" t="str">
        <f>HYPERLINK("https://www.marklines.com/en/global/867","General Motors Mexico, Ramos Arizpe Plant")</f>
        <v>General Motors Mexico, Ramos Arizpe Plant</v>
      </c>
      <c r="E966" s="12" t="s">
        <v>415</v>
      </c>
      <c r="F966" s="12" t="s">
        <v>16</v>
      </c>
      <c r="G966" s="12" t="s">
        <v>229</v>
      </c>
      <c r="H966" s="12"/>
      <c r="I966" s="14">
        <v>45476</v>
      </c>
      <c r="J966" s="12" t="s">
        <v>416</v>
      </c>
    </row>
    <row r="967" spans="1:10" s="15" customFormat="1" x14ac:dyDescent="0.15">
      <c r="A967" s="11">
        <v>45479</v>
      </c>
      <c r="B967" s="12" t="s">
        <v>224</v>
      </c>
      <c r="C967" s="12" t="s">
        <v>224</v>
      </c>
      <c r="D967" s="13" t="str">
        <f>HYPERLINK("https://www.marklines.com/en/global/867","General Motors Mexico, Ramos Arizpe Plant")</f>
        <v>General Motors Mexico, Ramos Arizpe Plant</v>
      </c>
      <c r="E967" s="12" t="s">
        <v>415</v>
      </c>
      <c r="F967" s="12" t="s">
        <v>16</v>
      </c>
      <c r="G967" s="12" t="s">
        <v>229</v>
      </c>
      <c r="H967" s="12"/>
      <c r="I967" s="14">
        <v>45476</v>
      </c>
      <c r="J967" s="12" t="s">
        <v>416</v>
      </c>
    </row>
    <row r="968" spans="1:10" s="15" customFormat="1" x14ac:dyDescent="0.15">
      <c r="A968" s="11">
        <v>45478</v>
      </c>
      <c r="B968" s="12" t="s">
        <v>49</v>
      </c>
      <c r="C968" s="12" t="s">
        <v>101</v>
      </c>
      <c r="D968" s="13" t="str">
        <f>HYPERLINK("https://www.marklines.com/en/global/115","Scania Production Angers S.A.S., Angers Plant")</f>
        <v>Scania Production Angers S.A.S., Angers Plant</v>
      </c>
      <c r="E968" s="12" t="s">
        <v>150</v>
      </c>
      <c r="F968" s="12" t="s">
        <v>13</v>
      </c>
      <c r="G968" s="12" t="s">
        <v>29</v>
      </c>
      <c r="H968" s="12"/>
      <c r="I968" s="14">
        <v>45478</v>
      </c>
      <c r="J968" s="12" t="s">
        <v>151</v>
      </c>
    </row>
    <row r="969" spans="1:10" s="15" customFormat="1" x14ac:dyDescent="0.15">
      <c r="A969" s="11">
        <v>45478</v>
      </c>
      <c r="B969" s="12" t="s">
        <v>23</v>
      </c>
      <c r="C969" s="12" t="s">
        <v>23</v>
      </c>
      <c r="D969" s="13" t="str">
        <f>HYPERLINK("https://www.marklines.com/en/global/9895","Tesla Gigafactory Berlin-Brandenburg")</f>
        <v>Tesla Gigafactory Berlin-Brandenburg</v>
      </c>
      <c r="E969" s="12" t="s">
        <v>24</v>
      </c>
      <c r="F969" s="12" t="s">
        <v>13</v>
      </c>
      <c r="G969" s="12" t="s">
        <v>25</v>
      </c>
      <c r="H969" s="12"/>
      <c r="I969" s="14">
        <v>45477</v>
      </c>
      <c r="J969" s="12" t="s">
        <v>152</v>
      </c>
    </row>
    <row r="970" spans="1:10" s="15" customFormat="1" x14ac:dyDescent="0.15">
      <c r="A970" s="11">
        <v>45478</v>
      </c>
      <c r="B970" s="12" t="s">
        <v>38</v>
      </c>
      <c r="C970" s="12" t="s">
        <v>39</v>
      </c>
      <c r="D970" s="13" t="str">
        <f>HYPERLINK("https://www.marklines.com/en/global/1428","Karsan Otomotiv Sanayi ve Ticaret A.S., Akçalar (Bursa) Plant")</f>
        <v>Karsan Otomotiv Sanayi ve Ticaret A.S., Akçalar (Bursa) Plant</v>
      </c>
      <c r="E970" s="12" t="s">
        <v>40</v>
      </c>
      <c r="F970" s="12" t="s">
        <v>41</v>
      </c>
      <c r="G970" s="12" t="s">
        <v>42</v>
      </c>
      <c r="H970" s="12"/>
      <c r="I970" s="14">
        <v>45477</v>
      </c>
      <c r="J970" s="12" t="s">
        <v>153</v>
      </c>
    </row>
    <row r="971" spans="1:10" s="15" customFormat="1" x14ac:dyDescent="0.15">
      <c r="A971" s="11">
        <v>45478</v>
      </c>
      <c r="B971" s="12" t="s">
        <v>49</v>
      </c>
      <c r="C971" s="12" t="s">
        <v>86</v>
      </c>
      <c r="D971" s="13" t="str">
        <f>HYPERLINK("https://www.marklines.com/en/global/2815","Volkswagen Argentina, General Pacheco Plant")</f>
        <v>Volkswagen Argentina, General Pacheco Plant</v>
      </c>
      <c r="E971" s="12" t="s">
        <v>154</v>
      </c>
      <c r="F971" s="12" t="s">
        <v>45</v>
      </c>
      <c r="G971" s="12" t="s">
        <v>79</v>
      </c>
      <c r="H971" s="12"/>
      <c r="I971" s="14">
        <v>45477</v>
      </c>
      <c r="J971" s="12" t="s">
        <v>155</v>
      </c>
    </row>
    <row r="972" spans="1:10" s="15" customFormat="1" x14ac:dyDescent="0.15">
      <c r="A972" s="11">
        <v>45478</v>
      </c>
      <c r="B972" s="12" t="s">
        <v>82</v>
      </c>
      <c r="C972" s="12" t="s">
        <v>82</v>
      </c>
      <c r="D972" s="13" t="str">
        <f>HYPERLINK("https://www.marklines.com/en/global/3415","Beijing Automotive Group Co., Ltd.")</f>
        <v>Beijing Automotive Group Co., Ltd.</v>
      </c>
      <c r="E972" s="12" t="s">
        <v>122</v>
      </c>
      <c r="F972" s="12" t="s">
        <v>21</v>
      </c>
      <c r="G972" s="12" t="s">
        <v>47</v>
      </c>
      <c r="H972" s="12" t="s">
        <v>56</v>
      </c>
      <c r="I972" s="14">
        <v>45475</v>
      </c>
      <c r="J972" s="12" t="s">
        <v>156</v>
      </c>
    </row>
    <row r="973" spans="1:10" s="15" customFormat="1" x14ac:dyDescent="0.15">
      <c r="A973" s="11">
        <v>45478</v>
      </c>
      <c r="B973" s="12" t="s">
        <v>52</v>
      </c>
      <c r="C973" s="12" t="s">
        <v>52</v>
      </c>
      <c r="D973" s="13" t="str">
        <f>HYPERLINK("https://www.marklines.com/en/global/3807","Zhejiang Geely Holding Group Co., Ltd.")</f>
        <v>Zhejiang Geely Holding Group Co., Ltd.</v>
      </c>
      <c r="E973" s="12" t="s">
        <v>53</v>
      </c>
      <c r="F973" s="12" t="s">
        <v>21</v>
      </c>
      <c r="G973" s="12" t="s">
        <v>47</v>
      </c>
      <c r="H973" s="12" t="s">
        <v>54</v>
      </c>
      <c r="I973" s="14">
        <v>45475</v>
      </c>
      <c r="J973" s="12" t="s">
        <v>157</v>
      </c>
    </row>
    <row r="974" spans="1:10" s="15" customFormat="1" x14ac:dyDescent="0.15">
      <c r="A974" s="11">
        <v>45478</v>
      </c>
      <c r="B974" s="12" t="s">
        <v>77</v>
      </c>
      <c r="C974" s="12" t="s">
        <v>77</v>
      </c>
      <c r="D974" s="13" t="str">
        <f>HYPERLINK("https://www.marklines.com/en/global/2803","Renault Argentina S.A., Cordoba Plant")</f>
        <v>Renault Argentina S.A., Cordoba Plant</v>
      </c>
      <c r="E974" s="12" t="s">
        <v>138</v>
      </c>
      <c r="F974" s="12" t="s">
        <v>45</v>
      </c>
      <c r="G974" s="12" t="s">
        <v>79</v>
      </c>
      <c r="H974" s="12"/>
      <c r="I974" s="14">
        <v>45475</v>
      </c>
      <c r="J974" s="12" t="s">
        <v>158</v>
      </c>
    </row>
    <row r="975" spans="1:10" s="15" customFormat="1" x14ac:dyDescent="0.15">
      <c r="A975" s="11">
        <v>45478</v>
      </c>
      <c r="B975" s="12" t="s">
        <v>11</v>
      </c>
      <c r="C975" s="12" t="s">
        <v>11</v>
      </c>
      <c r="D975" s="13" t="str">
        <f>HYPERLINK("https://www.marklines.com/en/global/2773","Stellantis, Fiat Auto Argentina S.A., Cordoba (Ferreyra) Plant")</f>
        <v>Stellantis, Fiat Auto Argentina S.A., Cordoba (Ferreyra) Plant</v>
      </c>
      <c r="E975" s="12" t="s">
        <v>135</v>
      </c>
      <c r="F975" s="12" t="s">
        <v>45</v>
      </c>
      <c r="G975" s="12" t="s">
        <v>79</v>
      </c>
      <c r="H975" s="12"/>
      <c r="I975" s="14">
        <v>45475</v>
      </c>
      <c r="J975" s="12" t="s">
        <v>158</v>
      </c>
    </row>
    <row r="976" spans="1:10" s="15" customFormat="1" x14ac:dyDescent="0.15">
      <c r="A976" s="11">
        <v>45478</v>
      </c>
      <c r="B976" s="12" t="s">
        <v>44</v>
      </c>
      <c r="C976" s="12" t="s">
        <v>44</v>
      </c>
      <c r="D976" s="13" t="str">
        <f>HYPERLINK("https://www.marklines.com/en/global/2803","Renault Argentina S.A., Cordoba Plant")</f>
        <v>Renault Argentina S.A., Cordoba Plant</v>
      </c>
      <c r="E976" s="12" t="s">
        <v>138</v>
      </c>
      <c r="F976" s="12" t="s">
        <v>45</v>
      </c>
      <c r="G976" s="12" t="s">
        <v>79</v>
      </c>
      <c r="H976" s="12"/>
      <c r="I976" s="14">
        <v>45475</v>
      </c>
      <c r="J976" s="12" t="s">
        <v>158</v>
      </c>
    </row>
    <row r="977" spans="1:10" s="15" customFormat="1" x14ac:dyDescent="0.15">
      <c r="A977" s="11">
        <v>45478</v>
      </c>
      <c r="B977" s="12" t="s">
        <v>102</v>
      </c>
      <c r="C977" s="12" t="s">
        <v>102</v>
      </c>
      <c r="D977" s="13" t="str">
        <f>HYPERLINK("https://www.marklines.com/en/global/2789","Iveco Argentina S.A., Ferreyra (Córdoba) Plant")</f>
        <v>Iveco Argentina S.A., Ferreyra (Córdoba) Plant</v>
      </c>
      <c r="E977" s="12" t="s">
        <v>159</v>
      </c>
      <c r="F977" s="12" t="s">
        <v>45</v>
      </c>
      <c r="G977" s="12" t="s">
        <v>79</v>
      </c>
      <c r="H977" s="12"/>
      <c r="I977" s="14">
        <v>45475</v>
      </c>
      <c r="J977" s="12" t="s">
        <v>158</v>
      </c>
    </row>
    <row r="978" spans="1:10" s="15" customFormat="1" x14ac:dyDescent="0.15">
      <c r="A978" s="11">
        <v>45478</v>
      </c>
      <c r="B978" s="12" t="s">
        <v>43</v>
      </c>
      <c r="C978" s="12" t="s">
        <v>43</v>
      </c>
      <c r="D978" s="13" t="str">
        <f>HYPERLINK("https://www.marklines.com/en/global/4079","GAC Honda Automobile Co., Ltd.")</f>
        <v>GAC Honda Automobile Co., Ltd.</v>
      </c>
      <c r="E978" s="12" t="s">
        <v>119</v>
      </c>
      <c r="F978" s="12" t="s">
        <v>21</v>
      </c>
      <c r="G978" s="12" t="s">
        <v>47</v>
      </c>
      <c r="H978" s="12" t="s">
        <v>48</v>
      </c>
      <c r="I978" s="14">
        <v>45474</v>
      </c>
      <c r="J978" s="12" t="s">
        <v>160</v>
      </c>
    </row>
    <row r="979" spans="1:10" s="15" customFormat="1" x14ac:dyDescent="0.15">
      <c r="A979" s="11">
        <v>45477</v>
      </c>
      <c r="B979" s="12" t="s">
        <v>70</v>
      </c>
      <c r="C979" s="12" t="s">
        <v>70</v>
      </c>
      <c r="D979" s="13" t="str">
        <f>HYPERLINK("https://www.marklines.com/en/global/10566","BYD Auto (Thailand), Rayong Plant")</f>
        <v>BYD Auto (Thailand), Rayong Plant</v>
      </c>
      <c r="E979" s="12" t="s">
        <v>71</v>
      </c>
      <c r="F979" s="12" t="s">
        <v>60</v>
      </c>
      <c r="G979" s="12" t="s">
        <v>72</v>
      </c>
      <c r="H979" s="12" t="s">
        <v>73</v>
      </c>
      <c r="I979" s="14">
        <v>45477</v>
      </c>
      <c r="J979" s="12" t="s">
        <v>161</v>
      </c>
    </row>
    <row r="980" spans="1:10" s="15" customFormat="1" x14ac:dyDescent="0.15">
      <c r="A980" s="11">
        <v>45477</v>
      </c>
      <c r="B980" s="12" t="s">
        <v>11</v>
      </c>
      <c r="C980" s="12" t="s">
        <v>11</v>
      </c>
      <c r="D980" s="13" t="str">
        <f>HYPERLINK("https://www.marklines.com/en/global/1392","Stellantis, Peugeot Citroën Automóveis Portugal SA (Mangualde), Mangualde Plant")</f>
        <v>Stellantis, Peugeot Citroën Automóveis Portugal SA (Mangualde), Mangualde Plant</v>
      </c>
      <c r="E980" s="12" t="s">
        <v>162</v>
      </c>
      <c r="F980" s="12" t="s">
        <v>13</v>
      </c>
      <c r="G980" s="12" t="s">
        <v>50</v>
      </c>
      <c r="H980" s="12"/>
      <c r="I980" s="14">
        <v>45475</v>
      </c>
      <c r="J980" s="12" t="s">
        <v>163</v>
      </c>
    </row>
    <row r="981" spans="1:10" s="15" customFormat="1" x14ac:dyDescent="0.15">
      <c r="A981" s="11">
        <v>45477</v>
      </c>
      <c r="B981" s="12" t="s">
        <v>11</v>
      </c>
      <c r="C981" s="12" t="s">
        <v>11</v>
      </c>
      <c r="D981" s="13" t="str">
        <f>HYPERLINK("https://www.marklines.com/en/global/2647","Stellantis, FCA US, Warren Truck Assembly Plant")</f>
        <v>Stellantis, FCA US, Warren Truck Assembly Plant</v>
      </c>
      <c r="E981" s="12" t="s">
        <v>164</v>
      </c>
      <c r="F981" s="12" t="s">
        <v>16</v>
      </c>
      <c r="G981" s="12" t="s">
        <v>17</v>
      </c>
      <c r="H981" s="12" t="s">
        <v>19</v>
      </c>
      <c r="I981" s="14">
        <v>45475</v>
      </c>
      <c r="J981" s="12" t="s">
        <v>165</v>
      </c>
    </row>
    <row r="982" spans="1:10" s="15" customFormat="1" x14ac:dyDescent="0.15">
      <c r="A982" s="11">
        <v>45477</v>
      </c>
      <c r="B982" s="12" t="s">
        <v>11</v>
      </c>
      <c r="C982" s="12" t="s">
        <v>11</v>
      </c>
      <c r="D982" s="13" t="str">
        <f>HYPERLINK("https://www.marklines.com/en/global/2653","Stellantis, FCA US, Toledo Assembly Complex (Toledo North)")</f>
        <v>Stellantis, FCA US, Toledo Assembly Complex (Toledo North)</v>
      </c>
      <c r="E982" s="12" t="s">
        <v>130</v>
      </c>
      <c r="F982" s="12" t="s">
        <v>16</v>
      </c>
      <c r="G982" s="12" t="s">
        <v>17</v>
      </c>
      <c r="H982" s="12" t="s">
        <v>18</v>
      </c>
      <c r="I982" s="14">
        <v>45475</v>
      </c>
      <c r="J982" s="12" t="s">
        <v>165</v>
      </c>
    </row>
    <row r="983" spans="1:10" s="15" customFormat="1" x14ac:dyDescent="0.15">
      <c r="A983" s="11">
        <v>45477</v>
      </c>
      <c r="B983" s="12" t="s">
        <v>11</v>
      </c>
      <c r="C983" s="12" t="s">
        <v>11</v>
      </c>
      <c r="D983" s="13" t="str">
        <f>HYPERLINK("https://www.marklines.com/en/global/2655","Stellantis, FCA US, Toledo Assembly Complex (Toledo Supplier Park)")</f>
        <v>Stellantis, FCA US, Toledo Assembly Complex (Toledo Supplier Park)</v>
      </c>
      <c r="E983" s="12" t="s">
        <v>166</v>
      </c>
      <c r="F983" s="12" t="s">
        <v>16</v>
      </c>
      <c r="G983" s="12" t="s">
        <v>17</v>
      </c>
      <c r="H983" s="12" t="s">
        <v>18</v>
      </c>
      <c r="I983" s="14">
        <v>45475</v>
      </c>
      <c r="J983" s="12" t="s">
        <v>165</v>
      </c>
    </row>
    <row r="984" spans="1:10" s="15" customFormat="1" x14ac:dyDescent="0.15">
      <c r="A984" s="11">
        <v>45477</v>
      </c>
      <c r="B984" s="12" t="s">
        <v>128</v>
      </c>
      <c r="C984" s="12" t="s">
        <v>129</v>
      </c>
      <c r="D984" s="13" t="str">
        <f>HYPERLINK("https://www.marklines.com/en/global/1195","Mahindra &amp; Mahindra Ltd.")</f>
        <v>Mahindra &amp; Mahindra Ltd.</v>
      </c>
      <c r="E984" s="12" t="s">
        <v>147</v>
      </c>
      <c r="F984" s="12" t="s">
        <v>36</v>
      </c>
      <c r="G984" s="12" t="s">
        <v>37</v>
      </c>
      <c r="H984" s="12" t="s">
        <v>67</v>
      </c>
      <c r="I984" s="14">
        <v>45472</v>
      </c>
      <c r="J984" s="12" t="s">
        <v>167</v>
      </c>
    </row>
    <row r="985" spans="1:10" s="15" customFormat="1" x14ac:dyDescent="0.15">
      <c r="A985" s="11">
        <v>45477</v>
      </c>
      <c r="B985" s="12" t="s">
        <v>35</v>
      </c>
      <c r="C985" s="12" t="s">
        <v>35</v>
      </c>
      <c r="D985" s="13" t="str">
        <f>HYPERLINK("https://www.marklines.com/en/global/4093","GAC Toyota Motor Co., Ltd. (GTMC)")</f>
        <v>GAC Toyota Motor Co., Ltd. (GTMC)</v>
      </c>
      <c r="E985" s="12" t="s">
        <v>120</v>
      </c>
      <c r="F985" s="12" t="s">
        <v>21</v>
      </c>
      <c r="G985" s="12" t="s">
        <v>47</v>
      </c>
      <c r="H985" s="12" t="s">
        <v>48</v>
      </c>
      <c r="I985" s="14">
        <v>45471</v>
      </c>
      <c r="J985" s="12" t="s">
        <v>168</v>
      </c>
    </row>
    <row r="986" spans="1:10" s="15" customFormat="1" x14ac:dyDescent="0.15">
      <c r="A986" s="11">
        <v>45476</v>
      </c>
      <c r="B986" s="12" t="s">
        <v>15</v>
      </c>
      <c r="C986" s="12" t="s">
        <v>15</v>
      </c>
      <c r="D986" s="13" t="str">
        <f>HYPERLINK("https://www.marklines.com/en/global/1901","Ford Motor Spain, Valencia (Almussafes) Plant")</f>
        <v>Ford Motor Spain, Valencia (Almussafes) Plant</v>
      </c>
      <c r="E986" s="12" t="s">
        <v>91</v>
      </c>
      <c r="F986" s="12" t="s">
        <v>13</v>
      </c>
      <c r="G986" s="12" t="s">
        <v>14</v>
      </c>
      <c r="H986" s="12"/>
      <c r="I986" s="14">
        <v>45476</v>
      </c>
      <c r="J986" s="12" t="s">
        <v>169</v>
      </c>
    </row>
    <row r="987" spans="1:10" s="15" customFormat="1" x14ac:dyDescent="0.15">
      <c r="A987" s="11">
        <v>45476</v>
      </c>
      <c r="B987" s="12" t="s">
        <v>35</v>
      </c>
      <c r="C987" s="12" t="s">
        <v>35</v>
      </c>
      <c r="D987" s="13" t="str">
        <f>HYPERLINK("https://www.marklines.com/en/global/1396","Toyota Caetano Portugal, S.A. (TCAP), Ovar Plant")</f>
        <v>Toyota Caetano Portugal, S.A. (TCAP), Ovar Plant</v>
      </c>
      <c r="E987" s="12" t="s">
        <v>170</v>
      </c>
      <c r="F987" s="12" t="s">
        <v>13</v>
      </c>
      <c r="G987" s="12" t="s">
        <v>50</v>
      </c>
      <c r="H987" s="12"/>
      <c r="I987" s="14">
        <v>45476</v>
      </c>
      <c r="J987" s="12" t="s">
        <v>171</v>
      </c>
    </row>
    <row r="988" spans="1:10" s="15" customFormat="1" x14ac:dyDescent="0.15">
      <c r="A988" s="11">
        <v>45476</v>
      </c>
      <c r="B988" s="12" t="s">
        <v>103</v>
      </c>
      <c r="C988" s="12" t="s">
        <v>124</v>
      </c>
      <c r="D988" s="13" t="str">
        <f>HYPERLINK("https://www.marklines.com/en/global/3879","Chery Automobile Co., Ltd. ")</f>
        <v xml:space="preserve">Chery Automobile Co., Ltd. </v>
      </c>
      <c r="E988" s="12" t="s">
        <v>112</v>
      </c>
      <c r="F988" s="12" t="s">
        <v>21</v>
      </c>
      <c r="G988" s="12" t="s">
        <v>47</v>
      </c>
      <c r="H988" s="12" t="s">
        <v>105</v>
      </c>
      <c r="I988" s="14">
        <v>45476</v>
      </c>
      <c r="J988" s="12" t="s">
        <v>172</v>
      </c>
    </row>
    <row r="989" spans="1:10" s="15" customFormat="1" x14ac:dyDescent="0.15">
      <c r="A989" s="11">
        <v>45476</v>
      </c>
      <c r="B989" s="12" t="s">
        <v>55</v>
      </c>
      <c r="C989" s="12" t="s">
        <v>55</v>
      </c>
      <c r="D989" s="13" t="str">
        <f>HYPERLINK("https://www.marklines.com/en/global/9975","PT. Hyundai Motor Manufacturing Indonesia (HMMI), Cikarang Plant")</f>
        <v>PT. Hyundai Motor Manufacturing Indonesia (HMMI), Cikarang Plant</v>
      </c>
      <c r="E989" s="12" t="s">
        <v>140</v>
      </c>
      <c r="F989" s="12" t="s">
        <v>60</v>
      </c>
      <c r="G989" s="12" t="s">
        <v>118</v>
      </c>
      <c r="H989" s="12"/>
      <c r="I989" s="14">
        <v>45476</v>
      </c>
      <c r="J989" s="12" t="s">
        <v>173</v>
      </c>
    </row>
    <row r="990" spans="1:10" s="15" customFormat="1" x14ac:dyDescent="0.15">
      <c r="A990" s="11">
        <v>45476</v>
      </c>
      <c r="B990" s="12" t="s">
        <v>55</v>
      </c>
      <c r="C990" s="12" t="s">
        <v>55</v>
      </c>
      <c r="D990" s="13" t="str">
        <f>HYPERLINK("https://www.marklines.com/en/global/10428","PT HLI Green Power, Karawang plant ")</f>
        <v xml:space="preserve">PT HLI Green Power, Karawang plant </v>
      </c>
      <c r="E990" s="12" t="s">
        <v>139</v>
      </c>
      <c r="F990" s="12" t="s">
        <v>60</v>
      </c>
      <c r="G990" s="12" t="s">
        <v>118</v>
      </c>
      <c r="H990" s="12"/>
      <c r="I990" s="14">
        <v>45476</v>
      </c>
      <c r="J990" s="12" t="s">
        <v>174</v>
      </c>
    </row>
    <row r="991" spans="1:10" s="15" customFormat="1" x14ac:dyDescent="0.15">
      <c r="A991" s="11">
        <v>45476</v>
      </c>
      <c r="B991" s="12" t="s">
        <v>49</v>
      </c>
      <c r="C991" s="12" t="s">
        <v>86</v>
      </c>
      <c r="D991" s="13" t="str">
        <f>HYPERLINK("https://www.marklines.com/en/global/655","Volkswagen of South Africa (Pty) Ltd., Kariega Plant (formerly Uitenhage Plant)")</f>
        <v>Volkswagen of South Africa (Pty) Ltd., Kariega Plant (formerly Uitenhage Plant)</v>
      </c>
      <c r="E991" s="12" t="s">
        <v>113</v>
      </c>
      <c r="F991" s="12" t="s">
        <v>114</v>
      </c>
      <c r="G991" s="12" t="s">
        <v>115</v>
      </c>
      <c r="H991" s="12"/>
      <c r="I991" s="14">
        <v>45475</v>
      </c>
      <c r="J991" s="12" t="s">
        <v>175</v>
      </c>
    </row>
    <row r="992" spans="1:10" s="15" customFormat="1" x14ac:dyDescent="0.15">
      <c r="A992" s="11">
        <v>45476</v>
      </c>
      <c r="B992" s="12" t="s">
        <v>49</v>
      </c>
      <c r="C992" s="12" t="s">
        <v>86</v>
      </c>
      <c r="D992" s="13" t="str">
        <f>HYPERLINK("https://www.marklines.com/en/global/1965","Volkswagen Navarra, S.A., Pamplona (Landaben) Plant")</f>
        <v>Volkswagen Navarra, S.A., Pamplona (Landaben) Plant</v>
      </c>
      <c r="E992" s="12" t="s">
        <v>87</v>
      </c>
      <c r="F992" s="12" t="s">
        <v>13</v>
      </c>
      <c r="G992" s="12" t="s">
        <v>14</v>
      </c>
      <c r="H992" s="12"/>
      <c r="I992" s="14">
        <v>45475</v>
      </c>
      <c r="J992" s="12" t="s">
        <v>175</v>
      </c>
    </row>
    <row r="993" spans="1:10" s="15" customFormat="1" x14ac:dyDescent="0.15">
      <c r="A993" s="11">
        <v>45476</v>
      </c>
      <c r="B993" s="12" t="s">
        <v>77</v>
      </c>
      <c r="C993" s="12" t="s">
        <v>77</v>
      </c>
      <c r="D993" s="13" t="str">
        <f>HYPERLINK("https://www.marklines.com/en/global/1089","Renault Nissan Automotive India (RNAIPL), Oragadam (Chennai) Plant")</f>
        <v>Renault Nissan Automotive India (RNAIPL), Oragadam (Chennai) Plant</v>
      </c>
      <c r="E993" s="12" t="s">
        <v>176</v>
      </c>
      <c r="F993" s="12" t="s">
        <v>36</v>
      </c>
      <c r="G993" s="12" t="s">
        <v>37</v>
      </c>
      <c r="H993" s="12" t="s">
        <v>84</v>
      </c>
      <c r="I993" s="14">
        <v>45475</v>
      </c>
      <c r="J993" s="12" t="s">
        <v>177</v>
      </c>
    </row>
    <row r="994" spans="1:10" s="15" customFormat="1" x14ac:dyDescent="0.15">
      <c r="A994" s="11">
        <v>45476</v>
      </c>
      <c r="B994" s="12" t="s">
        <v>30</v>
      </c>
      <c r="C994" s="12" t="s">
        <v>30</v>
      </c>
      <c r="D994" s="13" t="str">
        <f>HYPERLINK("https://www.marklines.com/en/global/3153","Rivian, Normal Plant (former Mitsubishi Motors North America, Normal Plant)")</f>
        <v>Rivian, Normal Plant (former Mitsubishi Motors North America, Normal Plant)</v>
      </c>
      <c r="E994" s="12" t="s">
        <v>31</v>
      </c>
      <c r="F994" s="12" t="s">
        <v>16</v>
      </c>
      <c r="G994" s="12" t="s">
        <v>17</v>
      </c>
      <c r="H994" s="12" t="s">
        <v>32</v>
      </c>
      <c r="I994" s="14">
        <v>45475</v>
      </c>
      <c r="J994" s="12" t="s">
        <v>178</v>
      </c>
    </row>
    <row r="995" spans="1:10" s="15" customFormat="1" x14ac:dyDescent="0.15">
      <c r="A995" s="11">
        <v>45476</v>
      </c>
      <c r="B995" s="12" t="s">
        <v>26</v>
      </c>
      <c r="C995" s="12" t="s">
        <v>26</v>
      </c>
      <c r="D995" s="13" t="str">
        <f>HYPERLINK("https://www.marklines.com/en/global/10448","Nikola Coolidge Manufacturing Facility")</f>
        <v>Nikola Coolidge Manufacturing Facility</v>
      </c>
      <c r="E995" s="12" t="s">
        <v>27</v>
      </c>
      <c r="F995" s="12" t="s">
        <v>16</v>
      </c>
      <c r="G995" s="12" t="s">
        <v>17</v>
      </c>
      <c r="H995" s="12" t="s">
        <v>28</v>
      </c>
      <c r="I995" s="14">
        <v>45475</v>
      </c>
      <c r="J995" s="12" t="s">
        <v>179</v>
      </c>
    </row>
    <row r="996" spans="1:10" s="15" customFormat="1" x14ac:dyDescent="0.15">
      <c r="A996" s="11">
        <v>45476</v>
      </c>
      <c r="B996" s="12" t="s">
        <v>49</v>
      </c>
      <c r="C996" s="12" t="s">
        <v>86</v>
      </c>
      <c r="D996" s="13" t="str">
        <f>HYPERLINK("https://www.marklines.com/en/global/2277","Volkswagen Sachsen GmbH, Zwickau/Mosel Plant")</f>
        <v>Volkswagen Sachsen GmbH, Zwickau/Mosel Plant</v>
      </c>
      <c r="E996" s="12" t="s">
        <v>180</v>
      </c>
      <c r="F996" s="12" t="s">
        <v>13</v>
      </c>
      <c r="G996" s="12" t="s">
        <v>25</v>
      </c>
      <c r="H996" s="12"/>
      <c r="I996" s="14">
        <v>45474</v>
      </c>
      <c r="J996" s="12" t="s">
        <v>181</v>
      </c>
    </row>
    <row r="997" spans="1:10" s="15" customFormat="1" x14ac:dyDescent="0.15">
      <c r="A997" s="11">
        <v>45476</v>
      </c>
      <c r="B997" s="12" t="s">
        <v>49</v>
      </c>
      <c r="C997" s="12" t="s">
        <v>98</v>
      </c>
      <c r="D997" s="13" t="str">
        <f>HYPERLINK("https://www.marklines.com/en/global/1777","Audi Hungaria Zrt., Győr Plant (formerly Audi Hungaria Motor Kft.)")</f>
        <v>Audi Hungaria Zrt., Győr Plant (formerly Audi Hungaria Motor Kft.)</v>
      </c>
      <c r="E997" s="12" t="s">
        <v>99</v>
      </c>
      <c r="F997" s="12" t="s">
        <v>61</v>
      </c>
      <c r="G997" s="12" t="s">
        <v>96</v>
      </c>
      <c r="H997" s="12"/>
      <c r="I997" s="14">
        <v>45474</v>
      </c>
      <c r="J997" s="12" t="s">
        <v>182</v>
      </c>
    </row>
    <row r="998" spans="1:10" s="15" customFormat="1" x14ac:dyDescent="0.15">
      <c r="A998" s="11">
        <v>45476</v>
      </c>
      <c r="B998" s="12" t="s">
        <v>49</v>
      </c>
      <c r="C998" s="12" t="s">
        <v>86</v>
      </c>
      <c r="D998" s="13" t="str">
        <f>HYPERLINK("https://www.marklines.com/en/global/1777","Audi Hungaria Zrt., Győr Plant (formerly Audi Hungaria Motor Kft.)")</f>
        <v>Audi Hungaria Zrt., Győr Plant (formerly Audi Hungaria Motor Kft.)</v>
      </c>
      <c r="E998" s="12" t="s">
        <v>99</v>
      </c>
      <c r="F998" s="12" t="s">
        <v>61</v>
      </c>
      <c r="G998" s="12" t="s">
        <v>96</v>
      </c>
      <c r="H998" s="12"/>
      <c r="I998" s="14">
        <v>45474</v>
      </c>
      <c r="J998" s="12" t="s">
        <v>182</v>
      </c>
    </row>
    <row r="999" spans="1:10" s="15" customFormat="1" x14ac:dyDescent="0.15">
      <c r="A999" s="11">
        <v>45476</v>
      </c>
      <c r="B999" s="12" t="s">
        <v>58</v>
      </c>
      <c r="C999" s="12" t="s">
        <v>58</v>
      </c>
      <c r="D999" s="13" t="str">
        <f>HYPERLINK("https://www.marklines.com/en/global/3335","FAW Jiefang Group Co., Ltd  ( Formerly FAW Car Co., Ltd. )")</f>
        <v>FAW Jiefang Group Co., Ltd  ( Formerly FAW Car Co., Ltd. )</v>
      </c>
      <c r="E999" s="12" t="s">
        <v>183</v>
      </c>
      <c r="F999" s="12" t="s">
        <v>21</v>
      </c>
      <c r="G999" s="12" t="s">
        <v>47</v>
      </c>
      <c r="H999" s="12" t="s">
        <v>57</v>
      </c>
      <c r="I999" s="14">
        <v>45471</v>
      </c>
      <c r="J999" s="12" t="s">
        <v>184</v>
      </c>
    </row>
    <row r="1000" spans="1:10" s="15" customFormat="1" x14ac:dyDescent="0.15">
      <c r="A1000" s="11">
        <v>45476</v>
      </c>
      <c r="B1000" s="12" t="s">
        <v>58</v>
      </c>
      <c r="C1000" s="12" t="s">
        <v>58</v>
      </c>
      <c r="D1000" s="13" t="str">
        <f>HYPERLINK("https://www.marklines.com/en/global/3333","China FAW Group Co., Ltd.  (Formerly China FAW Group Corporation)")</f>
        <v>China FAW Group Co., Ltd.  (Formerly China FAW Group Corporation)</v>
      </c>
      <c r="E1000" s="12" t="s">
        <v>123</v>
      </c>
      <c r="F1000" s="12" t="s">
        <v>21</v>
      </c>
      <c r="G1000" s="12" t="s">
        <v>47</v>
      </c>
      <c r="H1000" s="12" t="s">
        <v>57</v>
      </c>
      <c r="I1000" s="14">
        <v>45471</v>
      </c>
      <c r="J1000" s="12" t="s">
        <v>184</v>
      </c>
    </row>
    <row r="1001" spans="1:10" s="15" customFormat="1" x14ac:dyDescent="0.15">
      <c r="A1001" s="11">
        <v>45476</v>
      </c>
      <c r="B1001" s="12" t="s">
        <v>131</v>
      </c>
      <c r="C1001" s="12" t="s">
        <v>131</v>
      </c>
      <c r="D1001" s="13" t="str">
        <f>HYPERLINK("https://www.marklines.com/en/global/9553","Leapmotor Co., Ltd. ")</f>
        <v xml:space="preserve">Leapmotor Co., Ltd. </v>
      </c>
      <c r="E1001" s="12" t="s">
        <v>132</v>
      </c>
      <c r="F1001" s="12" t="s">
        <v>21</v>
      </c>
      <c r="G1001" s="12" t="s">
        <v>47</v>
      </c>
      <c r="H1001" s="12" t="s">
        <v>54</v>
      </c>
      <c r="I1001" s="14">
        <v>45471</v>
      </c>
      <c r="J1001" s="12" t="s">
        <v>185</v>
      </c>
    </row>
    <row r="1002" spans="1:10" s="15" customFormat="1" x14ac:dyDescent="0.15">
      <c r="A1002" s="11">
        <v>45476</v>
      </c>
      <c r="B1002" s="12" t="s">
        <v>44</v>
      </c>
      <c r="C1002" s="12" t="s">
        <v>44</v>
      </c>
      <c r="D1002" s="13" t="str">
        <f t="shared" ref="D1002:D1007" si="1">HYPERLINK("https://www.marklines.com/en/global/10395","ADM-Jizzakh (Lada)")</f>
        <v>ADM-Jizzakh (Lada)</v>
      </c>
      <c r="E1002" s="12" t="s">
        <v>186</v>
      </c>
      <c r="F1002" s="12" t="s">
        <v>61</v>
      </c>
      <c r="G1002" s="12" t="s">
        <v>148</v>
      </c>
      <c r="H1002" s="12"/>
      <c r="I1002" s="14">
        <v>45469</v>
      </c>
      <c r="J1002" s="12" t="s">
        <v>187</v>
      </c>
    </row>
    <row r="1003" spans="1:10" s="15" customFormat="1" x14ac:dyDescent="0.15">
      <c r="A1003" s="11">
        <v>45476</v>
      </c>
      <c r="B1003" s="12" t="s">
        <v>55</v>
      </c>
      <c r="C1003" s="12" t="s">
        <v>74</v>
      </c>
      <c r="D1003" s="13" t="str">
        <f t="shared" si="1"/>
        <v>ADM-Jizzakh (Lada)</v>
      </c>
      <c r="E1003" s="12" t="s">
        <v>186</v>
      </c>
      <c r="F1003" s="12" t="s">
        <v>61</v>
      </c>
      <c r="G1003" s="12" t="s">
        <v>148</v>
      </c>
      <c r="H1003" s="12"/>
      <c r="I1003" s="14">
        <v>45469</v>
      </c>
      <c r="J1003" s="12" t="s">
        <v>187</v>
      </c>
    </row>
    <row r="1004" spans="1:10" s="15" customFormat="1" x14ac:dyDescent="0.15">
      <c r="A1004" s="11">
        <v>45476</v>
      </c>
      <c r="B1004" s="12" t="s">
        <v>103</v>
      </c>
      <c r="C1004" s="12" t="s">
        <v>103</v>
      </c>
      <c r="D1004" s="13" t="str">
        <f t="shared" si="1"/>
        <v>ADM-Jizzakh (Lada)</v>
      </c>
      <c r="E1004" s="12" t="s">
        <v>186</v>
      </c>
      <c r="F1004" s="12" t="s">
        <v>61</v>
      </c>
      <c r="G1004" s="12" t="s">
        <v>148</v>
      </c>
      <c r="H1004" s="12"/>
      <c r="I1004" s="14">
        <v>45469</v>
      </c>
      <c r="J1004" s="12" t="s">
        <v>187</v>
      </c>
    </row>
    <row r="1005" spans="1:10" s="15" customFormat="1" x14ac:dyDescent="0.15">
      <c r="A1005" s="11">
        <v>45476</v>
      </c>
      <c r="B1005" s="12" t="s">
        <v>121</v>
      </c>
      <c r="C1005" s="12" t="s">
        <v>134</v>
      </c>
      <c r="D1005" s="13" t="str">
        <f t="shared" si="1"/>
        <v>ADM-Jizzakh (Lada)</v>
      </c>
      <c r="E1005" s="12" t="s">
        <v>186</v>
      </c>
      <c r="F1005" s="12" t="s">
        <v>61</v>
      </c>
      <c r="G1005" s="12" t="s">
        <v>148</v>
      </c>
      <c r="H1005" s="12"/>
      <c r="I1005" s="14">
        <v>45469</v>
      </c>
      <c r="J1005" s="12" t="s">
        <v>187</v>
      </c>
    </row>
    <row r="1006" spans="1:10" s="15" customFormat="1" x14ac:dyDescent="0.15">
      <c r="A1006" s="11">
        <v>45476</v>
      </c>
      <c r="B1006" s="12" t="s">
        <v>80</v>
      </c>
      <c r="C1006" s="12" t="s">
        <v>80</v>
      </c>
      <c r="D1006" s="13" t="str">
        <f t="shared" si="1"/>
        <v>ADM-Jizzakh (Lada)</v>
      </c>
      <c r="E1006" s="12" t="s">
        <v>186</v>
      </c>
      <c r="F1006" s="12" t="s">
        <v>61</v>
      </c>
      <c r="G1006" s="12" t="s">
        <v>148</v>
      </c>
      <c r="H1006" s="12"/>
      <c r="I1006" s="14">
        <v>45469</v>
      </c>
      <c r="J1006" s="12" t="s">
        <v>187</v>
      </c>
    </row>
    <row r="1007" spans="1:10" s="15" customFormat="1" x14ac:dyDescent="0.15">
      <c r="A1007" s="11">
        <v>45476</v>
      </c>
      <c r="B1007" s="12" t="s">
        <v>80</v>
      </c>
      <c r="C1007" s="12" t="s">
        <v>81</v>
      </c>
      <c r="D1007" s="13" t="str">
        <f t="shared" si="1"/>
        <v>ADM-Jizzakh (Lada)</v>
      </c>
      <c r="E1007" s="12" t="s">
        <v>186</v>
      </c>
      <c r="F1007" s="12" t="s">
        <v>61</v>
      </c>
      <c r="G1007" s="12" t="s">
        <v>148</v>
      </c>
      <c r="H1007" s="12"/>
      <c r="I1007" s="14">
        <v>45469</v>
      </c>
      <c r="J1007" s="12" t="s">
        <v>187</v>
      </c>
    </row>
    <row r="1008" spans="1:10" s="15" customFormat="1" x14ac:dyDescent="0.15">
      <c r="A1008" s="11">
        <v>45476</v>
      </c>
      <c r="B1008" s="12" t="s">
        <v>103</v>
      </c>
      <c r="C1008" s="12" t="s">
        <v>103</v>
      </c>
      <c r="D1008" s="13" t="str">
        <f>HYPERLINK("https://www.marklines.com/en/global/3883","Chery Commercial Vehicle (Anhui) Co., Ltd.")</f>
        <v>Chery Commercial Vehicle (Anhui) Co., Ltd.</v>
      </c>
      <c r="E1008" s="12" t="s">
        <v>104</v>
      </c>
      <c r="F1008" s="12" t="s">
        <v>21</v>
      </c>
      <c r="G1008" s="12" t="s">
        <v>47</v>
      </c>
      <c r="H1008" s="12" t="s">
        <v>105</v>
      </c>
      <c r="I1008" s="14">
        <v>45467</v>
      </c>
      <c r="J1008" s="12" t="s">
        <v>188</v>
      </c>
    </row>
    <row r="1009" spans="1:10" s="15" customFormat="1" x14ac:dyDescent="0.15">
      <c r="A1009" s="11">
        <v>45475</v>
      </c>
      <c r="B1009" s="12" t="s">
        <v>49</v>
      </c>
      <c r="C1009" s="12" t="s">
        <v>86</v>
      </c>
      <c r="D1009" s="13" t="str">
        <f>HYPERLINK("https://www.marklines.com/en/global/1965","Volkswagen Navarra, S.A., Pamplona (Landaben) Plant")</f>
        <v>Volkswagen Navarra, S.A., Pamplona (Landaben) Plant</v>
      </c>
      <c r="E1009" s="12" t="s">
        <v>87</v>
      </c>
      <c r="F1009" s="12" t="s">
        <v>13</v>
      </c>
      <c r="G1009" s="12" t="s">
        <v>14</v>
      </c>
      <c r="H1009" s="12"/>
      <c r="I1009" s="14">
        <v>45475</v>
      </c>
      <c r="J1009" s="12" t="s">
        <v>189</v>
      </c>
    </row>
    <row r="1010" spans="1:10" s="15" customFormat="1" x14ac:dyDescent="0.15">
      <c r="A1010" s="11">
        <v>45475</v>
      </c>
      <c r="B1010" s="12" t="s">
        <v>49</v>
      </c>
      <c r="C1010" s="12" t="s">
        <v>86</v>
      </c>
      <c r="D1010" s="13" t="str">
        <f>HYPERLINK("https://www.marklines.com/en/global/10650","PowerCo SE, Sagunto Gigafactory")</f>
        <v>PowerCo SE, Sagunto Gigafactory</v>
      </c>
      <c r="E1010" s="12" t="s">
        <v>106</v>
      </c>
      <c r="F1010" s="12" t="s">
        <v>13</v>
      </c>
      <c r="G1010" s="12" t="s">
        <v>14</v>
      </c>
      <c r="H1010" s="12"/>
      <c r="I1010" s="14">
        <v>45474</v>
      </c>
      <c r="J1010" s="12" t="s">
        <v>190</v>
      </c>
    </row>
    <row r="1011" spans="1:10" s="15" customFormat="1" x14ac:dyDescent="0.15">
      <c r="A1011" s="11">
        <v>45475</v>
      </c>
      <c r="B1011" s="12" t="s">
        <v>191</v>
      </c>
      <c r="C1011" s="12" t="s">
        <v>191</v>
      </c>
      <c r="D1011" s="13" t="str">
        <f>HYPERLINK("https://www.marklines.com/en/global/10885","Amplify Cell Technologies")</f>
        <v>Amplify Cell Technologies</v>
      </c>
      <c r="E1011" s="12" t="s">
        <v>146</v>
      </c>
      <c r="F1011" s="12" t="s">
        <v>16</v>
      </c>
      <c r="G1011" s="12" t="s">
        <v>17</v>
      </c>
      <c r="H1011" s="12" t="s">
        <v>143</v>
      </c>
      <c r="I1011" s="14">
        <v>45474</v>
      </c>
      <c r="J1011" s="12" t="s">
        <v>192</v>
      </c>
    </row>
    <row r="1012" spans="1:10" s="15" customFormat="1" x14ac:dyDescent="0.15">
      <c r="A1012" s="11">
        <v>45475</v>
      </c>
      <c r="B1012" s="12" t="s">
        <v>78</v>
      </c>
      <c r="C1012" s="12" t="s">
        <v>78</v>
      </c>
      <c r="D1012" s="13" t="str">
        <f>HYPERLINK("https://www.marklines.com/en/global/10885","Amplify Cell Technologies")</f>
        <v>Amplify Cell Technologies</v>
      </c>
      <c r="E1012" s="12" t="s">
        <v>146</v>
      </c>
      <c r="F1012" s="12" t="s">
        <v>16</v>
      </c>
      <c r="G1012" s="12" t="s">
        <v>17</v>
      </c>
      <c r="H1012" s="12" t="s">
        <v>143</v>
      </c>
      <c r="I1012" s="14">
        <v>45474</v>
      </c>
      <c r="J1012" s="12" t="s">
        <v>192</v>
      </c>
    </row>
    <row r="1013" spans="1:10" s="15" customFormat="1" x14ac:dyDescent="0.15">
      <c r="A1013" s="11">
        <v>45475</v>
      </c>
      <c r="B1013" s="12" t="s">
        <v>49</v>
      </c>
      <c r="C1013" s="12" t="s">
        <v>86</v>
      </c>
      <c r="D1013" s="13" t="str">
        <f>HYPERLINK("https://www.marklines.com/en/global/10714","Volkswagen China Technology Company (VCTC)")</f>
        <v>Volkswagen China Technology Company (VCTC)</v>
      </c>
      <c r="E1013" s="12" t="s">
        <v>107</v>
      </c>
      <c r="F1013" s="12" t="s">
        <v>21</v>
      </c>
      <c r="G1013" s="12" t="s">
        <v>47</v>
      </c>
      <c r="H1013" s="12" t="s">
        <v>105</v>
      </c>
      <c r="I1013" s="14">
        <v>45470</v>
      </c>
      <c r="J1013" s="12" t="s">
        <v>193</v>
      </c>
    </row>
    <row r="1014" spans="1:10" s="15" customFormat="1" x14ac:dyDescent="0.15">
      <c r="A1014" s="11">
        <v>45475</v>
      </c>
      <c r="B1014" s="12" t="s">
        <v>49</v>
      </c>
      <c r="C1014" s="12" t="s">
        <v>86</v>
      </c>
      <c r="D1014" s="13" t="str">
        <f>HYPERLINK("https://www.marklines.com/en/global/3615","SAIC Volkswagen Automotive Co., Ltd.")</f>
        <v>SAIC Volkswagen Automotive Co., Ltd.</v>
      </c>
      <c r="E1014" s="12" t="s">
        <v>144</v>
      </c>
      <c r="F1014" s="12" t="s">
        <v>21</v>
      </c>
      <c r="G1014" s="12" t="s">
        <v>47</v>
      </c>
      <c r="H1014" s="12" t="s">
        <v>94</v>
      </c>
      <c r="I1014" s="14">
        <v>45470</v>
      </c>
      <c r="J1014" s="12" t="s">
        <v>193</v>
      </c>
    </row>
    <row r="1015" spans="1:10" s="15" customFormat="1" x14ac:dyDescent="0.15">
      <c r="A1015" s="11">
        <v>45475</v>
      </c>
      <c r="B1015" s="12" t="s">
        <v>49</v>
      </c>
      <c r="C1015" s="12" t="s">
        <v>86</v>
      </c>
      <c r="D1015" s="13" t="str">
        <f>HYPERLINK("https://www.marklines.com/en/global/3481","Volkswagen (China) Investment Co., Ltd. ")</f>
        <v xml:space="preserve">Volkswagen (China) Investment Co., Ltd. </v>
      </c>
      <c r="E1015" s="12" t="s">
        <v>108</v>
      </c>
      <c r="F1015" s="12" t="s">
        <v>21</v>
      </c>
      <c r="G1015" s="12" t="s">
        <v>47</v>
      </c>
      <c r="H1015" s="12" t="s">
        <v>56</v>
      </c>
      <c r="I1015" s="14">
        <v>45470</v>
      </c>
      <c r="J1015" s="12" t="s">
        <v>193</v>
      </c>
    </row>
    <row r="1016" spans="1:10" s="15" customFormat="1" x14ac:dyDescent="0.15">
      <c r="A1016" s="11">
        <v>45475</v>
      </c>
      <c r="B1016" s="12" t="s">
        <v>51</v>
      </c>
      <c r="C1016" s="12" t="s">
        <v>51</v>
      </c>
      <c r="D1016" s="13" t="str">
        <f>HYPERLINK("https://www.marklines.com/en/global/3615","SAIC Volkswagen Automotive Co., Ltd.")</f>
        <v>SAIC Volkswagen Automotive Co., Ltd.</v>
      </c>
      <c r="E1016" s="12" t="s">
        <v>144</v>
      </c>
      <c r="F1016" s="12" t="s">
        <v>21</v>
      </c>
      <c r="G1016" s="12" t="s">
        <v>47</v>
      </c>
      <c r="H1016" s="12" t="s">
        <v>94</v>
      </c>
      <c r="I1016" s="14">
        <v>45470</v>
      </c>
      <c r="J1016" s="12" t="s">
        <v>193</v>
      </c>
    </row>
    <row r="1017" spans="1:10" s="15" customFormat="1" x14ac:dyDescent="0.15">
      <c r="A1017" s="11">
        <v>45475</v>
      </c>
      <c r="B1017" s="12" t="s">
        <v>51</v>
      </c>
      <c r="C1017" s="12" t="s">
        <v>51</v>
      </c>
      <c r="D1017" s="13" t="str">
        <f>HYPERLINK("https://www.marklines.com/en/global/3609","SAIC Motor Corporation Limited")</f>
        <v>SAIC Motor Corporation Limited</v>
      </c>
      <c r="E1017" s="12" t="s">
        <v>137</v>
      </c>
      <c r="F1017" s="12" t="s">
        <v>21</v>
      </c>
      <c r="G1017" s="12" t="s">
        <v>47</v>
      </c>
      <c r="H1017" s="12" t="s">
        <v>94</v>
      </c>
      <c r="I1017" s="14">
        <v>45470</v>
      </c>
      <c r="J1017" s="12" t="s">
        <v>193</v>
      </c>
    </row>
    <row r="1018" spans="1:10" s="15" customFormat="1" x14ac:dyDescent="0.15">
      <c r="A1018" s="11">
        <v>45475</v>
      </c>
      <c r="B1018" s="12" t="s">
        <v>46</v>
      </c>
      <c r="C1018" s="12" t="s">
        <v>46</v>
      </c>
      <c r="D1018" s="13" t="str">
        <f>HYPERLINK("https://www.marklines.com/en/global/10714","Volkswagen China Technology Company (VCTC)")</f>
        <v>Volkswagen China Technology Company (VCTC)</v>
      </c>
      <c r="E1018" s="12" t="s">
        <v>107</v>
      </c>
      <c r="F1018" s="12" t="s">
        <v>21</v>
      </c>
      <c r="G1018" s="12" t="s">
        <v>47</v>
      </c>
      <c r="H1018" s="12" t="s">
        <v>105</v>
      </c>
      <c r="I1018" s="14">
        <v>45470</v>
      </c>
      <c r="J1018" s="12" t="s">
        <v>193</v>
      </c>
    </row>
    <row r="1019" spans="1:10" s="15" customFormat="1" x14ac:dyDescent="0.15">
      <c r="A1019" s="11">
        <v>45475</v>
      </c>
      <c r="B1019" s="12" t="s">
        <v>109</v>
      </c>
      <c r="C1019" s="12" t="s">
        <v>110</v>
      </c>
      <c r="D1019" s="13" t="str">
        <f>HYPERLINK("https://www.marklines.com/en/global/10712","Neta Zhihe New Energy Vehicle Technology (Shanghai) Co., Ltd.")</f>
        <v>Neta Zhihe New Energy Vehicle Technology (Shanghai) Co., Ltd.</v>
      </c>
      <c r="E1019" s="12" t="s">
        <v>111</v>
      </c>
      <c r="F1019" s="12" t="s">
        <v>21</v>
      </c>
      <c r="G1019" s="12" t="s">
        <v>47</v>
      </c>
      <c r="H1019" s="12" t="s">
        <v>94</v>
      </c>
      <c r="I1019" s="14">
        <v>45469</v>
      </c>
      <c r="J1019" s="12" t="s">
        <v>194</v>
      </c>
    </row>
    <row r="1020" spans="1:10" s="15" customFormat="1" x14ac:dyDescent="0.15">
      <c r="A1020" s="11">
        <v>45475</v>
      </c>
      <c r="B1020" s="12" t="s">
        <v>109</v>
      </c>
      <c r="C1020" s="12" t="s">
        <v>110</v>
      </c>
      <c r="D1020" s="13" t="str">
        <f>HYPERLINK("https://www.marklines.com/en/global/9538","Hozon New Energy Automobile Co., Ltd. (formerly Zhejiang Hozon New Energy Automobile Co., Ltd.)")</f>
        <v>Hozon New Energy Automobile Co., Ltd. (formerly Zhejiang Hozon New Energy Automobile Co., Ltd.)</v>
      </c>
      <c r="E1020" s="12" t="s">
        <v>117</v>
      </c>
      <c r="F1020" s="12" t="s">
        <v>21</v>
      </c>
      <c r="G1020" s="12" t="s">
        <v>47</v>
      </c>
      <c r="H1020" s="12" t="s">
        <v>54</v>
      </c>
      <c r="I1020" s="14">
        <v>45469</v>
      </c>
      <c r="J1020" s="12" t="s">
        <v>194</v>
      </c>
    </row>
    <row r="1021" spans="1:10" s="15" customFormat="1" x14ac:dyDescent="0.15">
      <c r="A1021" s="11">
        <v>45474</v>
      </c>
      <c r="B1021" s="12" t="s">
        <v>11</v>
      </c>
      <c r="C1021" s="12" t="s">
        <v>11</v>
      </c>
      <c r="D1021" s="13" t="str">
        <f>HYPERLINK("https://www.marklines.com/en/global/1939","Stellantis, Peugeot Citroen Automoviles Espana S.A., Vigo Plant")</f>
        <v>Stellantis, Peugeot Citroen Automoviles Espana S.A., Vigo Plant</v>
      </c>
      <c r="E1021" s="12" t="s">
        <v>12</v>
      </c>
      <c r="F1021" s="12" t="s">
        <v>13</v>
      </c>
      <c r="G1021" s="12" t="s">
        <v>14</v>
      </c>
      <c r="H1021" s="12"/>
      <c r="I1021" s="14">
        <v>45474</v>
      </c>
      <c r="J1021" s="12" t="s">
        <v>195</v>
      </c>
    </row>
    <row r="1022" spans="1:10" s="15" customFormat="1" x14ac:dyDescent="0.15">
      <c r="A1022" s="11">
        <v>45474</v>
      </c>
      <c r="B1022" s="12" t="s">
        <v>95</v>
      </c>
      <c r="C1022" s="12" t="s">
        <v>95</v>
      </c>
      <c r="D1022" s="13" t="str">
        <f>HYPERLINK("https://www.marklines.com/en/global/2213","BMW AG, Wackersdorf Plant")</f>
        <v>BMW AG, Wackersdorf Plant</v>
      </c>
      <c r="E1022" s="12" t="s">
        <v>149</v>
      </c>
      <c r="F1022" s="12" t="s">
        <v>13</v>
      </c>
      <c r="G1022" s="12" t="s">
        <v>25</v>
      </c>
      <c r="H1022" s="12"/>
      <c r="I1022" s="14">
        <v>45474</v>
      </c>
      <c r="J1022" s="12" t="s">
        <v>196</v>
      </c>
    </row>
    <row r="1023" spans="1:10" s="15" customFormat="1" x14ac:dyDescent="0.15">
      <c r="A1023" s="11">
        <v>45474</v>
      </c>
      <c r="B1023" s="12" t="s">
        <v>95</v>
      </c>
      <c r="C1023" s="12" t="s">
        <v>95</v>
      </c>
      <c r="D1023" s="13" t="str">
        <f>HYPERLINK("https://www.marklines.com/en/global/2215","BMW AG, Leipzig Plant")</f>
        <v>BMW AG, Leipzig Plant</v>
      </c>
      <c r="E1023" s="12" t="s">
        <v>136</v>
      </c>
      <c r="F1023" s="12" t="s">
        <v>13</v>
      </c>
      <c r="G1023" s="12" t="s">
        <v>25</v>
      </c>
      <c r="H1023" s="12"/>
      <c r="I1023" s="14">
        <v>45474</v>
      </c>
      <c r="J1023" s="12" t="s">
        <v>196</v>
      </c>
    </row>
    <row r="1024" spans="1:10" s="15" customFormat="1" x14ac:dyDescent="0.15">
      <c r="A1024" s="11">
        <v>45474</v>
      </c>
      <c r="B1024" s="12" t="s">
        <v>95</v>
      </c>
      <c r="C1024" s="12" t="s">
        <v>95</v>
      </c>
      <c r="D1024" s="13" t="str">
        <f>HYPERLINK("https://www.marklines.com/en/global/10200","BMW Group Lightweight Construction and Technology Center Landshut (LuTZ)")</f>
        <v>BMW Group Lightweight Construction and Technology Center Landshut (LuTZ)</v>
      </c>
      <c r="E1024" s="12" t="s">
        <v>145</v>
      </c>
      <c r="F1024" s="12" t="s">
        <v>13</v>
      </c>
      <c r="G1024" s="12" t="s">
        <v>25</v>
      </c>
      <c r="H1024" s="12"/>
      <c r="I1024" s="14">
        <v>45474</v>
      </c>
      <c r="J1024" s="12" t="s">
        <v>197</v>
      </c>
    </row>
    <row r="1025" spans="1:10" s="15" customFormat="1" x14ac:dyDescent="0.15">
      <c r="A1025" s="11">
        <v>45474</v>
      </c>
      <c r="B1025" s="12" t="s">
        <v>95</v>
      </c>
      <c r="C1025" s="12" t="s">
        <v>95</v>
      </c>
      <c r="D1025" s="13" t="str">
        <f>HYPERLINK("https://www.marklines.com/en/global/2207","BMW AG, Dingolfing Plant")</f>
        <v>BMW AG, Dingolfing Plant</v>
      </c>
      <c r="E1025" s="12" t="s">
        <v>198</v>
      </c>
      <c r="F1025" s="12" t="s">
        <v>13</v>
      </c>
      <c r="G1025" s="12" t="s">
        <v>25</v>
      </c>
      <c r="H1025" s="12"/>
      <c r="I1025" s="14">
        <v>45474</v>
      </c>
      <c r="J1025" s="12" t="s">
        <v>197</v>
      </c>
    </row>
    <row r="1026" spans="1:10" s="15" customFormat="1" x14ac:dyDescent="0.15">
      <c r="A1026" s="11">
        <v>45474</v>
      </c>
      <c r="B1026" s="12" t="s">
        <v>33</v>
      </c>
      <c r="C1026" s="12" t="s">
        <v>34</v>
      </c>
      <c r="D1026" s="13" t="str">
        <f>HYPERLINK("https://www.marklines.com/en/global/10250","Mercedes-Benz Research and Development India Private Limited (MBRDI)(Bangalore)")</f>
        <v>Mercedes-Benz Research and Development India Private Limited (MBRDI)(Bangalore)</v>
      </c>
      <c r="E1026" s="12" t="s">
        <v>199</v>
      </c>
      <c r="F1026" s="12" t="s">
        <v>36</v>
      </c>
      <c r="G1026" s="12" t="s">
        <v>37</v>
      </c>
      <c r="H1026" s="12" t="s">
        <v>200</v>
      </c>
      <c r="I1026" s="14">
        <v>45474</v>
      </c>
      <c r="J1026" s="12" t="s">
        <v>201</v>
      </c>
    </row>
    <row r="1027" spans="1:10" s="15" customFormat="1" x14ac:dyDescent="0.15">
      <c r="A1027" s="11">
        <v>45474</v>
      </c>
      <c r="B1027" s="12" t="s">
        <v>82</v>
      </c>
      <c r="C1027" s="12" t="s">
        <v>83</v>
      </c>
      <c r="D1027" s="13" t="str">
        <f>HYPERLINK("https://www.marklines.com/en/global/3685","Beiqi Foton Motor Co., Ltd. Forland Truck Plant (formerly Beiqi Foton Motor Co., Ltd. Zhucheng Ollin Automobile Factory)")</f>
        <v>Beiqi Foton Motor Co., Ltd. Forland Truck Plant (formerly Beiqi Foton Motor Co., Ltd. Zhucheng Ollin Automobile Factory)</v>
      </c>
      <c r="E1027" s="12" t="s">
        <v>202</v>
      </c>
      <c r="F1027" s="12" t="s">
        <v>21</v>
      </c>
      <c r="G1027" s="12" t="s">
        <v>47</v>
      </c>
      <c r="H1027" s="12" t="s">
        <v>116</v>
      </c>
      <c r="I1027" s="14">
        <v>45470</v>
      </c>
      <c r="J1027" s="12" t="s">
        <v>203</v>
      </c>
    </row>
    <row r="1028" spans="1:10" s="15" customFormat="1" x14ac:dyDescent="0.15">
      <c r="A1028" s="11">
        <v>45474</v>
      </c>
      <c r="B1028" s="12" t="s">
        <v>55</v>
      </c>
      <c r="C1028" s="12" t="s">
        <v>74</v>
      </c>
      <c r="D1028" s="13" t="str">
        <f>HYPERLINK("https://www.marklines.com/en/global/3145","Kia Georgia, Inc. (KMMG), West Point Plant")</f>
        <v>Kia Georgia, Inc. (KMMG), West Point Plant</v>
      </c>
      <c r="E1028" s="12" t="s">
        <v>75</v>
      </c>
      <c r="F1028" s="12" t="s">
        <v>16</v>
      </c>
      <c r="G1028" s="12" t="s">
        <v>17</v>
      </c>
      <c r="H1028" s="12" t="s">
        <v>76</v>
      </c>
      <c r="I1028" s="14">
        <v>45469</v>
      </c>
      <c r="J1028" s="12" t="s">
        <v>204</v>
      </c>
    </row>
    <row r="1029" spans="1:10" s="15" customFormat="1" x14ac:dyDescent="0.15">
      <c r="A1029" s="11">
        <v>45474</v>
      </c>
      <c r="B1029" s="12" t="s">
        <v>55</v>
      </c>
      <c r="C1029" s="12" t="s">
        <v>74</v>
      </c>
      <c r="D1029" s="13" t="str">
        <f>HYPERLINK("https://www.marklines.com/en/global/2443","Kia, Hwaseong Plant (AutoLand  Hwaseong)")</f>
        <v>Kia, Hwaseong Plant (AutoLand  Hwaseong)</v>
      </c>
      <c r="E1029" s="12" t="s">
        <v>100</v>
      </c>
      <c r="F1029" s="12" t="s">
        <v>21</v>
      </c>
      <c r="G1029" s="12" t="s">
        <v>85</v>
      </c>
      <c r="H1029" s="12"/>
      <c r="I1029" s="14">
        <v>45469</v>
      </c>
      <c r="J1029" s="12" t="s">
        <v>204</v>
      </c>
    </row>
    <row r="1030" spans="1:10" s="15" customFormat="1" x14ac:dyDescent="0.15">
      <c r="A1030" s="11">
        <v>45474</v>
      </c>
      <c r="B1030" s="12" t="s">
        <v>55</v>
      </c>
      <c r="C1030" s="12" t="s">
        <v>74</v>
      </c>
      <c r="D1030" s="13" t="str">
        <f>HYPERLINK("https://www.marklines.com/en/global/2443","Kia, Hwaseong Plant (AutoLand  Hwaseong)")</f>
        <v>Kia, Hwaseong Plant (AutoLand  Hwaseong)</v>
      </c>
      <c r="E1030" s="12" t="s">
        <v>100</v>
      </c>
      <c r="F1030" s="12" t="s">
        <v>21</v>
      </c>
      <c r="G1030" s="12" t="s">
        <v>85</v>
      </c>
      <c r="H1030" s="12"/>
      <c r="I1030" s="14">
        <v>45469</v>
      </c>
      <c r="J1030" s="12" t="s">
        <v>205</v>
      </c>
    </row>
    <row r="1031" spans="1:10" s="15" customFormat="1" x14ac:dyDescent="0.15">
      <c r="A1031" s="11">
        <v>45474</v>
      </c>
      <c r="B1031" s="12" t="s">
        <v>35</v>
      </c>
      <c r="C1031" s="12" t="s">
        <v>62</v>
      </c>
      <c r="D1031" s="13" t="str">
        <f>HYPERLINK("https://www.marklines.com/en/global/539","Daihatsu Motor, Head (Ikeda) Plant")</f>
        <v>Daihatsu Motor, Head (Ikeda) Plant</v>
      </c>
      <c r="E1031" s="12" t="s">
        <v>63</v>
      </c>
      <c r="F1031" s="12" t="s">
        <v>21</v>
      </c>
      <c r="G1031" s="12" t="s">
        <v>22</v>
      </c>
      <c r="H1031" s="12" t="s">
        <v>64</v>
      </c>
      <c r="I1031" s="14">
        <v>45468</v>
      </c>
      <c r="J1031" s="12" t="s">
        <v>206</v>
      </c>
    </row>
    <row r="1032" spans="1:10" s="15" customFormat="1" x14ac:dyDescent="0.15">
      <c r="A1032" s="11">
        <v>45474</v>
      </c>
      <c r="B1032" s="12" t="s">
        <v>35</v>
      </c>
      <c r="C1032" s="12" t="s">
        <v>62</v>
      </c>
      <c r="D1032" s="13" t="str">
        <f>HYPERLINK("https://www.marklines.com/en/global/541","Daihatsu Motor, Kyoto (Oyamazaki) Plant")</f>
        <v>Daihatsu Motor, Kyoto (Oyamazaki) Plant</v>
      </c>
      <c r="E1032" s="12" t="s">
        <v>68</v>
      </c>
      <c r="F1032" s="12" t="s">
        <v>21</v>
      </c>
      <c r="G1032" s="12" t="s">
        <v>22</v>
      </c>
      <c r="H1032" s="12" t="s">
        <v>69</v>
      </c>
      <c r="I1032" s="14">
        <v>45468</v>
      </c>
      <c r="J1032" s="12" t="s">
        <v>206</v>
      </c>
    </row>
    <row r="1033" spans="1:10" s="15" customFormat="1" x14ac:dyDescent="0.15">
      <c r="A1033" s="11">
        <v>45474</v>
      </c>
      <c r="B1033" s="12" t="s">
        <v>35</v>
      </c>
      <c r="C1033" s="12" t="s">
        <v>62</v>
      </c>
      <c r="D1033" s="13" t="str">
        <f>HYPERLINK("https://www.marklines.com/en/global/543","Daihatsu Motor, Shiga (Ryuo) Plant")</f>
        <v>Daihatsu Motor, Shiga (Ryuo) Plant</v>
      </c>
      <c r="E1033" s="12" t="s">
        <v>89</v>
      </c>
      <c r="F1033" s="12" t="s">
        <v>21</v>
      </c>
      <c r="G1033" s="12" t="s">
        <v>22</v>
      </c>
      <c r="H1033" s="12" t="s">
        <v>90</v>
      </c>
      <c r="I1033" s="14">
        <v>45468</v>
      </c>
      <c r="J1033" s="12" t="s">
        <v>206</v>
      </c>
    </row>
    <row r="1034" spans="1:10" s="15" customFormat="1" x14ac:dyDescent="0.15">
      <c r="A1034" s="11">
        <v>45474</v>
      </c>
      <c r="B1034" s="12" t="s">
        <v>35</v>
      </c>
      <c r="C1034" s="12" t="s">
        <v>62</v>
      </c>
      <c r="D1034" s="13" t="str">
        <f>HYPERLINK("https://www.marklines.com/en/global/547","Daihatsu Motor Kyushu, Oita (Nakatsu) Plant")</f>
        <v>Daihatsu Motor Kyushu, Oita (Nakatsu) Plant</v>
      </c>
      <c r="E1034" s="12" t="s">
        <v>65</v>
      </c>
      <c r="F1034" s="12" t="s">
        <v>21</v>
      </c>
      <c r="G1034" s="12" t="s">
        <v>22</v>
      </c>
      <c r="H1034" s="12" t="s">
        <v>66</v>
      </c>
      <c r="I1034" s="14">
        <v>45468</v>
      </c>
      <c r="J1034" s="12" t="s">
        <v>206</v>
      </c>
    </row>
    <row r="1035" spans="1:10" s="15" customFormat="1" x14ac:dyDescent="0.15">
      <c r="A1035" s="11">
        <v>45474</v>
      </c>
      <c r="B1035" s="12" t="s">
        <v>88</v>
      </c>
      <c r="C1035" s="12" t="s">
        <v>88</v>
      </c>
      <c r="D1035" s="13" t="str">
        <f>HYPERLINK("https://www.marklines.com/en/global/541","Daihatsu Motor, Kyoto (Oyamazaki) Plant")</f>
        <v>Daihatsu Motor, Kyoto (Oyamazaki) Plant</v>
      </c>
      <c r="E1035" s="12" t="s">
        <v>68</v>
      </c>
      <c r="F1035" s="12" t="s">
        <v>21</v>
      </c>
      <c r="G1035" s="12" t="s">
        <v>22</v>
      </c>
      <c r="H1035" s="12" t="s">
        <v>69</v>
      </c>
      <c r="I1035" s="14">
        <v>45468</v>
      </c>
      <c r="J1035" s="12" t="s">
        <v>206</v>
      </c>
    </row>
    <row r="1036" spans="1:10" s="15" customFormat="1" x14ac:dyDescent="0.15">
      <c r="A1036" s="11">
        <v>45474</v>
      </c>
      <c r="B1036" s="12" t="s">
        <v>20</v>
      </c>
      <c r="C1036" s="12" t="s">
        <v>20</v>
      </c>
      <c r="D1036" s="13" t="str">
        <f>HYPERLINK("https://www.marklines.com/en/global/541","Daihatsu Motor, Kyoto (Oyamazaki) Plant")</f>
        <v>Daihatsu Motor, Kyoto (Oyamazaki) Plant</v>
      </c>
      <c r="E1036" s="12" t="s">
        <v>68</v>
      </c>
      <c r="F1036" s="12" t="s">
        <v>21</v>
      </c>
      <c r="G1036" s="12" t="s">
        <v>22</v>
      </c>
      <c r="H1036" s="12" t="s">
        <v>69</v>
      </c>
      <c r="I1036" s="14">
        <v>45468</v>
      </c>
      <c r="J1036" s="12" t="s">
        <v>206</v>
      </c>
    </row>
    <row r="1037" spans="1:10" s="15" customFormat="1" x14ac:dyDescent="0.15">
      <c r="A1037" s="11">
        <v>45474</v>
      </c>
      <c r="B1037" s="12" t="s">
        <v>20</v>
      </c>
      <c r="C1037" s="12" t="s">
        <v>20</v>
      </c>
      <c r="D1037" s="13" t="str">
        <f>HYPERLINK("https://www.marklines.com/en/global/543","Daihatsu Motor, Shiga (Ryuo) Plant")</f>
        <v>Daihatsu Motor, Shiga (Ryuo) Plant</v>
      </c>
      <c r="E1037" s="12" t="s">
        <v>89</v>
      </c>
      <c r="F1037" s="12" t="s">
        <v>21</v>
      </c>
      <c r="G1037" s="12" t="s">
        <v>22</v>
      </c>
      <c r="H1037" s="12" t="s">
        <v>90</v>
      </c>
      <c r="I1037" s="14">
        <v>45468</v>
      </c>
      <c r="J1037" s="12" t="s">
        <v>206</v>
      </c>
    </row>
    <row r="1038" spans="1:10" s="15" customFormat="1" x14ac:dyDescent="0.15">
      <c r="A1038" s="11">
        <v>45474</v>
      </c>
      <c r="B1038" s="12" t="s">
        <v>20</v>
      </c>
      <c r="C1038" s="12" t="s">
        <v>20</v>
      </c>
      <c r="D1038" s="13" t="str">
        <f>HYPERLINK("https://www.marklines.com/en/global/547","Daihatsu Motor Kyushu, Oita (Nakatsu) Plant")</f>
        <v>Daihatsu Motor Kyushu, Oita (Nakatsu) Plant</v>
      </c>
      <c r="E1038" s="12" t="s">
        <v>65</v>
      </c>
      <c r="F1038" s="12" t="s">
        <v>21</v>
      </c>
      <c r="G1038" s="12" t="s">
        <v>22</v>
      </c>
      <c r="H1038" s="12" t="s">
        <v>66</v>
      </c>
      <c r="I1038" s="14">
        <v>45468</v>
      </c>
      <c r="J1038" s="12" t="s">
        <v>206</v>
      </c>
    </row>
    <row r="1039" spans="1:10" s="15" customFormat="1" x14ac:dyDescent="0.15">
      <c r="A1039" s="11">
        <v>45474</v>
      </c>
      <c r="B1039" s="12" t="s">
        <v>77</v>
      </c>
      <c r="C1039" s="12" t="s">
        <v>207</v>
      </c>
      <c r="D1039" s="13" t="str">
        <f>HYPERLINK("https://www.marklines.com/en/global/475","Nissan Shatai Kyushu Co., Ltd.")</f>
        <v>Nissan Shatai Kyushu Co., Ltd.</v>
      </c>
      <c r="E1039" s="12" t="s">
        <v>141</v>
      </c>
      <c r="F1039" s="12" t="s">
        <v>21</v>
      </c>
      <c r="G1039" s="12" t="s">
        <v>22</v>
      </c>
      <c r="H1039" s="12" t="s">
        <v>142</v>
      </c>
      <c r="I1039" s="14">
        <v>45467</v>
      </c>
      <c r="J1039" s="12" t="s">
        <v>522</v>
      </c>
    </row>
    <row r="1040" spans="1:10" s="15" customFormat="1" x14ac:dyDescent="0.15">
      <c r="A1040" s="11">
        <v>45474</v>
      </c>
      <c r="B1040" s="12" t="s">
        <v>59</v>
      </c>
      <c r="C1040" s="12" t="s">
        <v>59</v>
      </c>
      <c r="D1040" s="13" t="str">
        <f>HYPERLINK("https://www.marklines.com/en/global/10622","Yinpai Battery Technology Co., Ltd.")</f>
        <v>Yinpai Battery Technology Co., Ltd.</v>
      </c>
      <c r="E1040" s="12" t="s">
        <v>208</v>
      </c>
      <c r="F1040" s="12" t="s">
        <v>21</v>
      </c>
      <c r="G1040" s="12" t="s">
        <v>47</v>
      </c>
      <c r="H1040" s="12" t="s">
        <v>48</v>
      </c>
      <c r="I1040" s="14">
        <v>45467</v>
      </c>
      <c r="J1040" s="12" t="s">
        <v>209</v>
      </c>
    </row>
    <row r="1041" spans="1:10" s="15" customFormat="1" x14ac:dyDescent="0.15">
      <c r="A1041" s="11">
        <v>45474</v>
      </c>
      <c r="B1041" s="12" t="s">
        <v>59</v>
      </c>
      <c r="C1041" s="12" t="s">
        <v>59</v>
      </c>
      <c r="D1041" s="13" t="str">
        <f>HYPERLINK("https://www.marklines.com/en/global/4073","Guangzhou Automobile Group Co., Ltd. (GAC)")</f>
        <v>Guangzhou Automobile Group Co., Ltd. (GAC)</v>
      </c>
      <c r="E1041" s="12" t="s">
        <v>97</v>
      </c>
      <c r="F1041" s="12" t="s">
        <v>21</v>
      </c>
      <c r="G1041" s="12" t="s">
        <v>47</v>
      </c>
      <c r="H1041" s="12" t="s">
        <v>48</v>
      </c>
      <c r="I1041" s="14">
        <v>45467</v>
      </c>
      <c r="J1041" s="12" t="s">
        <v>209</v>
      </c>
    </row>
    <row r="1042" spans="1:10" s="15" customFormat="1" x14ac:dyDescent="0.15">
      <c r="A1042" s="11">
        <v>45474</v>
      </c>
      <c r="B1042" s="12" t="s">
        <v>35</v>
      </c>
      <c r="C1042" s="12" t="s">
        <v>35</v>
      </c>
      <c r="D1042" s="13" t="str">
        <f>HYPERLINK("https://www.marklines.com/en/global/381","Toyota Motor, Tahara Plant")</f>
        <v>Toyota Motor, Tahara Plant</v>
      </c>
      <c r="E1042" s="12" t="s">
        <v>93</v>
      </c>
      <c r="F1042" s="12" t="s">
        <v>21</v>
      </c>
      <c r="G1042" s="12" t="s">
        <v>22</v>
      </c>
      <c r="H1042" s="12" t="s">
        <v>92</v>
      </c>
      <c r="I1042" s="14">
        <v>45464</v>
      </c>
      <c r="J1042" s="12" t="s">
        <v>210</v>
      </c>
    </row>
    <row r="1043" spans="1:10" s="15" customFormat="1" x14ac:dyDescent="0.15">
      <c r="A1043" s="11">
        <v>45474</v>
      </c>
      <c r="B1043" s="12" t="s">
        <v>35</v>
      </c>
      <c r="C1043" s="12" t="s">
        <v>35</v>
      </c>
      <c r="D1043" s="13" t="str">
        <f>HYPERLINK("https://www.marklines.com/en/global/567","Hino Motors, Hamura Plant")</f>
        <v>Hino Motors, Hamura Plant</v>
      </c>
      <c r="E1043" s="12" t="s">
        <v>125</v>
      </c>
      <c r="F1043" s="12" t="s">
        <v>21</v>
      </c>
      <c r="G1043" s="12" t="s">
        <v>22</v>
      </c>
      <c r="H1043" s="12" t="s">
        <v>126</v>
      </c>
      <c r="I1043" s="14">
        <v>45464</v>
      </c>
      <c r="J1043" s="12" t="s">
        <v>210</v>
      </c>
    </row>
    <row r="1044" spans="1:10" s="15" customFormat="1" x14ac:dyDescent="0.15">
      <c r="A1044" s="11">
        <v>45474</v>
      </c>
      <c r="B1044" s="12" t="s">
        <v>35</v>
      </c>
      <c r="C1044" s="12" t="s">
        <v>35</v>
      </c>
      <c r="D1044" s="13" t="str">
        <f>HYPERLINK("https://www.marklines.com/en/global/409","Toyota Auto Body, Fujimatsu Plant")</f>
        <v>Toyota Auto Body, Fujimatsu Plant</v>
      </c>
      <c r="E1044" s="12" t="s">
        <v>127</v>
      </c>
      <c r="F1044" s="12" t="s">
        <v>21</v>
      </c>
      <c r="G1044" s="12" t="s">
        <v>22</v>
      </c>
      <c r="H1044" s="12" t="s">
        <v>92</v>
      </c>
      <c r="I1044" s="14">
        <v>45464</v>
      </c>
      <c r="J1044" s="12" t="s">
        <v>210</v>
      </c>
    </row>
    <row r="1045" spans="1:10" s="15" customFormat="1" x14ac:dyDescent="0.15">
      <c r="A1045" s="11">
        <v>45474</v>
      </c>
      <c r="B1045" s="12" t="s">
        <v>35</v>
      </c>
      <c r="C1045" s="12" t="s">
        <v>35</v>
      </c>
      <c r="D1045" s="13" t="str">
        <f>HYPERLINK("https://www.marklines.com/en/global/411","Toyota Auto Body, Yoshiwara Plant")</f>
        <v>Toyota Auto Body, Yoshiwara Plant</v>
      </c>
      <c r="E1045" s="12" t="s">
        <v>211</v>
      </c>
      <c r="F1045" s="12" t="s">
        <v>21</v>
      </c>
      <c r="G1045" s="12" t="s">
        <v>22</v>
      </c>
      <c r="H1045" s="12" t="s">
        <v>92</v>
      </c>
      <c r="I1045" s="14">
        <v>45464</v>
      </c>
      <c r="J1045" s="12" t="s">
        <v>210</v>
      </c>
    </row>
    <row r="1046" spans="1:10" s="15" customFormat="1" x14ac:dyDescent="0.15">
      <c r="A1046" s="11">
        <v>45474</v>
      </c>
      <c r="B1046" s="12" t="s">
        <v>35</v>
      </c>
      <c r="C1046" s="12" t="s">
        <v>35</v>
      </c>
      <c r="D1046" s="13" t="str">
        <f>HYPERLINK("https://www.marklines.com/en/global/417","Gifu Auto Body Co., Ltd., Honsha Plant")</f>
        <v>Gifu Auto Body Co., Ltd., Honsha Plant</v>
      </c>
      <c r="E1046" s="12" t="s">
        <v>212</v>
      </c>
      <c r="F1046" s="12" t="s">
        <v>21</v>
      </c>
      <c r="G1046" s="12" t="s">
        <v>22</v>
      </c>
      <c r="H1046" s="12" t="s">
        <v>213</v>
      </c>
      <c r="I1046" s="14">
        <v>45464</v>
      </c>
      <c r="J1046" s="12" t="s">
        <v>210</v>
      </c>
    </row>
    <row r="1047" spans="1:10" s="15" customFormat="1" x14ac:dyDescent="0.15">
      <c r="A1047" s="11">
        <v>45474</v>
      </c>
      <c r="B1047" s="12" t="s">
        <v>35</v>
      </c>
      <c r="C1047" s="12" t="s">
        <v>133</v>
      </c>
      <c r="D1047" s="13" t="str">
        <f>HYPERLINK("https://www.marklines.com/en/global/381","Toyota Motor, Tahara Plant")</f>
        <v>Toyota Motor, Tahara Plant</v>
      </c>
      <c r="E1047" s="12" t="s">
        <v>93</v>
      </c>
      <c r="F1047" s="12" t="s">
        <v>21</v>
      </c>
      <c r="G1047" s="12" t="s">
        <v>22</v>
      </c>
      <c r="H1047" s="12" t="s">
        <v>92</v>
      </c>
      <c r="I1047" s="14">
        <v>45464</v>
      </c>
      <c r="J1047" s="12" t="s">
        <v>210</v>
      </c>
    </row>
    <row r="1048" spans="1:10" s="15" customFormat="1" x14ac:dyDescent="0.15">
      <c r="A1048" s="11">
        <v>45474</v>
      </c>
      <c r="B1048" s="12" t="s">
        <v>35</v>
      </c>
      <c r="C1048" s="12" t="s">
        <v>133</v>
      </c>
      <c r="D1048" s="13" t="str">
        <f>HYPERLINK("https://www.marklines.com/en/global/411","Toyota Auto Body, Yoshiwara Plant")</f>
        <v>Toyota Auto Body, Yoshiwara Plant</v>
      </c>
      <c r="E1048" s="12" t="s">
        <v>211</v>
      </c>
      <c r="F1048" s="12" t="s">
        <v>21</v>
      </c>
      <c r="G1048" s="12" t="s">
        <v>22</v>
      </c>
      <c r="H1048" s="12" t="s">
        <v>92</v>
      </c>
      <c r="I1048" s="14">
        <v>45464</v>
      </c>
      <c r="J1048" s="12" t="s">
        <v>210</v>
      </c>
    </row>
    <row r="1049" spans="1:10" x14ac:dyDescent="0.15">
      <c r="A1049" s="7"/>
      <c r="B1049" s="8"/>
      <c r="C1049" s="8"/>
      <c r="D1049" s="9"/>
      <c r="E1049" s="8"/>
      <c r="F1049" s="8"/>
      <c r="G1049" s="8"/>
      <c r="H1049" s="8"/>
      <c r="I1049" s="10"/>
      <c r="J1049" s="8"/>
    </row>
    <row r="1050" spans="1:10" x14ac:dyDescent="0.15">
      <c r="A1050" s="7"/>
      <c r="B1050" s="8"/>
      <c r="C1050" s="8"/>
      <c r="D1050" s="9"/>
      <c r="E1050" s="8"/>
      <c r="F1050" s="8"/>
      <c r="G1050" s="8"/>
      <c r="H1050" s="8"/>
      <c r="I1050" s="10"/>
      <c r="J1050" s="8"/>
    </row>
    <row r="1051" spans="1:10" x14ac:dyDescent="0.15">
      <c r="A1051" s="7"/>
      <c r="B1051" s="8"/>
      <c r="C1051" s="8"/>
      <c r="D1051" s="9"/>
      <c r="E1051" s="8"/>
      <c r="F1051" s="8"/>
      <c r="G1051" s="8"/>
      <c r="H1051" s="8"/>
      <c r="I1051" s="10"/>
      <c r="J1051" s="8"/>
    </row>
    <row r="1052" spans="1:10" x14ac:dyDescent="0.15">
      <c r="A1052" s="7"/>
      <c r="B1052" s="8"/>
      <c r="C1052" s="8"/>
      <c r="D1052" s="9"/>
      <c r="E1052" s="8"/>
      <c r="F1052" s="8"/>
      <c r="G1052" s="8"/>
      <c r="H1052" s="8"/>
      <c r="I1052" s="10"/>
      <c r="J1052" s="8"/>
    </row>
    <row r="1053" spans="1:10" x14ac:dyDescent="0.15">
      <c r="A1053" s="7"/>
      <c r="B1053" s="8"/>
      <c r="C1053" s="8"/>
      <c r="D1053" s="9"/>
      <c r="E1053" s="8"/>
      <c r="F1053" s="8"/>
      <c r="G1053" s="8"/>
      <c r="H1053" s="8"/>
      <c r="I1053" s="10"/>
      <c r="J1053" s="8"/>
    </row>
    <row r="1054" spans="1:10" x14ac:dyDescent="0.15">
      <c r="A1054" s="7"/>
      <c r="B1054" s="8"/>
      <c r="C1054" s="8"/>
      <c r="D1054" s="9"/>
      <c r="E1054" s="8"/>
      <c r="F1054" s="8"/>
      <c r="G1054" s="8"/>
      <c r="H1054" s="8"/>
      <c r="I1054" s="10"/>
      <c r="J1054" s="8"/>
    </row>
    <row r="1055" spans="1:10" x14ac:dyDescent="0.15">
      <c r="A1055" s="7"/>
      <c r="B1055" s="8"/>
      <c r="C1055" s="8"/>
      <c r="D1055" s="9"/>
      <c r="E1055" s="8"/>
      <c r="F1055" s="8"/>
      <c r="G1055" s="8"/>
      <c r="H1055" s="8"/>
      <c r="I1055" s="10"/>
      <c r="J1055" s="8"/>
    </row>
    <row r="1056" spans="1:10" x14ac:dyDescent="0.15">
      <c r="A1056" s="7"/>
      <c r="B1056" s="8"/>
      <c r="C1056" s="8"/>
      <c r="D1056" s="9"/>
      <c r="E1056" s="8"/>
      <c r="F1056" s="8"/>
      <c r="G1056" s="8"/>
      <c r="H1056" s="8"/>
      <c r="I1056" s="10"/>
      <c r="J1056" s="8"/>
    </row>
    <row r="1057" spans="1:10" x14ac:dyDescent="0.15">
      <c r="A1057" s="7"/>
      <c r="B1057" s="8"/>
      <c r="C1057" s="8"/>
      <c r="D1057" s="9"/>
      <c r="E1057" s="8"/>
      <c r="F1057" s="8"/>
      <c r="G1057" s="8"/>
      <c r="H1057" s="8"/>
      <c r="I1057" s="10"/>
      <c r="J1057" s="8"/>
    </row>
    <row r="1058" spans="1:10" x14ac:dyDescent="0.15">
      <c r="A1058" s="7"/>
      <c r="B1058" s="8"/>
      <c r="C1058" s="8"/>
      <c r="D1058" s="9"/>
      <c r="E1058" s="8"/>
      <c r="F1058" s="8"/>
      <c r="G1058" s="8"/>
      <c r="H1058" s="8"/>
      <c r="I1058" s="10"/>
      <c r="J1058" s="8"/>
    </row>
    <row r="1059" spans="1:10" x14ac:dyDescent="0.15">
      <c r="A1059" s="7"/>
      <c r="B1059" s="8"/>
      <c r="C1059" s="8"/>
      <c r="D1059" s="9"/>
      <c r="E1059" s="8"/>
      <c r="F1059" s="8"/>
      <c r="G1059" s="8"/>
      <c r="H1059" s="8"/>
      <c r="I1059" s="10"/>
      <c r="J1059" s="8"/>
    </row>
    <row r="1060" spans="1:10" x14ac:dyDescent="0.15">
      <c r="A1060" s="7"/>
      <c r="B1060" s="8"/>
      <c r="C1060" s="8"/>
      <c r="D1060" s="9"/>
      <c r="E1060" s="8"/>
      <c r="F1060" s="8"/>
      <c r="G1060" s="8"/>
      <c r="H1060" s="8"/>
      <c r="I1060" s="10"/>
      <c r="J1060" s="8"/>
    </row>
    <row r="1061" spans="1:10" x14ac:dyDescent="0.15">
      <c r="A1061" s="7"/>
      <c r="B1061" s="8"/>
      <c r="C1061" s="8"/>
      <c r="D1061" s="9"/>
      <c r="E1061" s="8"/>
      <c r="F1061" s="8"/>
      <c r="G1061" s="8"/>
      <c r="H1061" s="8"/>
      <c r="I1061" s="10"/>
      <c r="J1061" s="8"/>
    </row>
    <row r="1062" spans="1:10" x14ac:dyDescent="0.15">
      <c r="A1062" s="7"/>
      <c r="B1062" s="8"/>
      <c r="C1062" s="8"/>
      <c r="D1062" s="9"/>
      <c r="E1062" s="8"/>
      <c r="F1062" s="8"/>
      <c r="G1062" s="8"/>
      <c r="H1062" s="8"/>
      <c r="I1062" s="10"/>
      <c r="J1062" s="8"/>
    </row>
    <row r="1063" spans="1:10" x14ac:dyDescent="0.15">
      <c r="A1063" s="7"/>
      <c r="B1063" s="8"/>
      <c r="C1063" s="8"/>
      <c r="D1063" s="9"/>
      <c r="E1063" s="8"/>
      <c r="F1063" s="8"/>
      <c r="G1063" s="8"/>
      <c r="H1063" s="8"/>
      <c r="I1063" s="10"/>
      <c r="J1063" s="8"/>
    </row>
    <row r="1064" spans="1:10" x14ac:dyDescent="0.15">
      <c r="A1064" s="7"/>
      <c r="B1064" s="8"/>
      <c r="C1064" s="8"/>
      <c r="D1064" s="9"/>
      <c r="E1064" s="8"/>
      <c r="F1064" s="8"/>
      <c r="G1064" s="8"/>
      <c r="H1064" s="8"/>
      <c r="I1064" s="10"/>
      <c r="J1064" s="8"/>
    </row>
    <row r="1065" spans="1:10" x14ac:dyDescent="0.15">
      <c r="A1065" s="7"/>
      <c r="B1065" s="8"/>
      <c r="C1065" s="8"/>
      <c r="D1065" s="9"/>
      <c r="E1065" s="8"/>
      <c r="F1065" s="8"/>
      <c r="G1065" s="8"/>
      <c r="H1065" s="8"/>
      <c r="I1065" s="10"/>
      <c r="J1065" s="8"/>
    </row>
    <row r="1066" spans="1:10" x14ac:dyDescent="0.15">
      <c r="A1066" s="7"/>
      <c r="B1066" s="8"/>
      <c r="C1066" s="8"/>
      <c r="D1066" s="9"/>
      <c r="E1066" s="8"/>
      <c r="F1066" s="8"/>
      <c r="G1066" s="8"/>
      <c r="H1066" s="8"/>
      <c r="I1066" s="10"/>
      <c r="J1066" s="8"/>
    </row>
    <row r="1067" spans="1:10" x14ac:dyDescent="0.15">
      <c r="A1067" s="7"/>
      <c r="B1067" s="8"/>
      <c r="C1067" s="8"/>
      <c r="D1067" s="9"/>
      <c r="E1067" s="8"/>
      <c r="F1067" s="8"/>
      <c r="G1067" s="8"/>
      <c r="H1067" s="8"/>
      <c r="I1067" s="10"/>
      <c r="J1067" s="8"/>
    </row>
    <row r="1068" spans="1:10" x14ac:dyDescent="0.15">
      <c r="A1068" s="7"/>
      <c r="B1068" s="8"/>
      <c r="C1068" s="8"/>
      <c r="D1068" s="9"/>
      <c r="E1068" s="8"/>
      <c r="F1068" s="8"/>
      <c r="G1068" s="8"/>
      <c r="H1068" s="8"/>
      <c r="I1068" s="10"/>
      <c r="J1068" s="8"/>
    </row>
    <row r="1069" spans="1:10" x14ac:dyDescent="0.15">
      <c r="A1069" s="7"/>
      <c r="B1069" s="8"/>
      <c r="C1069" s="8"/>
      <c r="D1069" s="9"/>
      <c r="E1069" s="8"/>
      <c r="F1069" s="8"/>
      <c r="G1069" s="8"/>
      <c r="H1069" s="8"/>
      <c r="I1069" s="10"/>
      <c r="J1069" s="8"/>
    </row>
    <row r="1070" spans="1:10" x14ac:dyDescent="0.15">
      <c r="A1070" s="7"/>
      <c r="B1070" s="8"/>
      <c r="C1070" s="8"/>
      <c r="D1070" s="9"/>
      <c r="E1070" s="8"/>
      <c r="F1070" s="8"/>
      <c r="G1070" s="8"/>
      <c r="H1070" s="8"/>
      <c r="I1070" s="10"/>
      <c r="J1070" s="8"/>
    </row>
    <row r="1071" spans="1:10" x14ac:dyDescent="0.15">
      <c r="A1071" s="7"/>
      <c r="B1071" s="8"/>
      <c r="C1071" s="8"/>
      <c r="D1071" s="9"/>
      <c r="E1071" s="8"/>
      <c r="F1071" s="8"/>
      <c r="G1071" s="8"/>
      <c r="H1071" s="8"/>
      <c r="I1071" s="10"/>
      <c r="J1071" s="8"/>
    </row>
    <row r="1072" spans="1:10" x14ac:dyDescent="0.15">
      <c r="A1072" s="7"/>
      <c r="B1072" s="8"/>
      <c r="C1072" s="8"/>
      <c r="D1072" s="9"/>
      <c r="E1072" s="8"/>
      <c r="F1072" s="8"/>
      <c r="G1072" s="8"/>
      <c r="H1072" s="8"/>
      <c r="I1072" s="10"/>
      <c r="J1072" s="8"/>
    </row>
    <row r="1073" spans="1:10" x14ac:dyDescent="0.15">
      <c r="A1073" s="7"/>
      <c r="B1073" s="8"/>
      <c r="C1073" s="8"/>
      <c r="D1073" s="9"/>
      <c r="E1073" s="8"/>
      <c r="F1073" s="8"/>
      <c r="G1073" s="8"/>
      <c r="H1073" s="8"/>
      <c r="I1073" s="10"/>
      <c r="J1073" s="8"/>
    </row>
    <row r="1074" spans="1:10" x14ac:dyDescent="0.15">
      <c r="A1074" s="7"/>
      <c r="B1074" s="8"/>
      <c r="C1074" s="8"/>
      <c r="D1074" s="9"/>
      <c r="E1074" s="8"/>
      <c r="F1074" s="8"/>
      <c r="G1074" s="8"/>
      <c r="H1074" s="8"/>
      <c r="I1074" s="10"/>
      <c r="J1074" s="8"/>
    </row>
    <row r="1075" spans="1:10" x14ac:dyDescent="0.15">
      <c r="A1075" s="7"/>
      <c r="B1075" s="8"/>
      <c r="C1075" s="8"/>
      <c r="D1075" s="9"/>
      <c r="E1075" s="8"/>
      <c r="F1075" s="8"/>
      <c r="G1075" s="8"/>
      <c r="H1075" s="8"/>
      <c r="I1075" s="10"/>
      <c r="J1075" s="8"/>
    </row>
    <row r="1076" spans="1:10" x14ac:dyDescent="0.15">
      <c r="A1076" s="7"/>
      <c r="B1076" s="8"/>
      <c r="C1076" s="8"/>
      <c r="D1076" s="9"/>
      <c r="E1076" s="8"/>
      <c r="F1076" s="8"/>
      <c r="G1076" s="8"/>
      <c r="H1076" s="8"/>
      <c r="I1076" s="10"/>
      <c r="J1076" s="8"/>
    </row>
    <row r="1077" spans="1:10" x14ac:dyDescent="0.15">
      <c r="A1077" s="7"/>
      <c r="B1077" s="8"/>
      <c r="C1077" s="8"/>
      <c r="D1077" s="9"/>
      <c r="E1077" s="8"/>
      <c r="F1077" s="8"/>
      <c r="G1077" s="8"/>
      <c r="H1077" s="8"/>
      <c r="I1077" s="10"/>
      <c r="J1077" s="8"/>
    </row>
    <row r="1078" spans="1:10" x14ac:dyDescent="0.15">
      <c r="A1078" s="7"/>
      <c r="B1078" s="8"/>
      <c r="C1078" s="8"/>
      <c r="D1078" s="9"/>
      <c r="E1078" s="8"/>
      <c r="F1078" s="8"/>
      <c r="G1078" s="8"/>
      <c r="H1078" s="8"/>
      <c r="I1078" s="10"/>
      <c r="J1078" s="8"/>
    </row>
    <row r="1079" spans="1:10" x14ac:dyDescent="0.15">
      <c r="A1079" s="7"/>
      <c r="B1079" s="8"/>
      <c r="C1079" s="8"/>
      <c r="D1079" s="9"/>
      <c r="E1079" s="8"/>
      <c r="F1079" s="8"/>
      <c r="G1079" s="8"/>
      <c r="H1079" s="8"/>
      <c r="I1079" s="10"/>
      <c r="J1079" s="8"/>
    </row>
    <row r="1080" spans="1:10" x14ac:dyDescent="0.15">
      <c r="A1080" s="7"/>
      <c r="B1080" s="8"/>
      <c r="C1080" s="8"/>
      <c r="D1080" s="9"/>
      <c r="E1080" s="8"/>
      <c r="F1080" s="8"/>
      <c r="G1080" s="8"/>
      <c r="H1080" s="8"/>
      <c r="I1080" s="10"/>
      <c r="J1080" s="8"/>
    </row>
    <row r="1081" spans="1:10" x14ac:dyDescent="0.15">
      <c r="A1081" s="7"/>
      <c r="B1081" s="8"/>
      <c r="C1081" s="8"/>
      <c r="D1081" s="9"/>
      <c r="E1081" s="8"/>
      <c r="F1081" s="8"/>
      <c r="G1081" s="8"/>
      <c r="H1081" s="8"/>
      <c r="I1081" s="10"/>
      <c r="J1081" s="8"/>
    </row>
    <row r="1082" spans="1:10" x14ac:dyDescent="0.15">
      <c r="A1082" s="7"/>
      <c r="B1082" s="8"/>
      <c r="C1082" s="8"/>
      <c r="D1082" s="9"/>
      <c r="E1082" s="8"/>
      <c r="F1082" s="8"/>
      <c r="G1082" s="8"/>
      <c r="H1082" s="8"/>
      <c r="I1082" s="10"/>
      <c r="J1082" s="8"/>
    </row>
    <row r="1083" spans="1:10" x14ac:dyDescent="0.15">
      <c r="A1083" s="7"/>
      <c r="B1083" s="8"/>
      <c r="C1083" s="8"/>
      <c r="D1083" s="9"/>
      <c r="E1083" s="8"/>
      <c r="F1083" s="8"/>
      <c r="G1083" s="8"/>
      <c r="H1083" s="8"/>
      <c r="I1083" s="10"/>
      <c r="J1083" s="8"/>
    </row>
    <row r="1084" spans="1:10" x14ac:dyDescent="0.15">
      <c r="A1084" s="7"/>
      <c r="B1084" s="8"/>
      <c r="C1084" s="8"/>
      <c r="D1084" s="9"/>
      <c r="E1084" s="8"/>
      <c r="F1084" s="8"/>
      <c r="G1084" s="8"/>
      <c r="H1084" s="8"/>
      <c r="I1084" s="10"/>
      <c r="J1084" s="8"/>
    </row>
    <row r="1085" spans="1:10" x14ac:dyDescent="0.15">
      <c r="A1085" s="7"/>
      <c r="B1085" s="8"/>
      <c r="C1085" s="8"/>
      <c r="D1085" s="9"/>
      <c r="E1085" s="8"/>
      <c r="F1085" s="8"/>
      <c r="G1085" s="8"/>
      <c r="H1085" s="8"/>
      <c r="I1085" s="10"/>
      <c r="J1085" s="8"/>
    </row>
    <row r="1086" spans="1:10" x14ac:dyDescent="0.15">
      <c r="A1086" s="7"/>
      <c r="B1086" s="8"/>
      <c r="C1086" s="8"/>
      <c r="D1086" s="9"/>
      <c r="E1086" s="8"/>
      <c r="F1086" s="8"/>
      <c r="G1086" s="8"/>
      <c r="H1086" s="8"/>
      <c r="I1086" s="10"/>
      <c r="J1086" s="8"/>
    </row>
    <row r="1087" spans="1:10" x14ac:dyDescent="0.15">
      <c r="A1087" s="7"/>
      <c r="B1087" s="8"/>
      <c r="C1087" s="8"/>
      <c r="D1087" s="9"/>
      <c r="E1087" s="8"/>
      <c r="F1087" s="8"/>
      <c r="G1087" s="8"/>
      <c r="H1087" s="8"/>
      <c r="I1087" s="10"/>
      <c r="J1087" s="8"/>
    </row>
    <row r="1088" spans="1:10" x14ac:dyDescent="0.15">
      <c r="A1088" s="7"/>
      <c r="B1088" s="8"/>
      <c r="C1088" s="8"/>
      <c r="D1088" s="9"/>
      <c r="E1088" s="8"/>
      <c r="F1088" s="8"/>
      <c r="G1088" s="8"/>
      <c r="H1088" s="8"/>
      <c r="I1088" s="10"/>
      <c r="J1088" s="8"/>
    </row>
    <row r="1089" spans="1:10" x14ac:dyDescent="0.15">
      <c r="A1089" s="7"/>
      <c r="B1089" s="8"/>
      <c r="C1089" s="8"/>
      <c r="D1089" s="9"/>
      <c r="E1089" s="8"/>
      <c r="F1089" s="8"/>
      <c r="G1089" s="8"/>
      <c r="H1089" s="8"/>
      <c r="I1089" s="10"/>
      <c r="J1089" s="8"/>
    </row>
    <row r="1090" spans="1:10" x14ac:dyDescent="0.15">
      <c r="A1090" s="7"/>
      <c r="B1090" s="8"/>
      <c r="C1090" s="8"/>
      <c r="D1090" s="9"/>
      <c r="E1090" s="8"/>
      <c r="F1090" s="8"/>
      <c r="G1090" s="8"/>
      <c r="H1090" s="8"/>
      <c r="I1090" s="10"/>
      <c r="J1090" s="8"/>
    </row>
    <row r="1091" spans="1:10" x14ac:dyDescent="0.15">
      <c r="A1091" s="7"/>
      <c r="B1091" s="8"/>
      <c r="C1091" s="8"/>
      <c r="D1091" s="9"/>
      <c r="E1091" s="8"/>
      <c r="F1091" s="8"/>
      <c r="G1091" s="8"/>
      <c r="H1091" s="8"/>
      <c r="I1091" s="10"/>
      <c r="J1091" s="8"/>
    </row>
    <row r="1092" spans="1:10" x14ac:dyDescent="0.15">
      <c r="A1092" s="7"/>
      <c r="B1092" s="8"/>
      <c r="C1092" s="8"/>
      <c r="D1092" s="9"/>
      <c r="E1092" s="8"/>
      <c r="F1092" s="8"/>
      <c r="G1092" s="8"/>
      <c r="H1092" s="8"/>
      <c r="I1092" s="10"/>
      <c r="J1092" s="8"/>
    </row>
    <row r="1093" spans="1:10" x14ac:dyDescent="0.15">
      <c r="A1093" s="7"/>
      <c r="B1093" s="8"/>
      <c r="C1093" s="8"/>
      <c r="D1093" s="9"/>
      <c r="E1093" s="8"/>
      <c r="F1093" s="8"/>
      <c r="G1093" s="8"/>
      <c r="H1093" s="8"/>
      <c r="I1093" s="10"/>
      <c r="J1093" s="8"/>
    </row>
    <row r="1094" spans="1:10" x14ac:dyDescent="0.15">
      <c r="A1094" s="7"/>
      <c r="B1094" s="8"/>
      <c r="C1094" s="8"/>
      <c r="D1094" s="9"/>
      <c r="E1094" s="8"/>
      <c r="F1094" s="8"/>
      <c r="G1094" s="8"/>
      <c r="H1094" s="8"/>
      <c r="I1094" s="10"/>
      <c r="J1094" s="8"/>
    </row>
    <row r="1095" spans="1:10" x14ac:dyDescent="0.15">
      <c r="A1095" s="7"/>
      <c r="B1095" s="8"/>
      <c r="C1095" s="8"/>
      <c r="D1095" s="9"/>
      <c r="E1095" s="8"/>
      <c r="F1095" s="8"/>
      <c r="G1095" s="8"/>
      <c r="H1095" s="8"/>
      <c r="I1095" s="10"/>
      <c r="J1095" s="8"/>
    </row>
    <row r="1096" spans="1:10" x14ac:dyDescent="0.15">
      <c r="A1096" s="7"/>
      <c r="B1096" s="8"/>
      <c r="C1096" s="8"/>
      <c r="D1096" s="9"/>
      <c r="E1096" s="8"/>
      <c r="F1096" s="8"/>
      <c r="G1096" s="8"/>
      <c r="H1096" s="8"/>
      <c r="I1096" s="10"/>
      <c r="J1096" s="8"/>
    </row>
    <row r="1097" spans="1:10" x14ac:dyDescent="0.15">
      <c r="A1097" s="7"/>
      <c r="B1097" s="8"/>
      <c r="C1097" s="8"/>
      <c r="D1097" s="9"/>
      <c r="E1097" s="8"/>
      <c r="F1097" s="8"/>
      <c r="G1097" s="8"/>
      <c r="H1097" s="8"/>
      <c r="I1097" s="10"/>
      <c r="J1097" s="8"/>
    </row>
    <row r="1098" spans="1:10" x14ac:dyDescent="0.15">
      <c r="A1098" s="7"/>
      <c r="B1098" s="8"/>
      <c r="C1098" s="8"/>
      <c r="D1098" s="9"/>
      <c r="E1098" s="8"/>
      <c r="F1098" s="8"/>
      <c r="G1098" s="8"/>
      <c r="H1098" s="8"/>
      <c r="I1098" s="10"/>
      <c r="J1098" s="8"/>
    </row>
    <row r="1099" spans="1:10" x14ac:dyDescent="0.15">
      <c r="A1099" s="7"/>
      <c r="B1099" s="8"/>
      <c r="C1099" s="8"/>
      <c r="D1099" s="9"/>
      <c r="E1099" s="8"/>
      <c r="F1099" s="8"/>
      <c r="G1099" s="8"/>
      <c r="H1099" s="8"/>
      <c r="I1099" s="10"/>
      <c r="J1099" s="8"/>
    </row>
    <row r="1100" spans="1:10" x14ac:dyDescent="0.15">
      <c r="A1100" s="7"/>
      <c r="B1100" s="8"/>
      <c r="C1100" s="8"/>
      <c r="D1100" s="9"/>
      <c r="E1100" s="8"/>
      <c r="F1100" s="8"/>
      <c r="G1100" s="8"/>
      <c r="H1100" s="8"/>
      <c r="I1100" s="10"/>
      <c r="J1100" s="8"/>
    </row>
    <row r="1101" spans="1:10" x14ac:dyDescent="0.15">
      <c r="A1101" s="7"/>
      <c r="B1101" s="8"/>
      <c r="C1101" s="8"/>
      <c r="D1101" s="9"/>
      <c r="E1101" s="8"/>
      <c r="F1101" s="8"/>
      <c r="G1101" s="8"/>
      <c r="H1101" s="8"/>
      <c r="I1101" s="10"/>
      <c r="J1101" s="8"/>
    </row>
    <row r="1102" spans="1:10" x14ac:dyDescent="0.15">
      <c r="A1102" s="7"/>
      <c r="B1102" s="8"/>
      <c r="C1102" s="8"/>
      <c r="D1102" s="9"/>
      <c r="E1102" s="8"/>
      <c r="F1102" s="8"/>
      <c r="G1102" s="8"/>
      <c r="H1102" s="8"/>
      <c r="I1102" s="10"/>
      <c r="J1102" s="8"/>
    </row>
    <row r="1103" spans="1:10" x14ac:dyDescent="0.15">
      <c r="A1103" s="7"/>
      <c r="B1103" s="8"/>
      <c r="C1103" s="8"/>
      <c r="D1103" s="9"/>
      <c r="E1103" s="8"/>
      <c r="F1103" s="8"/>
      <c r="G1103" s="8"/>
      <c r="H1103" s="8"/>
      <c r="I1103" s="10"/>
      <c r="J1103" s="8"/>
    </row>
    <row r="1104" spans="1:10" x14ac:dyDescent="0.15">
      <c r="A1104" s="7"/>
      <c r="B1104" s="8"/>
      <c r="C1104" s="8"/>
      <c r="D1104" s="9"/>
      <c r="E1104" s="8"/>
      <c r="F1104" s="8"/>
      <c r="G1104" s="8"/>
      <c r="H1104" s="8"/>
      <c r="I1104" s="10"/>
      <c r="J1104" s="8"/>
    </row>
    <row r="1105" spans="1:10" x14ac:dyDescent="0.15">
      <c r="A1105" s="7"/>
      <c r="B1105" s="8"/>
      <c r="C1105" s="8"/>
      <c r="D1105" s="9"/>
      <c r="E1105" s="8"/>
      <c r="F1105" s="8"/>
      <c r="G1105" s="8"/>
      <c r="H1105" s="8"/>
      <c r="I1105" s="10"/>
      <c r="J1105" s="8"/>
    </row>
    <row r="1106" spans="1:10" x14ac:dyDescent="0.15">
      <c r="A1106" s="7"/>
      <c r="B1106" s="8"/>
      <c r="C1106" s="8"/>
      <c r="D1106" s="9"/>
      <c r="E1106" s="8"/>
      <c r="F1106" s="8"/>
      <c r="G1106" s="8"/>
      <c r="H1106" s="8"/>
      <c r="I1106" s="10"/>
      <c r="J1106" s="8"/>
    </row>
    <row r="1107" spans="1:10" x14ac:dyDescent="0.15">
      <c r="A1107" s="7"/>
      <c r="B1107" s="8"/>
      <c r="C1107" s="8"/>
      <c r="D1107" s="9"/>
      <c r="E1107" s="8"/>
      <c r="F1107" s="8"/>
      <c r="G1107" s="8"/>
      <c r="H1107" s="8"/>
      <c r="I1107" s="10"/>
      <c r="J1107" s="8"/>
    </row>
    <row r="1108" spans="1:10" x14ac:dyDescent="0.15">
      <c r="A1108" s="7"/>
      <c r="B1108" s="8"/>
      <c r="C1108" s="8"/>
      <c r="D1108" s="9"/>
      <c r="E1108" s="8"/>
      <c r="F1108" s="8"/>
      <c r="G1108" s="8"/>
      <c r="H1108" s="8"/>
      <c r="I1108" s="10"/>
      <c r="J1108" s="8"/>
    </row>
    <row r="1109" spans="1:10" x14ac:dyDescent="0.15">
      <c r="A1109" s="7"/>
      <c r="B1109" s="8"/>
      <c r="C1109" s="8"/>
      <c r="D1109" s="9"/>
      <c r="E1109" s="8"/>
      <c r="F1109" s="8"/>
      <c r="G1109" s="8"/>
      <c r="H1109" s="8"/>
      <c r="I1109" s="10"/>
      <c r="J1109" s="8"/>
    </row>
    <row r="1110" spans="1:10" x14ac:dyDescent="0.15">
      <c r="A1110" s="7"/>
      <c r="B1110" s="8"/>
      <c r="C1110" s="8"/>
      <c r="D1110" s="9"/>
      <c r="E1110" s="8"/>
      <c r="F1110" s="8"/>
      <c r="G1110" s="8"/>
      <c r="H1110" s="8"/>
      <c r="I1110" s="10"/>
      <c r="J1110" s="8"/>
    </row>
    <row r="1111" spans="1:10" x14ac:dyDescent="0.15">
      <c r="A1111" s="7"/>
      <c r="B1111" s="8"/>
      <c r="C1111" s="8"/>
      <c r="D1111" s="9"/>
      <c r="E1111" s="8"/>
      <c r="F1111" s="8"/>
      <c r="G1111" s="8"/>
      <c r="H1111" s="8"/>
      <c r="I1111" s="10"/>
      <c r="J1111" s="8"/>
    </row>
    <row r="1112" spans="1:10" x14ac:dyDescent="0.15">
      <c r="A1112" s="7"/>
      <c r="B1112" s="8"/>
      <c r="C1112" s="8"/>
      <c r="D1112" s="9"/>
      <c r="E1112" s="8"/>
      <c r="F1112" s="8"/>
      <c r="G1112" s="8"/>
      <c r="H1112" s="8"/>
      <c r="I1112" s="10"/>
      <c r="J1112" s="8"/>
    </row>
    <row r="1113" spans="1:10" x14ac:dyDescent="0.15">
      <c r="A1113" s="7"/>
      <c r="B1113" s="8"/>
      <c r="C1113" s="8"/>
      <c r="D1113" s="9"/>
      <c r="E1113" s="8"/>
      <c r="F1113" s="8"/>
      <c r="G1113" s="8"/>
      <c r="H1113" s="8"/>
      <c r="I1113" s="10"/>
      <c r="J1113" s="8"/>
    </row>
    <row r="1114" spans="1:10" x14ac:dyDescent="0.15">
      <c r="A1114" s="7"/>
      <c r="B1114" s="8"/>
      <c r="C1114" s="8"/>
      <c r="D1114" s="9"/>
      <c r="E1114" s="8"/>
      <c r="F1114" s="8"/>
      <c r="G1114" s="8"/>
      <c r="H1114" s="8"/>
      <c r="I1114" s="10"/>
      <c r="J1114" s="8"/>
    </row>
    <row r="1115" spans="1:10" x14ac:dyDescent="0.15">
      <c r="A1115" s="7"/>
      <c r="B1115" s="8"/>
      <c r="C1115" s="8"/>
      <c r="D1115" s="9"/>
      <c r="E1115" s="8"/>
      <c r="F1115" s="8"/>
      <c r="G1115" s="8"/>
      <c r="H1115" s="8"/>
      <c r="I1115" s="10"/>
      <c r="J1115" s="8"/>
    </row>
    <row r="1116" spans="1:10" x14ac:dyDescent="0.15">
      <c r="A1116" s="7"/>
      <c r="B1116" s="8"/>
      <c r="C1116" s="8"/>
      <c r="D1116" s="9"/>
      <c r="E1116" s="8"/>
      <c r="F1116" s="8"/>
      <c r="G1116" s="8"/>
      <c r="H1116" s="8"/>
      <c r="I1116" s="10"/>
      <c r="J1116" s="8"/>
    </row>
    <row r="1117" spans="1:10" x14ac:dyDescent="0.15">
      <c r="A1117" s="7"/>
      <c r="B1117" s="8"/>
      <c r="C1117" s="8"/>
      <c r="D1117" s="9"/>
      <c r="E1117" s="8"/>
      <c r="F1117" s="8"/>
      <c r="G1117" s="8"/>
      <c r="H1117" s="8"/>
      <c r="I1117" s="10"/>
      <c r="J1117" s="8"/>
    </row>
    <row r="1118" spans="1:10" x14ac:dyDescent="0.15">
      <c r="A1118" s="7"/>
      <c r="B1118" s="8"/>
      <c r="C1118" s="8"/>
      <c r="D1118" s="9"/>
      <c r="E1118" s="8"/>
      <c r="F1118" s="8"/>
      <c r="G1118" s="8"/>
      <c r="H1118" s="8"/>
      <c r="I1118" s="10"/>
      <c r="J1118" s="8"/>
    </row>
    <row r="1119" spans="1:10" x14ac:dyDescent="0.15">
      <c r="A1119" s="7"/>
      <c r="B1119" s="8"/>
      <c r="C1119" s="8"/>
      <c r="D1119" s="9"/>
      <c r="E1119" s="8"/>
      <c r="F1119" s="8"/>
      <c r="G1119" s="8"/>
      <c r="H1119" s="8"/>
      <c r="I1119" s="10"/>
      <c r="J1119" s="8"/>
    </row>
    <row r="1120" spans="1:10" x14ac:dyDescent="0.15">
      <c r="A1120" s="7"/>
      <c r="B1120" s="8"/>
      <c r="C1120" s="8"/>
      <c r="D1120" s="9"/>
      <c r="E1120" s="8"/>
      <c r="F1120" s="8"/>
      <c r="G1120" s="8"/>
      <c r="H1120" s="8"/>
      <c r="I1120" s="10"/>
      <c r="J1120" s="8"/>
    </row>
    <row r="1121" spans="1:10" x14ac:dyDescent="0.15">
      <c r="A1121" s="7"/>
      <c r="B1121" s="8"/>
      <c r="C1121" s="8"/>
      <c r="D1121" s="9"/>
      <c r="E1121" s="8"/>
      <c r="F1121" s="8"/>
      <c r="G1121" s="8"/>
      <c r="H1121" s="8"/>
      <c r="I1121" s="10"/>
      <c r="J1121" s="8"/>
    </row>
    <row r="1122" spans="1:10" x14ac:dyDescent="0.15">
      <c r="A1122" s="7"/>
      <c r="B1122" s="8"/>
      <c r="C1122" s="8"/>
      <c r="D1122" s="9"/>
      <c r="E1122" s="8"/>
      <c r="F1122" s="8"/>
      <c r="G1122" s="8"/>
      <c r="H1122" s="8"/>
      <c r="I1122" s="10"/>
      <c r="J1122" s="8"/>
    </row>
    <row r="1123" spans="1:10" x14ac:dyDescent="0.15">
      <c r="A1123" s="7"/>
      <c r="B1123" s="8"/>
      <c r="C1123" s="8"/>
      <c r="D1123" s="9"/>
      <c r="E1123" s="8"/>
      <c r="F1123" s="8"/>
      <c r="G1123" s="8"/>
      <c r="H1123" s="8"/>
      <c r="I1123" s="10"/>
      <c r="J1123" s="8"/>
    </row>
    <row r="1124" spans="1:10" x14ac:dyDescent="0.15">
      <c r="A1124" s="7"/>
      <c r="B1124" s="8"/>
      <c r="C1124" s="8"/>
      <c r="D1124" s="9"/>
      <c r="E1124" s="8"/>
      <c r="F1124" s="8"/>
      <c r="G1124" s="8"/>
      <c r="H1124" s="8"/>
      <c r="I1124" s="10"/>
      <c r="J1124" s="8"/>
    </row>
    <row r="1125" spans="1:10" x14ac:dyDescent="0.15">
      <c r="A1125" s="7"/>
      <c r="B1125" s="8"/>
      <c r="C1125" s="8"/>
      <c r="D1125" s="9"/>
      <c r="E1125" s="8"/>
      <c r="F1125" s="8"/>
      <c r="G1125" s="8"/>
      <c r="H1125" s="8"/>
      <c r="I1125" s="10"/>
      <c r="J1125" s="8"/>
    </row>
    <row r="1126" spans="1:10" x14ac:dyDescent="0.15">
      <c r="A1126" s="7"/>
      <c r="B1126" s="8"/>
      <c r="C1126" s="8"/>
      <c r="D1126" s="9"/>
      <c r="E1126" s="8"/>
      <c r="F1126" s="8"/>
      <c r="G1126" s="8"/>
      <c r="H1126" s="8"/>
      <c r="I1126" s="10"/>
      <c r="J1126" s="8"/>
    </row>
    <row r="1127" spans="1:10" x14ac:dyDescent="0.15">
      <c r="A1127" s="7"/>
      <c r="B1127" s="8"/>
      <c r="C1127" s="8"/>
      <c r="D1127" s="9"/>
      <c r="E1127" s="8"/>
      <c r="F1127" s="8"/>
      <c r="G1127" s="8"/>
      <c r="H1127" s="8"/>
      <c r="I1127" s="10"/>
      <c r="J1127" s="8"/>
    </row>
    <row r="1128" spans="1:10" x14ac:dyDescent="0.15">
      <c r="A1128" s="7"/>
      <c r="B1128" s="8"/>
      <c r="C1128" s="8"/>
      <c r="D1128" s="9"/>
      <c r="E1128" s="8"/>
      <c r="F1128" s="8"/>
      <c r="G1128" s="8"/>
      <c r="H1128" s="8"/>
      <c r="I1128" s="10"/>
      <c r="J1128" s="8"/>
    </row>
    <row r="1129" spans="1:10" x14ac:dyDescent="0.15">
      <c r="A1129" s="7"/>
      <c r="B1129" s="8"/>
      <c r="C1129" s="8"/>
      <c r="D1129" s="9"/>
      <c r="E1129" s="8"/>
      <c r="F1129" s="8"/>
      <c r="G1129" s="8"/>
      <c r="H1129" s="8"/>
      <c r="I1129" s="10"/>
      <c r="J1129" s="8"/>
    </row>
    <row r="1130" spans="1:10" x14ac:dyDescent="0.15">
      <c r="A1130" s="7"/>
      <c r="B1130" s="8"/>
      <c r="C1130" s="8"/>
      <c r="D1130" s="9"/>
      <c r="E1130" s="8"/>
      <c r="F1130" s="8"/>
      <c r="G1130" s="8"/>
      <c r="H1130" s="8"/>
      <c r="I1130" s="10"/>
      <c r="J1130" s="8"/>
    </row>
    <row r="1131" spans="1:10" x14ac:dyDescent="0.15">
      <c r="A1131" s="7"/>
      <c r="B1131" s="8"/>
      <c r="C1131" s="8"/>
      <c r="D1131" s="9"/>
      <c r="E1131" s="8"/>
      <c r="F1131" s="8"/>
      <c r="G1131" s="8"/>
      <c r="H1131" s="8"/>
      <c r="I1131" s="10"/>
      <c r="J1131" s="8"/>
    </row>
    <row r="1132" spans="1:10" x14ac:dyDescent="0.15">
      <c r="A1132" s="7"/>
      <c r="B1132" s="8"/>
      <c r="C1132" s="8"/>
      <c r="D1132" s="9"/>
      <c r="E1132" s="8"/>
      <c r="F1132" s="8"/>
      <c r="G1132" s="8"/>
      <c r="H1132" s="8"/>
      <c r="I1132" s="10"/>
      <c r="J1132" s="8"/>
    </row>
    <row r="1133" spans="1:10" x14ac:dyDescent="0.15">
      <c r="A1133" s="7"/>
      <c r="B1133" s="8"/>
      <c r="C1133" s="8"/>
      <c r="D1133" s="9"/>
      <c r="E1133" s="8"/>
      <c r="F1133" s="8"/>
      <c r="G1133" s="8"/>
      <c r="H1133" s="8"/>
      <c r="I1133" s="10"/>
      <c r="J1133" s="8"/>
    </row>
    <row r="1134" spans="1:10" x14ac:dyDescent="0.15">
      <c r="A1134" s="7"/>
      <c r="B1134" s="8"/>
      <c r="C1134" s="8"/>
      <c r="D1134" s="9"/>
      <c r="E1134" s="8"/>
      <c r="F1134" s="8"/>
      <c r="G1134" s="8"/>
      <c r="H1134" s="8"/>
      <c r="I1134" s="10"/>
      <c r="J1134" s="8"/>
    </row>
    <row r="1135" spans="1:10" x14ac:dyDescent="0.15">
      <c r="A1135" s="7"/>
      <c r="B1135" s="8"/>
      <c r="C1135" s="8"/>
      <c r="D1135" s="9"/>
      <c r="E1135" s="8"/>
      <c r="F1135" s="8"/>
      <c r="G1135" s="8"/>
      <c r="H1135" s="8"/>
      <c r="I1135" s="10"/>
      <c r="J1135" s="8"/>
    </row>
    <row r="1136" spans="1:10" x14ac:dyDescent="0.15">
      <c r="A1136" s="7"/>
      <c r="B1136" s="8"/>
      <c r="C1136" s="8"/>
      <c r="D1136" s="9"/>
      <c r="E1136" s="8"/>
      <c r="F1136" s="8"/>
      <c r="G1136" s="8"/>
      <c r="H1136" s="8"/>
      <c r="I1136" s="10"/>
      <c r="J1136" s="8"/>
    </row>
    <row r="1137" spans="1:10" x14ac:dyDescent="0.15">
      <c r="A1137" s="7"/>
      <c r="B1137" s="8"/>
      <c r="C1137" s="8"/>
      <c r="D1137" s="9"/>
      <c r="E1137" s="8"/>
      <c r="F1137" s="8"/>
      <c r="G1137" s="8"/>
      <c r="H1137" s="8"/>
      <c r="I1137" s="10"/>
      <c r="J1137" s="8"/>
    </row>
    <row r="1138" spans="1:10" x14ac:dyDescent="0.15">
      <c r="A1138" s="7"/>
      <c r="B1138" s="8"/>
      <c r="C1138" s="8"/>
      <c r="D1138" s="9"/>
      <c r="E1138" s="8"/>
      <c r="F1138" s="8"/>
      <c r="G1138" s="8"/>
      <c r="H1138" s="8"/>
      <c r="I1138" s="10"/>
      <c r="J1138" s="8"/>
    </row>
    <row r="1139" spans="1:10" x14ac:dyDescent="0.15">
      <c r="A1139" s="7"/>
      <c r="B1139" s="8"/>
      <c r="C1139" s="8"/>
      <c r="D1139" s="9"/>
      <c r="E1139" s="8"/>
      <c r="F1139" s="8"/>
      <c r="G1139" s="8"/>
      <c r="H1139" s="8"/>
      <c r="I1139" s="10"/>
      <c r="J1139" s="8"/>
    </row>
    <row r="1140" spans="1:10" x14ac:dyDescent="0.15">
      <c r="A1140" s="7"/>
      <c r="B1140" s="8"/>
      <c r="C1140" s="8"/>
      <c r="D1140" s="9"/>
      <c r="E1140" s="8"/>
      <c r="F1140" s="8"/>
      <c r="G1140" s="8"/>
      <c r="H1140" s="8"/>
      <c r="I1140" s="10"/>
      <c r="J1140" s="8"/>
    </row>
    <row r="1141" spans="1:10" x14ac:dyDescent="0.15">
      <c r="A1141" s="7"/>
      <c r="B1141" s="8"/>
      <c r="C1141" s="8"/>
      <c r="D1141" s="9"/>
      <c r="E1141" s="8"/>
      <c r="F1141" s="8"/>
      <c r="G1141" s="8"/>
      <c r="H1141" s="8"/>
      <c r="I1141" s="10"/>
      <c r="J1141" s="8"/>
    </row>
    <row r="1142" spans="1:10" x14ac:dyDescent="0.15">
      <c r="A1142" s="7"/>
      <c r="B1142" s="8"/>
      <c r="C1142" s="8"/>
      <c r="D1142" s="9"/>
      <c r="E1142" s="8"/>
      <c r="F1142" s="8"/>
      <c r="G1142" s="8"/>
      <c r="H1142" s="8"/>
      <c r="I1142" s="10"/>
      <c r="J1142" s="8"/>
    </row>
    <row r="1143" spans="1:10" x14ac:dyDescent="0.15">
      <c r="A1143" s="7"/>
      <c r="B1143" s="8"/>
      <c r="C1143" s="8"/>
      <c r="D1143" s="9"/>
      <c r="E1143" s="8"/>
      <c r="F1143" s="8"/>
      <c r="G1143" s="8"/>
      <c r="H1143" s="8"/>
      <c r="I1143" s="10"/>
      <c r="J1143" s="8"/>
    </row>
    <row r="1144" spans="1:10" x14ac:dyDescent="0.15">
      <c r="A1144" s="7"/>
      <c r="B1144" s="8"/>
      <c r="C1144" s="8"/>
      <c r="D1144" s="9"/>
      <c r="E1144" s="8"/>
      <c r="F1144" s="8"/>
      <c r="G1144" s="8"/>
      <c r="H1144" s="8"/>
      <c r="I1144" s="10"/>
      <c r="J1144" s="8"/>
    </row>
    <row r="1145" spans="1:10" x14ac:dyDescent="0.15">
      <c r="A1145" s="7"/>
      <c r="B1145" s="8"/>
      <c r="C1145" s="8"/>
      <c r="D1145" s="9"/>
      <c r="E1145" s="8"/>
      <c r="F1145" s="8"/>
      <c r="G1145" s="8"/>
      <c r="H1145" s="8"/>
      <c r="I1145" s="10"/>
      <c r="J1145" s="8"/>
    </row>
    <row r="1146" spans="1:10" x14ac:dyDescent="0.15">
      <c r="A1146" s="7"/>
      <c r="B1146" s="8"/>
      <c r="C1146" s="8"/>
      <c r="D1146" s="9"/>
      <c r="E1146" s="8"/>
      <c r="F1146" s="8"/>
      <c r="G1146" s="8"/>
      <c r="H1146" s="8"/>
      <c r="I1146" s="10"/>
      <c r="J1146" s="8"/>
    </row>
    <row r="1147" spans="1:10" x14ac:dyDescent="0.15">
      <c r="A1147" s="7"/>
      <c r="B1147" s="8"/>
      <c r="C1147" s="8"/>
      <c r="D1147" s="9"/>
      <c r="E1147" s="8"/>
      <c r="F1147" s="8"/>
      <c r="G1147" s="8"/>
      <c r="H1147" s="8"/>
      <c r="I1147" s="10"/>
      <c r="J1147" s="8"/>
    </row>
    <row r="1148" spans="1:10" x14ac:dyDescent="0.15">
      <c r="A1148" s="7"/>
      <c r="B1148" s="8"/>
      <c r="C1148" s="8"/>
      <c r="D1148" s="9"/>
      <c r="E1148" s="8"/>
      <c r="F1148" s="8"/>
      <c r="G1148" s="8"/>
      <c r="H1148" s="8"/>
      <c r="I1148" s="10"/>
      <c r="J1148" s="8"/>
    </row>
    <row r="1149" spans="1:10" x14ac:dyDescent="0.15">
      <c r="A1149" s="7"/>
      <c r="B1149" s="8"/>
      <c r="C1149" s="8"/>
      <c r="D1149" s="9"/>
      <c r="E1149" s="8"/>
      <c r="F1149" s="8"/>
      <c r="G1149" s="8"/>
      <c r="H1149" s="8"/>
      <c r="I1149" s="10"/>
      <c r="J1149" s="8"/>
    </row>
    <row r="1150" spans="1:10" x14ac:dyDescent="0.15">
      <c r="A1150" s="7"/>
      <c r="B1150" s="8"/>
      <c r="C1150" s="8"/>
      <c r="D1150" s="9"/>
      <c r="E1150" s="8"/>
      <c r="F1150" s="8"/>
      <c r="G1150" s="8"/>
      <c r="H1150" s="8"/>
      <c r="I1150" s="10"/>
      <c r="J1150" s="8"/>
    </row>
    <row r="1151" spans="1:10" x14ac:dyDescent="0.15">
      <c r="A1151" s="7"/>
      <c r="B1151" s="8"/>
      <c r="C1151" s="8"/>
      <c r="D1151" s="9"/>
      <c r="E1151" s="8"/>
      <c r="F1151" s="8"/>
      <c r="G1151" s="8"/>
      <c r="H1151" s="8"/>
      <c r="I1151" s="10"/>
      <c r="J1151" s="8"/>
    </row>
    <row r="1152" spans="1:10" x14ac:dyDescent="0.15">
      <c r="A1152" s="7"/>
      <c r="B1152" s="8"/>
      <c r="C1152" s="8"/>
      <c r="D1152" s="9"/>
      <c r="E1152" s="8"/>
      <c r="F1152" s="8"/>
      <c r="G1152" s="8"/>
      <c r="H1152" s="8"/>
      <c r="I1152" s="10"/>
      <c r="J1152" s="8"/>
    </row>
    <row r="1153" spans="1:10" x14ac:dyDescent="0.15">
      <c r="A1153" s="7"/>
      <c r="B1153" s="8"/>
      <c r="C1153" s="8"/>
      <c r="D1153" s="9"/>
      <c r="E1153" s="8"/>
      <c r="F1153" s="8"/>
      <c r="G1153" s="8"/>
      <c r="H1153" s="8"/>
      <c r="I1153" s="10"/>
      <c r="J1153" s="8"/>
    </row>
    <row r="1154" spans="1:10" x14ac:dyDescent="0.15">
      <c r="A1154" s="7"/>
      <c r="B1154" s="8"/>
      <c r="C1154" s="8"/>
      <c r="D1154" s="9"/>
      <c r="E1154" s="8"/>
      <c r="F1154" s="8"/>
      <c r="G1154" s="8"/>
      <c r="H1154" s="8"/>
      <c r="I1154" s="10"/>
      <c r="J1154" s="8"/>
    </row>
    <row r="1155" spans="1:10" x14ac:dyDescent="0.15">
      <c r="A1155" s="7"/>
      <c r="B1155" s="8"/>
      <c r="C1155" s="8"/>
      <c r="D1155" s="9"/>
      <c r="E1155" s="8"/>
      <c r="F1155" s="8"/>
      <c r="G1155" s="8"/>
      <c r="H1155" s="8"/>
      <c r="I1155" s="10"/>
      <c r="J1155" s="8"/>
    </row>
    <row r="1156" spans="1:10" x14ac:dyDescent="0.15">
      <c r="A1156" s="7"/>
      <c r="B1156" s="8"/>
      <c r="C1156" s="8"/>
      <c r="D1156" s="9"/>
      <c r="E1156" s="8"/>
      <c r="F1156" s="8"/>
      <c r="G1156" s="8"/>
      <c r="H1156" s="8"/>
      <c r="I1156" s="10"/>
      <c r="J1156" s="8"/>
    </row>
    <row r="1157" spans="1:10" x14ac:dyDescent="0.15">
      <c r="A1157" s="7"/>
      <c r="B1157" s="8"/>
      <c r="C1157" s="8"/>
      <c r="D1157" s="9"/>
      <c r="E1157" s="8"/>
      <c r="F1157" s="8"/>
      <c r="G1157" s="8"/>
      <c r="H1157" s="8"/>
      <c r="I1157" s="10"/>
      <c r="J1157" s="8"/>
    </row>
    <row r="1158" spans="1:10" x14ac:dyDescent="0.15">
      <c r="A1158" s="7"/>
      <c r="B1158" s="8"/>
      <c r="C1158" s="8"/>
      <c r="D1158" s="9"/>
      <c r="E1158" s="8"/>
      <c r="F1158" s="8"/>
      <c r="G1158" s="8"/>
      <c r="H1158" s="8"/>
      <c r="I1158" s="10"/>
      <c r="J1158" s="8"/>
    </row>
    <row r="1159" spans="1:10" x14ac:dyDescent="0.15">
      <c r="A1159" s="7"/>
      <c r="B1159" s="8"/>
      <c r="C1159" s="8"/>
      <c r="D1159" s="9"/>
      <c r="E1159" s="8"/>
      <c r="F1159" s="8"/>
      <c r="G1159" s="8"/>
      <c r="H1159" s="8"/>
      <c r="I1159" s="10"/>
      <c r="J1159" s="8"/>
    </row>
    <row r="1160" spans="1:10" x14ac:dyDescent="0.15">
      <c r="A1160" s="7"/>
      <c r="B1160" s="8"/>
      <c r="C1160" s="8"/>
      <c r="D1160" s="9"/>
      <c r="E1160" s="8"/>
      <c r="F1160" s="8"/>
      <c r="G1160" s="8"/>
      <c r="H1160" s="8"/>
      <c r="I1160" s="10"/>
      <c r="J1160" s="8"/>
    </row>
    <row r="1161" spans="1:10" x14ac:dyDescent="0.15">
      <c r="A1161" s="7"/>
      <c r="B1161" s="8"/>
      <c r="C1161" s="8"/>
      <c r="D1161" s="9"/>
      <c r="E1161" s="8"/>
      <c r="F1161" s="8"/>
      <c r="G1161" s="8"/>
      <c r="H1161" s="8"/>
      <c r="I1161" s="10"/>
      <c r="J1161" s="8"/>
    </row>
    <row r="1162" spans="1:10" x14ac:dyDescent="0.15">
      <c r="A1162" s="7"/>
      <c r="B1162" s="8"/>
      <c r="C1162" s="8"/>
      <c r="D1162" s="9"/>
      <c r="E1162" s="8"/>
      <c r="F1162" s="8"/>
      <c r="G1162" s="8"/>
      <c r="H1162" s="8"/>
      <c r="I1162" s="10"/>
      <c r="J1162" s="8"/>
    </row>
    <row r="1163" spans="1:10" x14ac:dyDescent="0.15">
      <c r="A1163" s="7"/>
      <c r="B1163" s="8"/>
      <c r="C1163" s="8"/>
      <c r="D1163" s="9"/>
      <c r="E1163" s="8"/>
      <c r="F1163" s="8"/>
      <c r="G1163" s="8"/>
      <c r="H1163" s="8"/>
      <c r="I1163" s="10"/>
      <c r="J1163" s="8"/>
    </row>
    <row r="1164" spans="1:10" x14ac:dyDescent="0.15">
      <c r="A1164" s="7"/>
      <c r="B1164" s="8"/>
      <c r="C1164" s="8"/>
      <c r="D1164" s="9"/>
      <c r="E1164" s="8"/>
      <c r="F1164" s="8"/>
      <c r="G1164" s="8"/>
      <c r="H1164" s="8"/>
      <c r="I1164" s="10"/>
      <c r="J1164" s="8"/>
    </row>
    <row r="1165" spans="1:10" x14ac:dyDescent="0.15">
      <c r="A1165" s="7"/>
      <c r="B1165" s="8"/>
      <c r="C1165" s="8"/>
      <c r="D1165" s="9"/>
      <c r="E1165" s="8"/>
      <c r="F1165" s="8"/>
      <c r="G1165" s="8"/>
      <c r="H1165" s="8"/>
      <c r="I1165" s="10"/>
      <c r="J1165" s="8"/>
    </row>
    <row r="1166" spans="1:10" x14ac:dyDescent="0.15">
      <c r="A1166" s="7"/>
      <c r="B1166" s="8"/>
      <c r="C1166" s="8"/>
      <c r="D1166" s="9"/>
      <c r="E1166" s="8"/>
      <c r="F1166" s="8"/>
      <c r="G1166" s="8"/>
      <c r="H1166" s="8"/>
      <c r="I1166" s="10"/>
      <c r="J1166" s="8"/>
    </row>
    <row r="1167" spans="1:10" x14ac:dyDescent="0.15">
      <c r="A1167" s="7"/>
      <c r="B1167" s="8"/>
      <c r="C1167" s="8"/>
      <c r="D1167" s="9"/>
      <c r="E1167" s="8"/>
      <c r="F1167" s="8"/>
      <c r="G1167" s="8"/>
      <c r="H1167" s="8"/>
      <c r="I1167" s="10"/>
      <c r="J1167" s="8"/>
    </row>
    <row r="1168" spans="1:10" x14ac:dyDescent="0.15">
      <c r="A1168" s="7"/>
      <c r="B1168" s="8"/>
      <c r="C1168" s="8"/>
      <c r="D1168" s="9"/>
      <c r="E1168" s="8"/>
      <c r="F1168" s="8"/>
      <c r="G1168" s="8"/>
      <c r="H1168" s="8"/>
      <c r="I1168" s="10"/>
      <c r="J1168" s="8"/>
    </row>
    <row r="1169" spans="1:10" x14ac:dyDescent="0.15">
      <c r="A1169" s="7"/>
      <c r="B1169" s="8"/>
      <c r="C1169" s="8"/>
      <c r="D1169" s="9"/>
      <c r="E1169" s="8"/>
      <c r="F1169" s="8"/>
      <c r="G1169" s="8"/>
      <c r="H1169" s="8"/>
      <c r="I1169" s="10"/>
      <c r="J1169" s="8"/>
    </row>
    <row r="1170" spans="1:10" x14ac:dyDescent="0.15">
      <c r="A1170" s="7"/>
      <c r="B1170" s="8"/>
      <c r="C1170" s="8"/>
      <c r="D1170" s="9"/>
      <c r="E1170" s="8"/>
      <c r="F1170" s="8"/>
      <c r="G1170" s="8"/>
      <c r="H1170" s="8"/>
      <c r="I1170" s="10"/>
      <c r="J1170" s="8"/>
    </row>
    <row r="1171" spans="1:10" x14ac:dyDescent="0.15">
      <c r="A1171" s="7"/>
      <c r="B1171" s="8"/>
      <c r="C1171" s="8"/>
      <c r="D1171" s="9"/>
      <c r="E1171" s="8"/>
      <c r="F1171" s="8"/>
      <c r="G1171" s="8"/>
      <c r="H1171" s="8"/>
      <c r="I1171" s="10"/>
      <c r="J1171" s="8"/>
    </row>
    <row r="1172" spans="1:10" x14ac:dyDescent="0.15">
      <c r="A1172" s="7"/>
      <c r="B1172" s="8"/>
      <c r="C1172" s="8"/>
      <c r="D1172" s="9"/>
      <c r="E1172" s="8"/>
      <c r="F1172" s="8"/>
      <c r="G1172" s="8"/>
      <c r="H1172" s="8"/>
      <c r="I1172" s="10"/>
      <c r="J1172" s="8"/>
    </row>
    <row r="1173" spans="1:10" x14ac:dyDescent="0.15">
      <c r="A1173" s="7"/>
      <c r="B1173" s="8"/>
      <c r="C1173" s="8"/>
      <c r="D1173" s="9"/>
      <c r="E1173" s="8"/>
      <c r="F1173" s="8"/>
      <c r="G1173" s="8"/>
      <c r="H1173" s="8"/>
      <c r="I1173" s="10"/>
      <c r="J1173" s="8"/>
    </row>
    <row r="1174" spans="1:10" x14ac:dyDescent="0.15">
      <c r="A1174" s="7"/>
      <c r="B1174" s="8"/>
      <c r="C1174" s="8"/>
      <c r="D1174" s="9"/>
      <c r="E1174" s="8"/>
      <c r="F1174" s="8"/>
      <c r="G1174" s="8"/>
      <c r="H1174" s="8"/>
      <c r="I1174" s="10"/>
      <c r="J1174" s="8"/>
    </row>
    <row r="1175" spans="1:10" x14ac:dyDescent="0.15">
      <c r="A1175" s="7"/>
      <c r="B1175" s="8"/>
      <c r="C1175" s="8"/>
      <c r="D1175" s="9"/>
      <c r="E1175" s="8"/>
      <c r="F1175" s="8"/>
      <c r="G1175" s="8"/>
      <c r="H1175" s="8"/>
      <c r="I1175" s="10"/>
      <c r="J1175" s="8"/>
    </row>
    <row r="1176" spans="1:10" x14ac:dyDescent="0.15">
      <c r="A1176" s="7"/>
      <c r="B1176" s="8"/>
      <c r="C1176" s="8"/>
      <c r="D1176" s="9"/>
      <c r="E1176" s="8"/>
      <c r="F1176" s="8"/>
      <c r="G1176" s="8"/>
      <c r="H1176" s="8"/>
      <c r="I1176" s="10"/>
      <c r="J1176" s="8"/>
    </row>
    <row r="1177" spans="1:10" x14ac:dyDescent="0.15">
      <c r="A1177" s="7"/>
      <c r="B1177" s="8"/>
      <c r="C1177" s="8"/>
      <c r="D1177" s="9"/>
      <c r="E1177" s="8"/>
      <c r="F1177" s="8"/>
      <c r="G1177" s="8"/>
      <c r="H1177" s="8"/>
      <c r="I1177" s="10"/>
      <c r="J1177" s="8"/>
    </row>
    <row r="1178" spans="1:10" x14ac:dyDescent="0.15">
      <c r="A1178" s="7"/>
      <c r="B1178" s="8"/>
      <c r="C1178" s="8"/>
      <c r="D1178" s="9"/>
      <c r="E1178" s="8"/>
      <c r="F1178" s="8"/>
      <c r="G1178" s="8"/>
      <c r="H1178" s="8"/>
      <c r="I1178" s="10"/>
      <c r="J1178" s="8"/>
    </row>
    <row r="1179" spans="1:10" x14ac:dyDescent="0.15">
      <c r="A1179" s="7"/>
      <c r="B1179" s="8"/>
      <c r="C1179" s="8"/>
      <c r="D1179" s="9"/>
      <c r="E1179" s="8"/>
      <c r="F1179" s="8"/>
      <c r="G1179" s="8"/>
      <c r="H1179" s="8"/>
      <c r="I1179" s="10"/>
      <c r="J1179" s="8"/>
    </row>
    <row r="1180" spans="1:10" x14ac:dyDescent="0.15">
      <c r="A1180" s="7"/>
      <c r="B1180" s="8"/>
      <c r="C1180" s="8"/>
      <c r="D1180" s="9"/>
      <c r="E1180" s="8"/>
      <c r="F1180" s="8"/>
      <c r="G1180" s="8"/>
      <c r="H1180" s="8"/>
      <c r="I1180" s="10"/>
      <c r="J1180" s="8"/>
    </row>
    <row r="1181" spans="1:10" x14ac:dyDescent="0.15">
      <c r="A1181" s="7"/>
      <c r="B1181" s="8"/>
      <c r="C1181" s="8"/>
      <c r="D1181" s="9"/>
      <c r="E1181" s="8"/>
      <c r="F1181" s="8"/>
      <c r="G1181" s="8"/>
      <c r="H1181" s="8"/>
      <c r="I1181" s="10"/>
      <c r="J1181" s="8"/>
    </row>
    <row r="1182" spans="1:10" x14ac:dyDescent="0.15">
      <c r="A1182" s="7"/>
      <c r="B1182" s="8"/>
      <c r="C1182" s="8"/>
      <c r="D1182" s="9"/>
      <c r="E1182" s="8"/>
      <c r="F1182" s="8"/>
      <c r="G1182" s="8"/>
      <c r="H1182" s="8"/>
      <c r="I1182" s="10"/>
      <c r="J1182" s="8"/>
    </row>
    <row r="1183" spans="1:10" x14ac:dyDescent="0.15">
      <c r="A1183" s="7"/>
      <c r="B1183" s="8"/>
      <c r="C1183" s="8"/>
      <c r="D1183" s="9"/>
      <c r="E1183" s="8"/>
      <c r="F1183" s="8"/>
      <c r="G1183" s="8"/>
      <c r="H1183" s="8"/>
      <c r="I1183" s="10"/>
      <c r="J1183" s="8"/>
    </row>
    <row r="1184" spans="1:10" x14ac:dyDescent="0.15">
      <c r="A1184" s="7"/>
      <c r="B1184" s="8"/>
      <c r="C1184" s="8"/>
      <c r="D1184" s="9"/>
      <c r="E1184" s="8"/>
      <c r="F1184" s="8"/>
      <c r="G1184" s="8"/>
      <c r="H1184" s="8"/>
      <c r="I1184" s="10"/>
      <c r="J1184" s="8"/>
    </row>
    <row r="1185" spans="1:10" x14ac:dyDescent="0.15">
      <c r="A1185" s="7"/>
      <c r="B1185" s="8"/>
      <c r="C1185" s="8"/>
      <c r="D1185" s="9"/>
      <c r="E1185" s="8"/>
      <c r="F1185" s="8"/>
      <c r="G1185" s="8"/>
      <c r="H1185" s="8"/>
      <c r="I1185" s="10"/>
      <c r="J1185" s="8"/>
    </row>
    <row r="1186" spans="1:10" x14ac:dyDescent="0.15">
      <c r="A1186" s="7"/>
      <c r="B1186" s="8"/>
      <c r="C1186" s="8"/>
      <c r="D1186" s="9"/>
      <c r="E1186" s="8"/>
      <c r="F1186" s="8"/>
      <c r="G1186" s="8"/>
      <c r="H1186" s="8"/>
      <c r="I1186" s="10"/>
      <c r="J1186" s="8"/>
    </row>
    <row r="1187" spans="1:10" x14ac:dyDescent="0.15">
      <c r="A1187" s="7"/>
      <c r="B1187" s="8"/>
      <c r="C1187" s="8"/>
      <c r="D1187" s="9"/>
      <c r="E1187" s="8"/>
      <c r="F1187" s="8"/>
      <c r="G1187" s="8"/>
      <c r="H1187" s="8"/>
      <c r="I1187" s="10"/>
      <c r="J1187" s="8"/>
    </row>
    <row r="1188" spans="1:10" x14ac:dyDescent="0.15">
      <c r="A1188" s="7"/>
      <c r="B1188" s="8"/>
      <c r="C1188" s="8"/>
      <c r="D1188" s="9"/>
      <c r="E1188" s="8"/>
      <c r="F1188" s="8"/>
      <c r="G1188" s="8"/>
      <c r="H1188" s="8"/>
      <c r="I1188" s="10"/>
      <c r="J1188" s="8"/>
    </row>
    <row r="1189" spans="1:10" x14ac:dyDescent="0.15">
      <c r="A1189" s="7"/>
      <c r="B1189" s="8"/>
      <c r="C1189" s="8"/>
      <c r="D1189" s="9"/>
      <c r="E1189" s="8"/>
      <c r="F1189" s="8"/>
      <c r="G1189" s="8"/>
      <c r="H1189" s="8"/>
      <c r="I1189" s="10"/>
      <c r="J1189" s="8"/>
    </row>
    <row r="1190" spans="1:10" x14ac:dyDescent="0.15">
      <c r="A1190" s="7"/>
      <c r="B1190" s="8"/>
      <c r="C1190" s="8"/>
      <c r="D1190" s="9"/>
      <c r="E1190" s="8"/>
      <c r="F1190" s="8"/>
      <c r="G1190" s="8"/>
      <c r="H1190" s="8"/>
      <c r="I1190" s="10"/>
      <c r="J1190" s="8"/>
    </row>
    <row r="1191" spans="1:10" x14ac:dyDescent="0.15">
      <c r="A1191" s="7"/>
      <c r="B1191" s="8"/>
      <c r="C1191" s="8"/>
      <c r="D1191" s="9"/>
      <c r="E1191" s="8"/>
      <c r="F1191" s="8"/>
      <c r="G1191" s="8"/>
      <c r="H1191" s="8"/>
      <c r="I1191" s="10"/>
      <c r="J1191" s="8"/>
    </row>
    <row r="1192" spans="1:10" x14ac:dyDescent="0.15">
      <c r="A1192" s="7"/>
      <c r="B1192" s="8"/>
      <c r="C1192" s="8"/>
      <c r="D1192" s="9"/>
      <c r="E1192" s="8"/>
      <c r="F1192" s="8"/>
      <c r="G1192" s="8"/>
      <c r="H1192" s="8"/>
      <c r="I1192" s="10"/>
      <c r="J1192" s="8"/>
    </row>
    <row r="1193" spans="1:10" x14ac:dyDescent="0.15">
      <c r="A1193" s="7"/>
      <c r="B1193" s="8"/>
      <c r="C1193" s="8"/>
      <c r="D1193" s="9"/>
      <c r="E1193" s="8"/>
      <c r="F1193" s="8"/>
      <c r="G1193" s="8"/>
      <c r="H1193" s="8"/>
      <c r="I1193" s="10"/>
      <c r="J1193" s="8"/>
    </row>
    <row r="1194" spans="1:10" x14ac:dyDescent="0.15">
      <c r="A1194" s="7"/>
      <c r="B1194" s="8"/>
      <c r="C1194" s="8"/>
      <c r="D1194" s="9"/>
      <c r="E1194" s="8"/>
      <c r="F1194" s="8"/>
      <c r="G1194" s="8"/>
      <c r="H1194" s="8"/>
      <c r="I1194" s="10"/>
      <c r="J1194" s="8"/>
    </row>
    <row r="1195" spans="1:10" x14ac:dyDescent="0.15">
      <c r="A1195" s="7"/>
      <c r="B1195" s="8"/>
      <c r="C1195" s="8"/>
      <c r="D1195" s="9"/>
      <c r="E1195" s="8"/>
      <c r="F1195" s="8"/>
      <c r="G1195" s="8"/>
      <c r="H1195" s="8"/>
      <c r="I1195" s="10"/>
      <c r="J1195" s="8"/>
    </row>
    <row r="1196" spans="1:10" x14ac:dyDescent="0.15">
      <c r="A1196" s="7"/>
      <c r="B1196" s="8"/>
      <c r="C1196" s="8"/>
      <c r="D1196" s="9"/>
      <c r="E1196" s="8"/>
      <c r="F1196" s="8"/>
      <c r="G1196" s="8"/>
      <c r="H1196" s="8"/>
      <c r="I1196" s="10"/>
      <c r="J1196" s="8"/>
    </row>
    <row r="1197" spans="1:10" x14ac:dyDescent="0.15">
      <c r="A1197" s="7"/>
      <c r="B1197" s="8"/>
      <c r="C1197" s="8"/>
      <c r="D1197" s="9"/>
      <c r="E1197" s="8"/>
      <c r="F1197" s="8"/>
      <c r="G1197" s="8"/>
      <c r="H1197" s="8"/>
      <c r="I1197" s="10"/>
      <c r="J1197" s="8"/>
    </row>
    <row r="1198" spans="1:10" x14ac:dyDescent="0.15">
      <c r="A1198" s="7"/>
      <c r="B1198" s="8"/>
      <c r="C1198" s="8"/>
      <c r="D1198" s="9"/>
      <c r="E1198" s="8"/>
      <c r="F1198" s="8"/>
      <c r="G1198" s="8"/>
      <c r="H1198" s="8"/>
      <c r="I1198" s="10"/>
      <c r="J1198" s="8"/>
    </row>
    <row r="1199" spans="1:10" x14ac:dyDescent="0.15">
      <c r="A1199" s="7"/>
      <c r="B1199" s="8"/>
      <c r="C1199" s="8"/>
      <c r="D1199" s="9"/>
      <c r="E1199" s="8"/>
      <c r="F1199" s="8"/>
      <c r="G1199" s="8"/>
      <c r="H1199" s="8"/>
      <c r="I1199" s="10"/>
      <c r="J1199" s="8"/>
    </row>
    <row r="1200" spans="1:10" x14ac:dyDescent="0.15">
      <c r="A1200" s="7"/>
      <c r="B1200" s="8"/>
      <c r="C1200" s="8"/>
      <c r="D1200" s="9"/>
      <c r="E1200" s="8"/>
      <c r="F1200" s="8"/>
      <c r="G1200" s="8"/>
      <c r="H1200" s="8"/>
      <c r="I1200" s="10"/>
      <c r="J1200" s="8"/>
    </row>
    <row r="1201" spans="1:10" x14ac:dyDescent="0.15">
      <c r="A1201" s="7"/>
      <c r="B1201" s="8"/>
      <c r="C1201" s="8"/>
      <c r="D1201" s="9"/>
      <c r="E1201" s="8"/>
      <c r="F1201" s="8"/>
      <c r="G1201" s="8"/>
      <c r="H1201" s="8"/>
      <c r="I1201" s="10"/>
      <c r="J1201" s="8"/>
    </row>
    <row r="1202" spans="1:10" x14ac:dyDescent="0.15">
      <c r="A1202" s="7"/>
      <c r="B1202" s="8"/>
      <c r="C1202" s="8"/>
      <c r="D1202" s="9"/>
      <c r="E1202" s="8"/>
      <c r="F1202" s="8"/>
      <c r="G1202" s="8"/>
      <c r="H1202" s="8"/>
      <c r="I1202" s="10"/>
      <c r="J1202" s="8"/>
    </row>
    <row r="1203" spans="1:10" x14ac:dyDescent="0.15">
      <c r="A1203" s="7"/>
      <c r="B1203" s="8"/>
      <c r="C1203" s="8"/>
      <c r="D1203" s="9"/>
      <c r="E1203" s="8"/>
      <c r="F1203" s="8"/>
      <c r="G1203" s="8"/>
      <c r="H1203" s="8"/>
      <c r="I1203" s="10"/>
      <c r="J1203" s="8"/>
    </row>
    <row r="1204" spans="1:10" x14ac:dyDescent="0.15">
      <c r="A1204" s="7"/>
      <c r="B1204" s="8"/>
      <c r="C1204" s="8"/>
      <c r="D1204" s="9"/>
      <c r="E1204" s="8"/>
      <c r="F1204" s="8"/>
      <c r="G1204" s="8"/>
      <c r="H1204" s="8"/>
      <c r="I1204" s="10"/>
      <c r="J1204" s="8"/>
    </row>
    <row r="1205" spans="1:10" x14ac:dyDescent="0.15">
      <c r="A1205" s="7"/>
      <c r="B1205" s="8"/>
      <c r="C1205" s="8"/>
      <c r="D1205" s="9"/>
      <c r="E1205" s="8"/>
      <c r="F1205" s="8"/>
      <c r="G1205" s="8"/>
      <c r="H1205" s="8"/>
      <c r="I1205" s="10"/>
      <c r="J1205" s="8"/>
    </row>
    <row r="1206" spans="1:10" x14ac:dyDescent="0.15">
      <c r="A1206" s="7"/>
      <c r="B1206" s="8"/>
      <c r="C1206" s="8"/>
      <c r="D1206" s="9"/>
      <c r="E1206" s="8"/>
      <c r="F1206" s="8"/>
      <c r="G1206" s="8"/>
      <c r="H1206" s="8"/>
      <c r="I1206" s="10"/>
      <c r="J1206" s="8"/>
    </row>
    <row r="1207" spans="1:10" x14ac:dyDescent="0.15">
      <c r="A1207" s="7"/>
      <c r="B1207" s="8"/>
      <c r="C1207" s="8"/>
      <c r="D1207" s="9"/>
      <c r="E1207" s="8"/>
      <c r="F1207" s="8"/>
      <c r="G1207" s="8"/>
      <c r="H1207" s="8"/>
      <c r="I1207" s="10"/>
      <c r="J1207" s="8"/>
    </row>
    <row r="1208" spans="1:10" x14ac:dyDescent="0.15">
      <c r="A1208" s="7"/>
      <c r="B1208" s="8"/>
      <c r="C1208" s="8"/>
      <c r="D1208" s="9"/>
      <c r="E1208" s="8"/>
      <c r="F1208" s="8"/>
      <c r="G1208" s="8"/>
      <c r="H1208" s="8"/>
      <c r="I1208" s="10"/>
      <c r="J1208" s="8"/>
    </row>
    <row r="1209" spans="1:10" x14ac:dyDescent="0.15">
      <c r="A1209" s="7"/>
      <c r="B1209" s="8"/>
      <c r="C1209" s="8"/>
      <c r="D1209" s="9"/>
      <c r="E1209" s="8"/>
      <c r="F1209" s="8"/>
      <c r="G1209" s="8"/>
      <c r="H1209" s="8"/>
      <c r="I1209" s="10"/>
      <c r="J1209" s="8"/>
    </row>
    <row r="1210" spans="1:10" x14ac:dyDescent="0.15">
      <c r="A1210" s="7"/>
      <c r="B1210" s="8"/>
      <c r="C1210" s="8"/>
      <c r="D1210" s="9"/>
      <c r="E1210" s="8"/>
      <c r="F1210" s="8"/>
      <c r="G1210" s="8"/>
      <c r="H1210" s="8"/>
      <c r="I1210" s="10"/>
      <c r="J1210" s="8"/>
    </row>
    <row r="1211" spans="1:10" x14ac:dyDescent="0.15">
      <c r="A1211" s="7"/>
      <c r="B1211" s="8"/>
      <c r="C1211" s="8"/>
      <c r="D1211" s="9"/>
      <c r="E1211" s="8"/>
      <c r="F1211" s="8"/>
      <c r="G1211" s="8"/>
      <c r="H1211" s="8"/>
      <c r="I1211" s="10"/>
      <c r="J1211" s="8"/>
    </row>
    <row r="1212" spans="1:10" x14ac:dyDescent="0.15">
      <c r="A1212" s="7"/>
      <c r="B1212" s="8"/>
      <c r="C1212" s="8"/>
      <c r="D1212" s="9"/>
      <c r="E1212" s="8"/>
      <c r="F1212" s="8"/>
      <c r="G1212" s="8"/>
      <c r="H1212" s="8"/>
      <c r="I1212" s="10"/>
      <c r="J1212" s="8"/>
    </row>
    <row r="1213" spans="1:10" x14ac:dyDescent="0.15">
      <c r="A1213" s="7"/>
      <c r="B1213" s="8"/>
      <c r="C1213" s="8"/>
      <c r="D1213" s="9"/>
      <c r="E1213" s="8"/>
      <c r="F1213" s="8"/>
      <c r="G1213" s="8"/>
      <c r="H1213" s="8"/>
      <c r="I1213" s="10"/>
      <c r="J1213" s="8"/>
    </row>
    <row r="1214" spans="1:10" x14ac:dyDescent="0.15">
      <c r="A1214" s="7"/>
      <c r="B1214" s="8"/>
      <c r="C1214" s="8"/>
      <c r="D1214" s="9"/>
      <c r="E1214" s="8"/>
      <c r="F1214" s="8"/>
      <c r="G1214" s="8"/>
      <c r="H1214" s="8"/>
      <c r="I1214" s="10"/>
      <c r="J1214" s="8"/>
    </row>
    <row r="1215" spans="1:10" x14ac:dyDescent="0.15">
      <c r="A1215" s="7"/>
      <c r="B1215" s="8"/>
      <c r="C1215" s="8"/>
      <c r="D1215" s="9"/>
      <c r="E1215" s="8"/>
      <c r="F1215" s="8"/>
      <c r="G1215" s="8"/>
      <c r="H1215" s="8"/>
      <c r="I1215" s="10"/>
      <c r="J1215" s="8"/>
    </row>
    <row r="1216" spans="1:10" x14ac:dyDescent="0.15">
      <c r="A1216" s="7"/>
      <c r="B1216" s="8"/>
      <c r="C1216" s="8"/>
      <c r="D1216" s="9"/>
      <c r="E1216" s="8"/>
      <c r="F1216" s="8"/>
      <c r="G1216" s="8"/>
      <c r="H1216" s="8"/>
      <c r="I1216" s="10"/>
      <c r="J1216" s="8"/>
    </row>
    <row r="1217" spans="1:10" x14ac:dyDescent="0.15">
      <c r="A1217" s="7"/>
      <c r="B1217" s="8"/>
      <c r="C1217" s="8"/>
      <c r="D1217" s="9"/>
      <c r="E1217" s="8"/>
      <c r="F1217" s="8"/>
      <c r="G1217" s="8"/>
      <c r="H1217" s="8"/>
      <c r="I1217" s="10"/>
      <c r="J1217" s="8"/>
    </row>
    <row r="1218" spans="1:10" x14ac:dyDescent="0.15">
      <c r="A1218" s="7"/>
      <c r="B1218" s="8"/>
      <c r="C1218" s="8"/>
      <c r="D1218" s="9"/>
      <c r="E1218" s="8"/>
      <c r="F1218" s="8"/>
      <c r="G1218" s="8"/>
      <c r="H1218" s="8"/>
      <c r="I1218" s="10"/>
      <c r="J1218" s="8"/>
    </row>
    <row r="1219" spans="1:10" x14ac:dyDescent="0.15">
      <c r="A1219" s="7"/>
      <c r="B1219" s="8"/>
      <c r="C1219" s="8"/>
      <c r="D1219" s="9"/>
      <c r="E1219" s="8"/>
      <c r="F1219" s="8"/>
      <c r="G1219" s="8"/>
      <c r="H1219" s="8"/>
      <c r="I1219" s="10"/>
      <c r="J1219" s="8"/>
    </row>
    <row r="1220" spans="1:10" x14ac:dyDescent="0.15">
      <c r="A1220" s="7"/>
      <c r="B1220" s="8"/>
      <c r="C1220" s="8"/>
      <c r="D1220" s="9"/>
      <c r="E1220" s="8"/>
      <c r="F1220" s="8"/>
      <c r="G1220" s="8"/>
      <c r="H1220" s="8"/>
      <c r="I1220" s="10"/>
      <c r="J1220" s="8"/>
    </row>
    <row r="1221" spans="1:10" x14ac:dyDescent="0.15">
      <c r="A1221" s="7"/>
      <c r="B1221" s="8"/>
      <c r="C1221" s="8"/>
      <c r="D1221" s="9"/>
      <c r="E1221" s="8"/>
      <c r="F1221" s="8"/>
      <c r="G1221" s="8"/>
      <c r="H1221" s="8"/>
      <c r="I1221" s="10"/>
      <c r="J1221" s="8"/>
    </row>
    <row r="1222" spans="1:10" x14ac:dyDescent="0.15">
      <c r="A1222" s="7"/>
      <c r="B1222" s="8"/>
      <c r="C1222" s="8"/>
      <c r="D1222" s="9"/>
      <c r="E1222" s="8"/>
      <c r="F1222" s="8"/>
      <c r="G1222" s="8"/>
      <c r="H1222" s="8"/>
      <c r="I1222" s="10"/>
      <c r="J1222" s="8"/>
    </row>
    <row r="1223" spans="1:10" x14ac:dyDescent="0.15">
      <c r="A1223" s="7"/>
      <c r="B1223" s="8"/>
      <c r="C1223" s="8"/>
      <c r="D1223" s="9"/>
      <c r="E1223" s="8"/>
      <c r="F1223" s="8"/>
      <c r="G1223" s="8"/>
      <c r="H1223" s="8"/>
      <c r="I1223" s="10"/>
      <c r="J1223" s="8"/>
    </row>
    <row r="1224" spans="1:10" x14ac:dyDescent="0.15">
      <c r="A1224" s="7"/>
      <c r="B1224" s="8"/>
      <c r="C1224" s="8"/>
      <c r="D1224" s="9"/>
      <c r="E1224" s="8"/>
      <c r="F1224" s="8"/>
      <c r="G1224" s="8"/>
      <c r="H1224" s="8"/>
      <c r="I1224" s="10"/>
      <c r="J1224" s="8"/>
    </row>
    <row r="1225" spans="1:10" x14ac:dyDescent="0.15">
      <c r="A1225" s="7"/>
      <c r="B1225" s="8"/>
      <c r="C1225" s="8"/>
      <c r="D1225" s="9"/>
      <c r="E1225" s="8"/>
      <c r="F1225" s="8"/>
      <c r="G1225" s="8"/>
      <c r="H1225" s="8"/>
      <c r="I1225" s="10"/>
      <c r="J1225" s="8"/>
    </row>
    <row r="1226" spans="1:10" x14ac:dyDescent="0.15">
      <c r="A1226" s="7"/>
      <c r="B1226" s="8"/>
      <c r="C1226" s="8"/>
      <c r="D1226" s="9"/>
      <c r="E1226" s="8"/>
      <c r="F1226" s="8"/>
      <c r="G1226" s="8"/>
      <c r="H1226" s="8"/>
      <c r="I1226" s="10"/>
      <c r="J1226" s="8"/>
    </row>
    <row r="1227" spans="1:10" x14ac:dyDescent="0.15">
      <c r="A1227" s="7"/>
      <c r="B1227" s="8"/>
      <c r="C1227" s="8"/>
      <c r="D1227" s="9"/>
      <c r="E1227" s="8"/>
      <c r="F1227" s="8"/>
      <c r="G1227" s="8"/>
      <c r="H1227" s="8"/>
      <c r="I1227" s="10"/>
      <c r="J1227" s="8"/>
    </row>
    <row r="1228" spans="1:10" x14ac:dyDescent="0.15">
      <c r="A1228" s="7"/>
      <c r="B1228" s="8"/>
      <c r="C1228" s="8"/>
      <c r="D1228" s="9"/>
      <c r="E1228" s="8"/>
      <c r="F1228" s="8"/>
      <c r="G1228" s="8"/>
      <c r="H1228" s="8"/>
      <c r="I1228" s="10"/>
      <c r="J1228" s="8"/>
    </row>
    <row r="1229" spans="1:10" x14ac:dyDescent="0.15">
      <c r="A1229" s="7"/>
      <c r="B1229" s="8"/>
      <c r="C1229" s="8"/>
      <c r="D1229" s="9"/>
      <c r="E1229" s="8"/>
      <c r="F1229" s="8"/>
      <c r="G1229" s="8"/>
      <c r="H1229" s="8"/>
      <c r="I1229" s="10"/>
      <c r="J1229" s="8"/>
    </row>
    <row r="1230" spans="1:10" x14ac:dyDescent="0.15">
      <c r="A1230" s="7"/>
      <c r="B1230" s="8"/>
      <c r="C1230" s="8"/>
      <c r="D1230" s="9"/>
      <c r="E1230" s="8"/>
      <c r="F1230" s="8"/>
      <c r="G1230" s="8"/>
      <c r="H1230" s="8"/>
      <c r="I1230" s="10"/>
      <c r="J1230" s="8"/>
    </row>
    <row r="1231" spans="1:10" x14ac:dyDescent="0.15">
      <c r="A1231" s="7"/>
      <c r="B1231" s="8"/>
      <c r="C1231" s="8"/>
      <c r="D1231" s="9"/>
      <c r="E1231" s="8"/>
      <c r="F1231" s="8"/>
      <c r="G1231" s="8"/>
      <c r="H1231" s="8"/>
      <c r="I1231" s="10"/>
      <c r="J1231" s="8"/>
    </row>
    <row r="1232" spans="1:10" x14ac:dyDescent="0.15">
      <c r="A1232" s="7"/>
      <c r="B1232" s="8"/>
      <c r="C1232" s="8"/>
      <c r="D1232" s="9"/>
      <c r="E1232" s="8"/>
      <c r="F1232" s="8"/>
      <c r="G1232" s="8"/>
      <c r="H1232" s="8"/>
      <c r="I1232" s="10"/>
      <c r="J1232" s="8"/>
    </row>
    <row r="1233" spans="1:10" x14ac:dyDescent="0.15">
      <c r="A1233" s="7"/>
      <c r="B1233" s="8"/>
      <c r="C1233" s="8"/>
      <c r="D1233" s="9"/>
      <c r="E1233" s="8"/>
      <c r="F1233" s="8"/>
      <c r="G1233" s="8"/>
      <c r="H1233" s="8"/>
      <c r="I1233" s="10"/>
      <c r="J1233" s="8"/>
    </row>
    <row r="1234" spans="1:10" x14ac:dyDescent="0.15">
      <c r="A1234" s="7"/>
      <c r="B1234" s="8"/>
      <c r="C1234" s="8"/>
      <c r="D1234" s="9"/>
      <c r="E1234" s="8"/>
      <c r="F1234" s="8"/>
      <c r="G1234" s="8"/>
      <c r="H1234" s="8"/>
      <c r="I1234" s="10"/>
      <c r="J1234" s="8"/>
    </row>
    <row r="1235" spans="1:10" x14ac:dyDescent="0.15">
      <c r="A1235" s="7"/>
      <c r="B1235" s="8"/>
      <c r="C1235" s="8"/>
      <c r="D1235" s="9"/>
      <c r="E1235" s="8"/>
      <c r="F1235" s="8"/>
      <c r="G1235" s="8"/>
      <c r="H1235" s="8"/>
      <c r="I1235" s="10"/>
      <c r="J1235" s="8"/>
    </row>
    <row r="1236" spans="1:10" x14ac:dyDescent="0.15">
      <c r="A1236" s="7"/>
      <c r="B1236" s="8"/>
      <c r="C1236" s="8"/>
      <c r="D1236" s="9"/>
      <c r="E1236" s="8"/>
      <c r="F1236" s="8"/>
      <c r="G1236" s="8"/>
      <c r="H1236" s="8"/>
      <c r="I1236" s="10"/>
      <c r="J1236" s="8"/>
    </row>
    <row r="1237" spans="1:10" x14ac:dyDescent="0.15">
      <c r="A1237" s="7"/>
      <c r="B1237" s="8"/>
      <c r="C1237" s="8"/>
      <c r="D1237" s="9"/>
      <c r="E1237" s="8"/>
      <c r="F1237" s="8"/>
      <c r="G1237" s="8"/>
      <c r="H1237" s="8"/>
      <c r="I1237" s="10"/>
      <c r="J1237" s="8"/>
    </row>
    <row r="1238" spans="1:10" x14ac:dyDescent="0.15">
      <c r="A1238" s="7"/>
      <c r="B1238" s="8"/>
      <c r="C1238" s="8"/>
      <c r="D1238" s="9"/>
      <c r="E1238" s="8"/>
      <c r="F1238" s="8"/>
      <c r="G1238" s="8"/>
      <c r="H1238" s="8"/>
      <c r="I1238" s="10"/>
      <c r="J1238" s="8"/>
    </row>
    <row r="1239" spans="1:10" x14ac:dyDescent="0.15">
      <c r="A1239" s="7"/>
      <c r="B1239" s="8"/>
      <c r="C1239" s="8"/>
      <c r="D1239" s="9"/>
      <c r="E1239" s="8"/>
      <c r="F1239" s="8"/>
      <c r="G1239" s="8"/>
      <c r="H1239" s="8"/>
      <c r="I1239" s="10"/>
      <c r="J1239" s="8"/>
    </row>
    <row r="1240" spans="1:10" x14ac:dyDescent="0.15">
      <c r="A1240" s="7"/>
      <c r="B1240" s="8"/>
      <c r="C1240" s="8"/>
      <c r="D1240" s="9"/>
      <c r="E1240" s="8"/>
      <c r="F1240" s="8"/>
      <c r="G1240" s="8"/>
      <c r="H1240" s="8"/>
      <c r="I1240" s="10"/>
      <c r="J1240" s="8"/>
    </row>
    <row r="1241" spans="1:10" x14ac:dyDescent="0.15">
      <c r="A1241" s="7"/>
      <c r="B1241" s="8"/>
      <c r="C1241" s="8"/>
      <c r="D1241" s="9"/>
      <c r="E1241" s="8"/>
      <c r="F1241" s="8"/>
      <c r="G1241" s="8"/>
      <c r="H1241" s="8"/>
      <c r="I1241" s="10"/>
      <c r="J1241" s="8"/>
    </row>
    <row r="1242" spans="1:10" x14ac:dyDescent="0.15">
      <c r="A1242" s="7"/>
      <c r="B1242" s="8"/>
      <c r="C1242" s="8"/>
      <c r="D1242" s="9"/>
      <c r="E1242" s="8"/>
      <c r="F1242" s="8"/>
      <c r="G1242" s="8"/>
      <c r="H1242" s="8"/>
      <c r="I1242" s="10"/>
      <c r="J1242" s="8"/>
    </row>
    <row r="1243" spans="1:10" x14ac:dyDescent="0.15">
      <c r="A1243" s="7"/>
      <c r="B1243" s="8"/>
      <c r="C1243" s="8"/>
      <c r="D1243" s="9"/>
      <c r="E1243" s="8"/>
      <c r="F1243" s="8"/>
      <c r="G1243" s="8"/>
      <c r="H1243" s="8"/>
      <c r="I1243" s="10"/>
      <c r="J1243" s="8"/>
    </row>
    <row r="1244" spans="1:10" x14ac:dyDescent="0.15">
      <c r="A1244" s="7"/>
      <c r="B1244" s="8"/>
      <c r="C1244" s="8"/>
      <c r="D1244" s="9"/>
      <c r="E1244" s="8"/>
      <c r="F1244" s="8"/>
      <c r="G1244" s="8"/>
      <c r="H1244" s="8"/>
      <c r="I1244" s="10"/>
      <c r="J1244" s="8"/>
    </row>
    <row r="1245" spans="1:10" x14ac:dyDescent="0.15">
      <c r="A1245" s="7"/>
      <c r="B1245" s="8"/>
      <c r="C1245" s="8"/>
      <c r="D1245" s="9"/>
      <c r="E1245" s="8"/>
      <c r="F1245" s="8"/>
      <c r="G1245" s="8"/>
      <c r="H1245" s="8"/>
      <c r="I1245" s="10"/>
      <c r="J1245" s="8"/>
    </row>
    <row r="1246" spans="1:10" x14ac:dyDescent="0.15">
      <c r="A1246" s="7"/>
      <c r="B1246" s="8"/>
      <c r="C1246" s="8"/>
      <c r="D1246" s="9"/>
      <c r="E1246" s="8"/>
      <c r="F1246" s="8"/>
      <c r="G1246" s="8"/>
      <c r="H1246" s="8"/>
      <c r="I1246" s="10"/>
      <c r="J1246" s="8"/>
    </row>
    <row r="1247" spans="1:10" x14ac:dyDescent="0.15">
      <c r="A1247" s="7"/>
      <c r="B1247" s="8"/>
      <c r="C1247" s="8"/>
      <c r="D1247" s="9"/>
      <c r="E1247" s="8"/>
      <c r="F1247" s="8"/>
      <c r="G1247" s="8"/>
      <c r="H1247" s="8"/>
      <c r="I1247" s="10"/>
      <c r="J1247" s="8"/>
    </row>
    <row r="1248" spans="1:10" x14ac:dyDescent="0.15">
      <c r="A1248" s="7"/>
      <c r="B1248" s="8"/>
      <c r="C1248" s="8"/>
      <c r="D1248" s="9"/>
      <c r="E1248" s="8"/>
      <c r="F1248" s="8"/>
      <c r="G1248" s="8"/>
      <c r="H1248" s="8"/>
      <c r="I1248" s="10"/>
      <c r="J1248" s="8"/>
    </row>
    <row r="1249" spans="1:10" x14ac:dyDescent="0.15">
      <c r="A1249" s="7"/>
      <c r="B1249" s="8"/>
      <c r="C1249" s="8"/>
      <c r="D1249" s="9"/>
      <c r="E1249" s="8"/>
      <c r="F1249" s="8"/>
      <c r="G1249" s="8"/>
      <c r="H1249" s="8"/>
      <c r="I1249" s="10"/>
      <c r="J1249" s="8"/>
    </row>
    <row r="1250" spans="1:10" x14ac:dyDescent="0.15">
      <c r="A1250" s="7"/>
      <c r="B1250" s="8"/>
      <c r="C1250" s="8"/>
      <c r="D1250" s="9"/>
      <c r="E1250" s="8"/>
      <c r="F1250" s="8"/>
      <c r="G1250" s="8"/>
      <c r="H1250" s="8"/>
      <c r="I1250" s="10"/>
      <c r="J1250" s="8"/>
    </row>
    <row r="1251" spans="1:10" x14ac:dyDescent="0.15">
      <c r="A1251" s="7"/>
      <c r="B1251" s="8"/>
      <c r="C1251" s="8"/>
      <c r="D1251" s="9"/>
      <c r="E1251" s="8"/>
      <c r="F1251" s="8"/>
      <c r="G1251" s="8"/>
      <c r="H1251" s="8"/>
      <c r="I1251" s="10"/>
      <c r="J1251" s="8"/>
    </row>
    <row r="1252" spans="1:10" x14ac:dyDescent="0.15">
      <c r="A1252" s="7"/>
      <c r="B1252" s="8"/>
      <c r="C1252" s="8"/>
      <c r="D1252" s="9"/>
      <c r="E1252" s="8"/>
      <c r="F1252" s="8"/>
      <c r="G1252" s="8"/>
      <c r="H1252" s="8"/>
      <c r="I1252" s="10"/>
      <c r="J1252" s="8"/>
    </row>
    <row r="1253" spans="1:10" x14ac:dyDescent="0.15">
      <c r="A1253" s="7"/>
      <c r="B1253" s="8"/>
      <c r="C1253" s="8"/>
      <c r="D1253" s="9"/>
      <c r="E1253" s="8"/>
      <c r="F1253" s="8"/>
      <c r="G1253" s="8"/>
      <c r="H1253" s="8"/>
      <c r="I1253" s="10"/>
      <c r="J1253" s="8"/>
    </row>
    <row r="1254" spans="1:10" x14ac:dyDescent="0.15">
      <c r="A1254" s="7"/>
      <c r="B1254" s="8"/>
      <c r="C1254" s="8"/>
      <c r="D1254" s="9"/>
      <c r="E1254" s="8"/>
      <c r="F1254" s="8"/>
      <c r="G1254" s="8"/>
      <c r="H1254" s="8"/>
      <c r="I1254" s="10"/>
      <c r="J1254" s="8"/>
    </row>
    <row r="1255" spans="1:10" x14ac:dyDescent="0.15">
      <c r="A1255" s="7"/>
      <c r="B1255" s="8"/>
      <c r="C1255" s="8"/>
      <c r="D1255" s="9"/>
      <c r="E1255" s="8"/>
      <c r="F1255" s="8"/>
      <c r="G1255" s="8"/>
      <c r="H1255" s="8"/>
      <c r="I1255" s="10"/>
      <c r="J1255" s="8"/>
    </row>
    <row r="1256" spans="1:10" x14ac:dyDescent="0.15">
      <c r="A1256" s="7"/>
      <c r="B1256" s="8"/>
      <c r="C1256" s="8"/>
      <c r="D1256" s="9"/>
      <c r="E1256" s="8"/>
      <c r="F1256" s="8"/>
      <c r="G1256" s="8"/>
      <c r="H1256" s="8"/>
      <c r="I1256" s="10"/>
      <c r="J1256" s="8"/>
    </row>
    <row r="1257" spans="1:10" x14ac:dyDescent="0.15">
      <c r="A1257" s="7"/>
      <c r="B1257" s="8"/>
      <c r="C1257" s="8"/>
      <c r="D1257" s="9"/>
      <c r="E1257" s="8"/>
      <c r="F1257" s="8"/>
      <c r="G1257" s="8"/>
      <c r="H1257" s="8"/>
      <c r="I1257" s="10"/>
      <c r="J1257" s="8"/>
    </row>
    <row r="1258" spans="1:10" x14ac:dyDescent="0.15">
      <c r="A1258" s="7"/>
      <c r="B1258" s="8"/>
      <c r="C1258" s="8"/>
      <c r="D1258" s="9"/>
      <c r="E1258" s="8"/>
      <c r="F1258" s="8"/>
      <c r="G1258" s="8"/>
      <c r="H1258" s="8"/>
      <c r="I1258" s="10"/>
      <c r="J1258" s="8"/>
    </row>
    <row r="1259" spans="1:10" x14ac:dyDescent="0.15">
      <c r="A1259" s="7"/>
      <c r="B1259" s="8"/>
      <c r="C1259" s="8"/>
      <c r="D1259" s="9"/>
      <c r="E1259" s="8"/>
      <c r="F1259" s="8"/>
      <c r="G1259" s="8"/>
      <c r="H1259" s="8"/>
      <c r="I1259" s="10"/>
      <c r="J1259" s="8"/>
    </row>
    <row r="1260" spans="1:10" x14ac:dyDescent="0.15">
      <c r="A1260" s="7"/>
      <c r="B1260" s="8"/>
      <c r="C1260" s="8"/>
      <c r="D1260" s="9"/>
      <c r="E1260" s="8"/>
      <c r="F1260" s="8"/>
      <c r="G1260" s="8"/>
      <c r="H1260" s="8"/>
      <c r="I1260" s="10"/>
      <c r="J1260" s="8"/>
    </row>
    <row r="1261" spans="1:10" x14ac:dyDescent="0.15">
      <c r="A1261" s="7"/>
      <c r="B1261" s="8"/>
      <c r="C1261" s="8"/>
      <c r="D1261" s="9"/>
      <c r="E1261" s="8"/>
      <c r="F1261" s="8"/>
      <c r="G1261" s="8"/>
      <c r="H1261" s="8"/>
      <c r="I1261" s="10"/>
      <c r="J1261" s="8"/>
    </row>
    <row r="1262" spans="1:10" x14ac:dyDescent="0.15">
      <c r="A1262" s="7"/>
      <c r="B1262" s="8"/>
      <c r="C1262" s="8"/>
      <c r="D1262" s="9"/>
      <c r="E1262" s="8"/>
      <c r="F1262" s="8"/>
      <c r="G1262" s="8"/>
      <c r="H1262" s="8"/>
      <c r="I1262" s="10"/>
      <c r="J1262" s="8"/>
    </row>
    <row r="1263" spans="1:10" x14ac:dyDescent="0.15">
      <c r="A1263" s="7"/>
      <c r="B1263" s="8"/>
      <c r="C1263" s="8"/>
      <c r="D1263" s="9"/>
      <c r="E1263" s="8"/>
      <c r="F1263" s="8"/>
      <c r="G1263" s="8"/>
      <c r="H1263" s="8"/>
      <c r="I1263" s="10"/>
      <c r="J1263" s="8"/>
    </row>
    <row r="1264" spans="1:10" x14ac:dyDescent="0.15">
      <c r="A1264" s="7"/>
      <c r="B1264" s="8"/>
      <c r="C1264" s="8"/>
      <c r="D1264" s="9"/>
      <c r="E1264" s="8"/>
      <c r="F1264" s="8"/>
      <c r="G1264" s="8"/>
      <c r="H1264" s="8"/>
      <c r="I1264" s="10"/>
      <c r="J1264" s="8"/>
    </row>
    <row r="1265" spans="1:10" x14ac:dyDescent="0.15">
      <c r="A1265" s="7"/>
      <c r="B1265" s="8"/>
      <c r="C1265" s="8"/>
      <c r="D1265" s="9"/>
      <c r="E1265" s="8"/>
      <c r="F1265" s="8"/>
      <c r="G1265" s="8"/>
      <c r="H1265" s="8"/>
      <c r="I1265" s="10"/>
      <c r="J1265" s="8"/>
    </row>
    <row r="1266" spans="1:10" x14ac:dyDescent="0.15">
      <c r="A1266" s="7"/>
      <c r="B1266" s="8"/>
      <c r="C1266" s="8"/>
      <c r="D1266" s="9"/>
      <c r="E1266" s="8"/>
      <c r="F1266" s="8"/>
      <c r="G1266" s="8"/>
      <c r="H1266" s="8"/>
      <c r="I1266" s="10"/>
      <c r="J1266" s="8"/>
    </row>
    <row r="1267" spans="1:10" x14ac:dyDescent="0.15">
      <c r="A1267" s="7"/>
      <c r="B1267" s="8"/>
      <c r="C1267" s="8"/>
      <c r="D1267" s="9"/>
      <c r="E1267" s="8"/>
      <c r="F1267" s="8"/>
      <c r="G1267" s="8"/>
      <c r="H1267" s="8"/>
      <c r="I1267" s="10"/>
      <c r="J1267" s="8"/>
    </row>
    <row r="1268" spans="1:10" x14ac:dyDescent="0.15">
      <c r="A1268" s="7"/>
      <c r="B1268" s="8"/>
      <c r="C1268" s="8"/>
      <c r="D1268" s="9"/>
      <c r="E1268" s="8"/>
      <c r="F1268" s="8"/>
      <c r="G1268" s="8"/>
      <c r="H1268" s="8"/>
      <c r="I1268" s="10"/>
      <c r="J1268" s="8"/>
    </row>
    <row r="1269" spans="1:10" x14ac:dyDescent="0.15">
      <c r="A1269" s="7"/>
      <c r="B1269" s="8"/>
      <c r="C1269" s="8"/>
      <c r="D1269" s="9"/>
      <c r="E1269" s="8"/>
      <c r="F1269" s="8"/>
      <c r="G1269" s="8"/>
      <c r="H1269" s="8"/>
      <c r="I1269" s="10"/>
      <c r="J1269" s="8"/>
    </row>
    <row r="1270" spans="1:10" x14ac:dyDescent="0.15">
      <c r="A1270" s="7"/>
      <c r="B1270" s="8"/>
      <c r="C1270" s="8"/>
      <c r="D1270" s="9"/>
      <c r="E1270" s="8"/>
      <c r="F1270" s="8"/>
      <c r="G1270" s="8"/>
      <c r="H1270" s="8"/>
      <c r="I1270" s="10"/>
      <c r="J1270" s="8"/>
    </row>
    <row r="1271" spans="1:10" x14ac:dyDescent="0.15">
      <c r="A1271" s="7"/>
      <c r="B1271" s="8"/>
      <c r="C1271" s="8"/>
      <c r="D1271" s="9"/>
      <c r="E1271" s="8"/>
      <c r="F1271" s="8"/>
      <c r="G1271" s="8"/>
      <c r="H1271" s="8"/>
      <c r="I1271" s="10"/>
      <c r="J1271" s="8"/>
    </row>
    <row r="1272" spans="1:10" x14ac:dyDescent="0.15">
      <c r="A1272" s="7"/>
      <c r="B1272" s="8"/>
      <c r="C1272" s="8"/>
      <c r="D1272" s="9"/>
      <c r="E1272" s="8"/>
      <c r="F1272" s="8"/>
      <c r="G1272" s="8"/>
      <c r="H1272" s="8"/>
      <c r="I1272" s="10"/>
      <c r="J1272" s="8"/>
    </row>
    <row r="1273" spans="1:10" x14ac:dyDescent="0.15">
      <c r="A1273" s="7"/>
      <c r="B1273" s="8"/>
      <c r="C1273" s="8"/>
      <c r="D1273" s="9"/>
      <c r="E1273" s="8"/>
      <c r="F1273" s="8"/>
      <c r="G1273" s="8"/>
      <c r="H1273" s="8"/>
      <c r="I1273" s="10"/>
      <c r="J1273" s="8"/>
    </row>
    <row r="1274" spans="1:10" x14ac:dyDescent="0.15">
      <c r="A1274" s="7"/>
      <c r="B1274" s="8"/>
      <c r="C1274" s="8"/>
      <c r="D1274" s="9"/>
      <c r="E1274" s="8"/>
      <c r="F1274" s="8"/>
      <c r="G1274" s="8"/>
      <c r="H1274" s="8"/>
      <c r="I1274" s="10"/>
      <c r="J1274" s="8"/>
    </row>
    <row r="1275" spans="1:10" x14ac:dyDescent="0.15">
      <c r="A1275" s="7"/>
      <c r="B1275" s="8"/>
      <c r="C1275" s="8"/>
      <c r="D1275" s="9"/>
      <c r="E1275" s="8"/>
      <c r="F1275" s="8"/>
      <c r="G1275" s="8"/>
      <c r="H1275" s="8"/>
      <c r="I1275" s="10"/>
      <c r="J1275" s="8"/>
    </row>
    <row r="1276" spans="1:10" x14ac:dyDescent="0.15">
      <c r="A1276" s="7"/>
      <c r="B1276" s="8"/>
      <c r="C1276" s="8"/>
      <c r="D1276" s="9"/>
      <c r="E1276" s="8"/>
      <c r="F1276" s="8"/>
      <c r="G1276" s="8"/>
      <c r="H1276" s="8"/>
      <c r="I1276" s="10"/>
      <c r="J1276" s="8"/>
    </row>
    <row r="1277" spans="1:10" x14ac:dyDescent="0.15">
      <c r="A1277" s="7"/>
      <c r="B1277" s="8"/>
      <c r="C1277" s="8"/>
      <c r="D1277" s="9"/>
      <c r="E1277" s="8"/>
      <c r="F1277" s="8"/>
      <c r="G1277" s="8"/>
      <c r="H1277" s="8"/>
      <c r="I1277" s="10"/>
      <c r="J1277" s="8"/>
    </row>
    <row r="1278" spans="1:10" x14ac:dyDescent="0.15">
      <c r="A1278" s="7"/>
      <c r="B1278" s="8"/>
      <c r="C1278" s="8"/>
      <c r="D1278" s="9"/>
      <c r="E1278" s="8"/>
      <c r="F1278" s="8"/>
      <c r="G1278" s="8"/>
      <c r="H1278" s="8"/>
      <c r="I1278" s="10"/>
      <c r="J1278" s="8"/>
    </row>
    <row r="1279" spans="1:10" x14ac:dyDescent="0.15">
      <c r="A1279" s="7"/>
      <c r="B1279" s="8"/>
      <c r="C1279" s="8"/>
      <c r="D1279" s="9"/>
      <c r="E1279" s="8"/>
      <c r="F1279" s="8"/>
      <c r="G1279" s="8"/>
      <c r="H1279" s="8"/>
      <c r="I1279" s="10"/>
      <c r="J1279" s="8"/>
    </row>
    <row r="1280" spans="1:10" x14ac:dyDescent="0.15">
      <c r="A1280" s="7"/>
      <c r="B1280" s="8"/>
      <c r="C1280" s="8"/>
      <c r="D1280" s="9"/>
      <c r="E1280" s="8"/>
      <c r="F1280" s="8"/>
      <c r="G1280" s="8"/>
      <c r="H1280" s="8"/>
      <c r="I1280" s="10"/>
      <c r="J1280" s="8"/>
    </row>
    <row r="1281" spans="1:10" x14ac:dyDescent="0.15">
      <c r="A1281" s="7"/>
      <c r="B1281" s="8"/>
      <c r="C1281" s="8"/>
      <c r="D1281" s="9"/>
      <c r="E1281" s="8"/>
      <c r="F1281" s="8"/>
      <c r="G1281" s="8"/>
      <c r="H1281" s="8"/>
      <c r="I1281" s="10"/>
      <c r="J1281" s="8"/>
    </row>
    <row r="1282" spans="1:10" x14ac:dyDescent="0.15">
      <c r="A1282" s="7"/>
      <c r="B1282" s="8"/>
      <c r="C1282" s="8"/>
      <c r="D1282" s="9"/>
      <c r="E1282" s="8"/>
      <c r="F1282" s="8"/>
      <c r="G1282" s="8"/>
      <c r="H1282" s="8"/>
      <c r="I1282" s="10"/>
      <c r="J1282" s="8"/>
    </row>
    <row r="1283" spans="1:10" x14ac:dyDescent="0.15">
      <c r="A1283" s="7"/>
      <c r="B1283" s="8"/>
      <c r="C1283" s="8"/>
      <c r="D1283" s="9"/>
      <c r="E1283" s="8"/>
      <c r="F1283" s="8"/>
      <c r="G1283" s="8"/>
      <c r="H1283" s="8"/>
      <c r="I1283" s="10"/>
      <c r="J1283" s="8"/>
    </row>
    <row r="1284" spans="1:10" x14ac:dyDescent="0.15">
      <c r="A1284" s="7"/>
      <c r="B1284" s="8"/>
      <c r="C1284" s="8"/>
      <c r="D1284" s="9"/>
      <c r="E1284" s="8"/>
      <c r="F1284" s="8"/>
      <c r="G1284" s="8"/>
      <c r="H1284" s="8"/>
      <c r="I1284" s="10"/>
      <c r="J1284" s="8"/>
    </row>
    <row r="1285" spans="1:10" x14ac:dyDescent="0.15">
      <c r="A1285" s="7"/>
      <c r="B1285" s="8"/>
      <c r="C1285" s="8"/>
      <c r="D1285" s="9"/>
      <c r="E1285" s="8"/>
      <c r="F1285" s="8"/>
      <c r="G1285" s="8"/>
      <c r="H1285" s="8"/>
      <c r="I1285" s="10"/>
      <c r="J1285" s="8"/>
    </row>
    <row r="1286" spans="1:10" x14ac:dyDescent="0.15">
      <c r="A1286" s="7"/>
      <c r="B1286" s="8"/>
      <c r="C1286" s="8"/>
      <c r="D1286" s="9"/>
      <c r="E1286" s="8"/>
      <c r="F1286" s="8"/>
      <c r="G1286" s="8"/>
      <c r="H1286" s="8"/>
      <c r="I1286" s="10"/>
      <c r="J1286" s="8"/>
    </row>
    <row r="1287" spans="1:10" x14ac:dyDescent="0.15">
      <c r="A1287" s="7"/>
      <c r="B1287" s="8"/>
      <c r="C1287" s="8"/>
      <c r="D1287" s="9"/>
      <c r="E1287" s="8"/>
      <c r="F1287" s="8"/>
      <c r="G1287" s="8"/>
      <c r="H1287" s="8"/>
      <c r="I1287" s="10"/>
      <c r="J1287" s="8"/>
    </row>
    <row r="1288" spans="1:10" x14ac:dyDescent="0.15">
      <c r="A1288" s="7"/>
      <c r="B1288" s="8"/>
      <c r="C1288" s="8"/>
      <c r="D1288" s="9"/>
      <c r="E1288" s="8"/>
      <c r="F1288" s="8"/>
      <c r="G1288" s="8"/>
      <c r="H1288" s="8"/>
      <c r="I1288" s="10"/>
      <c r="J1288" s="8"/>
    </row>
    <row r="1289" spans="1:10" x14ac:dyDescent="0.15">
      <c r="A1289" s="7"/>
      <c r="B1289" s="8"/>
      <c r="C1289" s="8"/>
      <c r="D1289" s="9"/>
      <c r="E1289" s="8"/>
      <c r="F1289" s="8"/>
      <c r="G1289" s="8"/>
      <c r="H1289" s="8"/>
      <c r="I1289" s="10"/>
      <c r="J1289" s="8"/>
    </row>
    <row r="1290" spans="1:10" x14ac:dyDescent="0.15">
      <c r="A1290" s="7"/>
      <c r="B1290" s="8"/>
      <c r="C1290" s="8"/>
      <c r="D1290" s="9"/>
      <c r="E1290" s="8"/>
      <c r="F1290" s="8"/>
      <c r="G1290" s="8"/>
      <c r="H1290" s="8"/>
      <c r="I1290" s="10"/>
      <c r="J1290" s="8"/>
    </row>
    <row r="1291" spans="1:10" x14ac:dyDescent="0.15">
      <c r="A1291" s="7"/>
      <c r="B1291" s="8"/>
      <c r="C1291" s="8"/>
      <c r="D1291" s="9"/>
      <c r="E1291" s="8"/>
      <c r="F1291" s="8"/>
      <c r="G1291" s="8"/>
      <c r="H1291" s="8"/>
      <c r="I1291" s="10"/>
      <c r="J1291" s="8"/>
    </row>
    <row r="1292" spans="1:10" x14ac:dyDescent="0.15">
      <c r="A1292" s="7"/>
      <c r="B1292" s="8"/>
      <c r="C1292" s="8"/>
      <c r="D1292" s="9"/>
      <c r="E1292" s="8"/>
      <c r="F1292" s="8"/>
      <c r="G1292" s="8"/>
      <c r="H1292" s="8"/>
      <c r="I1292" s="10"/>
      <c r="J1292" s="8"/>
    </row>
    <row r="1293" spans="1:10" x14ac:dyDescent="0.15">
      <c r="A1293" s="7"/>
      <c r="B1293" s="8"/>
      <c r="C1293" s="8"/>
      <c r="D1293" s="9"/>
      <c r="E1293" s="8"/>
      <c r="F1293" s="8"/>
      <c r="G1293" s="8"/>
      <c r="H1293" s="8"/>
      <c r="I1293" s="10"/>
      <c r="J1293" s="8"/>
    </row>
    <row r="1294" spans="1:10" x14ac:dyDescent="0.15">
      <c r="A1294" s="7"/>
      <c r="B1294" s="8"/>
      <c r="C1294" s="8"/>
      <c r="D1294" s="9"/>
      <c r="E1294" s="8"/>
      <c r="F1294" s="8"/>
      <c r="G1294" s="8"/>
      <c r="H1294" s="8"/>
      <c r="I1294" s="10"/>
      <c r="J1294" s="8"/>
    </row>
    <row r="1295" spans="1:10" x14ac:dyDescent="0.15">
      <c r="A1295" s="7"/>
      <c r="B1295" s="8"/>
      <c r="C1295" s="8"/>
      <c r="D1295" s="9"/>
      <c r="E1295" s="8"/>
      <c r="F1295" s="8"/>
      <c r="G1295" s="8"/>
      <c r="H1295" s="8"/>
      <c r="I1295" s="10"/>
      <c r="J1295" s="8"/>
    </row>
    <row r="1296" spans="1:10" x14ac:dyDescent="0.15">
      <c r="A1296" s="7"/>
      <c r="B1296" s="8"/>
      <c r="C1296" s="8"/>
      <c r="D1296" s="9"/>
      <c r="E1296" s="8"/>
      <c r="F1296" s="8"/>
      <c r="G1296" s="8"/>
      <c r="H1296" s="8"/>
      <c r="I1296" s="10"/>
      <c r="J1296" s="8"/>
    </row>
    <row r="1297" spans="1:10" x14ac:dyDescent="0.15">
      <c r="A1297" s="7"/>
      <c r="B1297" s="8"/>
      <c r="C1297" s="8"/>
      <c r="D1297" s="9"/>
      <c r="E1297" s="8"/>
      <c r="F1297" s="8"/>
      <c r="G1297" s="8"/>
      <c r="H1297" s="8"/>
      <c r="I1297" s="10"/>
      <c r="J1297" s="8"/>
    </row>
    <row r="1298" spans="1:10" x14ac:dyDescent="0.15">
      <c r="A1298" s="7"/>
      <c r="B1298" s="8"/>
      <c r="C1298" s="8"/>
      <c r="D1298" s="9"/>
      <c r="E1298" s="8"/>
      <c r="F1298" s="8"/>
      <c r="G1298" s="8"/>
      <c r="H1298" s="8"/>
      <c r="I1298" s="10"/>
      <c r="J1298" s="8"/>
    </row>
    <row r="1299" spans="1:10" x14ac:dyDescent="0.15">
      <c r="A1299" s="7"/>
      <c r="B1299" s="8"/>
      <c r="C1299" s="8"/>
      <c r="D1299" s="9"/>
      <c r="E1299" s="8"/>
      <c r="F1299" s="8"/>
      <c r="G1299" s="8"/>
      <c r="H1299" s="8"/>
      <c r="I1299" s="10"/>
      <c r="J1299" s="8"/>
    </row>
    <row r="1300" spans="1:10" x14ac:dyDescent="0.15">
      <c r="A1300" s="7"/>
      <c r="B1300" s="8"/>
      <c r="C1300" s="8"/>
      <c r="D1300" s="9"/>
      <c r="E1300" s="8"/>
      <c r="F1300" s="8"/>
      <c r="G1300" s="8"/>
      <c r="H1300" s="8"/>
      <c r="I1300" s="10"/>
      <c r="J1300" s="8"/>
    </row>
    <row r="1301" spans="1:10" x14ac:dyDescent="0.15">
      <c r="A1301" s="7"/>
      <c r="B1301" s="8"/>
      <c r="C1301" s="8"/>
      <c r="D1301" s="9"/>
      <c r="E1301" s="8"/>
      <c r="F1301" s="8"/>
      <c r="G1301" s="8"/>
      <c r="H1301" s="8"/>
      <c r="I1301" s="10"/>
      <c r="J1301" s="8"/>
    </row>
    <row r="1302" spans="1:10" x14ac:dyDescent="0.15">
      <c r="A1302" s="7"/>
      <c r="B1302" s="8"/>
      <c r="C1302" s="8"/>
      <c r="D1302" s="9"/>
      <c r="E1302" s="8"/>
      <c r="F1302" s="8"/>
      <c r="G1302" s="8"/>
      <c r="H1302" s="8"/>
      <c r="I1302" s="10"/>
      <c r="J1302" s="8"/>
    </row>
    <row r="1303" spans="1:10" x14ac:dyDescent="0.15">
      <c r="A1303" s="7"/>
      <c r="B1303" s="8"/>
      <c r="C1303" s="8"/>
      <c r="D1303" s="9"/>
      <c r="E1303" s="8"/>
      <c r="F1303" s="8"/>
      <c r="G1303" s="8"/>
      <c r="H1303" s="8"/>
      <c r="I1303" s="10"/>
      <c r="J1303" s="8"/>
    </row>
    <row r="1304" spans="1:10" x14ac:dyDescent="0.15">
      <c r="A1304" s="7"/>
      <c r="B1304" s="8"/>
      <c r="C1304" s="8"/>
      <c r="D1304" s="9"/>
      <c r="E1304" s="8"/>
      <c r="F1304" s="8"/>
      <c r="G1304" s="8"/>
      <c r="H1304" s="8"/>
      <c r="I1304" s="10"/>
      <c r="J1304" s="8"/>
    </row>
    <row r="1305" spans="1:10" x14ac:dyDescent="0.15">
      <c r="A1305" s="7"/>
      <c r="B1305" s="8"/>
      <c r="C1305" s="8"/>
      <c r="D1305" s="9"/>
      <c r="E1305" s="8"/>
      <c r="F1305" s="8"/>
      <c r="G1305" s="8"/>
      <c r="H1305" s="8"/>
      <c r="I1305" s="10"/>
      <c r="J1305" s="8"/>
    </row>
    <row r="1306" spans="1:10" x14ac:dyDescent="0.15">
      <c r="A1306" s="7"/>
      <c r="B1306" s="8"/>
      <c r="C1306" s="8"/>
      <c r="D1306" s="9"/>
      <c r="E1306" s="8"/>
      <c r="F1306" s="8"/>
      <c r="G1306" s="8"/>
      <c r="H1306" s="8"/>
      <c r="I1306" s="10"/>
      <c r="J1306" s="8"/>
    </row>
    <row r="1307" spans="1:10" x14ac:dyDescent="0.15">
      <c r="A1307" s="7"/>
      <c r="B1307" s="8"/>
      <c r="C1307" s="8"/>
      <c r="D1307" s="9"/>
      <c r="E1307" s="8"/>
      <c r="F1307" s="8"/>
      <c r="G1307" s="8"/>
      <c r="H1307" s="8"/>
      <c r="I1307" s="10"/>
      <c r="J1307" s="8"/>
    </row>
    <row r="1308" spans="1:10" x14ac:dyDescent="0.15">
      <c r="A1308" s="7"/>
      <c r="B1308" s="8"/>
      <c r="C1308" s="8"/>
      <c r="D1308" s="9"/>
      <c r="E1308" s="8"/>
      <c r="F1308" s="8"/>
      <c r="G1308" s="8"/>
      <c r="H1308" s="8"/>
      <c r="I1308" s="10"/>
      <c r="J1308" s="8"/>
    </row>
    <row r="1309" spans="1:10" x14ac:dyDescent="0.15">
      <c r="A1309" s="7"/>
      <c r="B1309" s="8"/>
      <c r="C1309" s="8"/>
      <c r="D1309" s="9"/>
      <c r="E1309" s="8"/>
      <c r="F1309" s="8"/>
      <c r="G1309" s="8"/>
      <c r="H1309" s="8"/>
      <c r="I1309" s="10"/>
      <c r="J1309" s="8"/>
    </row>
    <row r="1310" spans="1:10" x14ac:dyDescent="0.15">
      <c r="A1310" s="7"/>
      <c r="B1310" s="8"/>
      <c r="C1310" s="8"/>
      <c r="D1310" s="9"/>
      <c r="E1310" s="8"/>
      <c r="F1310" s="8"/>
      <c r="G1310" s="8"/>
      <c r="H1310" s="8"/>
      <c r="I1310" s="10"/>
      <c r="J1310" s="8"/>
    </row>
    <row r="1311" spans="1:10" x14ac:dyDescent="0.15">
      <c r="A1311" s="7"/>
      <c r="B1311" s="8"/>
      <c r="C1311" s="8"/>
      <c r="D1311" s="9"/>
      <c r="E1311" s="8"/>
      <c r="F1311" s="8"/>
      <c r="G1311" s="8"/>
      <c r="H1311" s="8"/>
      <c r="I1311" s="10"/>
      <c r="J1311" s="8"/>
    </row>
    <row r="1312" spans="1:10" x14ac:dyDescent="0.15">
      <c r="A1312" s="7"/>
      <c r="B1312" s="8"/>
      <c r="C1312" s="8"/>
      <c r="D1312" s="9"/>
      <c r="E1312" s="8"/>
      <c r="F1312" s="8"/>
      <c r="G1312" s="8"/>
      <c r="H1312" s="8"/>
      <c r="I1312" s="10"/>
      <c r="J1312" s="8"/>
    </row>
    <row r="1313" spans="1:10" x14ac:dyDescent="0.15">
      <c r="A1313" s="7"/>
      <c r="B1313" s="8"/>
      <c r="C1313" s="8"/>
      <c r="D1313" s="9"/>
      <c r="E1313" s="8"/>
      <c r="F1313" s="8"/>
      <c r="G1313" s="8"/>
      <c r="H1313" s="8"/>
      <c r="I1313" s="10"/>
      <c r="J1313" s="8"/>
    </row>
    <row r="1314" spans="1:10" x14ac:dyDescent="0.15">
      <c r="A1314" s="7"/>
      <c r="B1314" s="8"/>
      <c r="C1314" s="8"/>
      <c r="D1314" s="9"/>
      <c r="E1314" s="8"/>
      <c r="F1314" s="8"/>
      <c r="G1314" s="8"/>
      <c r="H1314" s="8"/>
      <c r="I1314" s="10"/>
      <c r="J1314" s="8"/>
    </row>
    <row r="1315" spans="1:10" x14ac:dyDescent="0.15">
      <c r="A1315" s="7"/>
      <c r="B1315" s="8"/>
      <c r="C1315" s="8"/>
      <c r="D1315" s="9"/>
      <c r="E1315" s="8"/>
      <c r="F1315" s="8"/>
      <c r="G1315" s="8"/>
      <c r="H1315" s="8"/>
      <c r="I1315" s="10"/>
      <c r="J1315" s="8"/>
    </row>
    <row r="1316" spans="1:10" x14ac:dyDescent="0.15">
      <c r="A1316" s="7"/>
      <c r="B1316" s="8"/>
      <c r="C1316" s="8"/>
      <c r="D1316" s="9"/>
      <c r="E1316" s="8"/>
      <c r="F1316" s="8"/>
      <c r="G1316" s="8"/>
      <c r="H1316" s="8"/>
      <c r="I1316" s="10"/>
      <c r="J1316" s="8"/>
    </row>
    <row r="1317" spans="1:10" x14ac:dyDescent="0.15">
      <c r="A1317" s="7"/>
      <c r="B1317" s="8"/>
      <c r="C1317" s="8"/>
      <c r="D1317" s="9"/>
      <c r="E1317" s="8"/>
      <c r="F1317" s="8"/>
      <c r="G1317" s="8"/>
      <c r="H1317" s="8"/>
      <c r="I1317" s="10"/>
      <c r="J1317" s="8"/>
    </row>
    <row r="1318" spans="1:10" x14ac:dyDescent="0.15">
      <c r="A1318" s="7"/>
      <c r="B1318" s="8"/>
      <c r="C1318" s="8"/>
      <c r="D1318" s="9"/>
      <c r="E1318" s="8"/>
      <c r="F1318" s="8"/>
      <c r="G1318" s="8"/>
      <c r="H1318" s="8"/>
      <c r="I1318" s="10"/>
      <c r="J1318" s="8"/>
    </row>
    <row r="1319" spans="1:10" x14ac:dyDescent="0.15">
      <c r="A1319" s="7"/>
      <c r="B1319" s="8"/>
      <c r="C1319" s="8"/>
      <c r="D1319" s="9"/>
      <c r="E1319" s="8"/>
      <c r="F1319" s="8"/>
      <c r="G1319" s="8"/>
      <c r="H1319" s="8"/>
      <c r="I1319" s="10"/>
      <c r="J1319" s="8"/>
    </row>
    <row r="1320" spans="1:10" x14ac:dyDescent="0.15">
      <c r="A1320" s="7"/>
      <c r="B1320" s="8"/>
      <c r="C1320" s="8"/>
      <c r="D1320" s="9"/>
      <c r="E1320" s="8"/>
      <c r="F1320" s="8"/>
      <c r="G1320" s="8"/>
      <c r="H1320" s="8"/>
      <c r="I1320" s="10"/>
      <c r="J1320" s="8"/>
    </row>
    <row r="1321" spans="1:10" x14ac:dyDescent="0.15">
      <c r="A1321" s="7"/>
      <c r="B1321" s="8"/>
      <c r="C1321" s="8"/>
      <c r="D1321" s="9"/>
      <c r="E1321" s="8"/>
      <c r="F1321" s="8"/>
      <c r="G1321" s="8"/>
      <c r="H1321" s="8"/>
      <c r="I1321" s="10"/>
      <c r="J1321" s="8"/>
    </row>
    <row r="1322" spans="1:10" x14ac:dyDescent="0.15">
      <c r="A1322" s="7"/>
      <c r="B1322" s="8"/>
      <c r="C1322" s="8"/>
      <c r="D1322" s="9"/>
      <c r="E1322" s="8"/>
      <c r="F1322" s="8"/>
      <c r="G1322" s="8"/>
      <c r="H1322" s="8"/>
      <c r="I1322" s="10"/>
      <c r="J1322" s="8"/>
    </row>
    <row r="1323" spans="1:10" x14ac:dyDescent="0.15">
      <c r="A1323" s="7"/>
      <c r="B1323" s="8"/>
      <c r="C1323" s="8"/>
      <c r="D1323" s="9"/>
      <c r="E1323" s="8"/>
      <c r="F1323" s="8"/>
      <c r="G1323" s="8"/>
      <c r="H1323" s="8"/>
      <c r="I1323" s="10"/>
      <c r="J1323" s="8"/>
    </row>
    <row r="1324" spans="1:10" x14ac:dyDescent="0.15">
      <c r="A1324" s="7"/>
      <c r="B1324" s="8"/>
      <c r="C1324" s="8"/>
      <c r="D1324" s="9"/>
      <c r="E1324" s="8"/>
      <c r="F1324" s="8"/>
      <c r="G1324" s="8"/>
      <c r="H1324" s="8"/>
      <c r="I1324" s="10"/>
      <c r="J1324" s="8"/>
    </row>
    <row r="1325" spans="1:10" x14ac:dyDescent="0.15">
      <c r="A1325" s="7"/>
      <c r="B1325" s="8"/>
      <c r="C1325" s="8"/>
      <c r="D1325" s="9"/>
      <c r="E1325" s="8"/>
      <c r="F1325" s="8"/>
      <c r="G1325" s="8"/>
      <c r="H1325" s="8"/>
      <c r="I1325" s="10"/>
      <c r="J1325" s="8"/>
    </row>
    <row r="1326" spans="1:10" x14ac:dyDescent="0.15">
      <c r="A1326" s="7"/>
      <c r="B1326" s="8"/>
      <c r="C1326" s="8"/>
      <c r="D1326" s="9"/>
      <c r="E1326" s="8"/>
      <c r="F1326" s="8"/>
      <c r="G1326" s="8"/>
      <c r="H1326" s="8"/>
      <c r="I1326" s="10"/>
      <c r="J1326" s="8"/>
    </row>
    <row r="1327" spans="1:10" x14ac:dyDescent="0.15">
      <c r="A1327" s="7"/>
      <c r="B1327" s="8"/>
      <c r="C1327" s="8"/>
      <c r="D1327" s="9"/>
      <c r="E1327" s="8"/>
      <c r="F1327" s="8"/>
      <c r="G1327" s="8"/>
      <c r="H1327" s="8"/>
      <c r="I1327" s="10"/>
      <c r="J1327" s="8"/>
    </row>
    <row r="1328" spans="1:10" x14ac:dyDescent="0.15">
      <c r="A1328" s="7"/>
      <c r="B1328" s="8"/>
      <c r="C1328" s="8"/>
      <c r="D1328" s="9"/>
      <c r="E1328" s="8"/>
      <c r="F1328" s="8"/>
      <c r="G1328" s="8"/>
      <c r="H1328" s="8"/>
      <c r="I1328" s="10"/>
      <c r="J1328" s="8"/>
    </row>
    <row r="1329" spans="1:10" x14ac:dyDescent="0.15">
      <c r="A1329" s="7"/>
      <c r="B1329" s="8"/>
      <c r="C1329" s="8"/>
      <c r="D1329" s="9"/>
      <c r="E1329" s="8"/>
      <c r="F1329" s="8"/>
      <c r="G1329" s="8"/>
      <c r="H1329" s="8"/>
      <c r="I1329" s="10"/>
      <c r="J1329" s="8"/>
    </row>
    <row r="1330" spans="1:10" x14ac:dyDescent="0.15">
      <c r="A1330" s="7"/>
      <c r="B1330" s="8"/>
      <c r="C1330" s="8"/>
      <c r="D1330" s="9"/>
      <c r="E1330" s="8"/>
      <c r="F1330" s="8"/>
      <c r="G1330" s="8"/>
      <c r="H1330" s="8"/>
      <c r="I1330" s="10"/>
      <c r="J1330" s="8"/>
    </row>
    <row r="1331" spans="1:10" x14ac:dyDescent="0.15">
      <c r="A1331" s="7"/>
      <c r="B1331" s="8"/>
      <c r="C1331" s="8"/>
      <c r="D1331" s="9"/>
      <c r="E1331" s="8"/>
      <c r="F1331" s="8"/>
      <c r="G1331" s="8"/>
      <c r="H1331" s="8"/>
      <c r="I1331" s="10"/>
      <c r="J1331" s="8"/>
    </row>
    <row r="1332" spans="1:10" x14ac:dyDescent="0.15">
      <c r="A1332" s="7"/>
      <c r="B1332" s="8"/>
      <c r="C1332" s="8"/>
      <c r="D1332" s="9"/>
      <c r="E1332" s="8"/>
      <c r="F1332" s="8"/>
      <c r="G1332" s="8"/>
      <c r="H1332" s="8"/>
      <c r="I1332" s="10"/>
      <c r="J1332" s="8"/>
    </row>
    <row r="1333" spans="1:10" x14ac:dyDescent="0.15">
      <c r="A1333" s="7"/>
      <c r="B1333" s="8"/>
      <c r="C1333" s="8"/>
      <c r="D1333" s="9"/>
      <c r="E1333" s="8"/>
      <c r="F1333" s="8"/>
      <c r="G1333" s="8"/>
      <c r="H1333" s="8"/>
      <c r="I1333" s="10"/>
      <c r="J1333" s="8"/>
    </row>
    <row r="1334" spans="1:10" x14ac:dyDescent="0.15">
      <c r="A1334" s="7"/>
      <c r="B1334" s="8"/>
      <c r="C1334" s="8"/>
      <c r="D1334" s="9"/>
      <c r="E1334" s="8"/>
      <c r="F1334" s="8"/>
      <c r="G1334" s="8"/>
      <c r="H1334" s="8"/>
      <c r="I1334" s="10"/>
      <c r="J1334" s="8"/>
    </row>
    <row r="1335" spans="1:10" x14ac:dyDescent="0.15">
      <c r="A1335" s="7"/>
      <c r="B1335" s="8"/>
      <c r="C1335" s="8"/>
      <c r="D1335" s="9"/>
      <c r="E1335" s="8"/>
      <c r="F1335" s="8"/>
      <c r="G1335" s="8"/>
      <c r="H1335" s="8"/>
      <c r="I1335" s="10"/>
      <c r="J1335" s="8"/>
    </row>
    <row r="1336" spans="1:10" x14ac:dyDescent="0.15">
      <c r="A1336" s="7"/>
      <c r="B1336" s="8"/>
      <c r="C1336" s="8"/>
      <c r="D1336" s="9"/>
      <c r="E1336" s="8"/>
      <c r="F1336" s="8"/>
      <c r="G1336" s="8"/>
      <c r="H1336" s="8"/>
      <c r="I1336" s="10"/>
      <c r="J1336" s="8"/>
    </row>
    <row r="1337" spans="1:10" x14ac:dyDescent="0.15">
      <c r="A1337" s="7"/>
      <c r="B1337" s="8"/>
      <c r="C1337" s="8"/>
      <c r="D1337" s="9"/>
      <c r="E1337" s="8"/>
      <c r="F1337" s="8"/>
      <c r="G1337" s="8"/>
      <c r="H1337" s="8"/>
      <c r="I1337" s="10"/>
      <c r="J1337" s="8"/>
    </row>
    <row r="1338" spans="1:10" x14ac:dyDescent="0.15">
      <c r="A1338" s="7"/>
      <c r="B1338" s="8"/>
      <c r="C1338" s="8"/>
      <c r="D1338" s="9"/>
      <c r="E1338" s="8"/>
      <c r="F1338" s="8"/>
      <c r="G1338" s="8"/>
      <c r="H1338" s="8"/>
      <c r="I1338" s="10"/>
      <c r="J1338" s="8"/>
    </row>
    <row r="1339" spans="1:10" x14ac:dyDescent="0.15">
      <c r="A1339" s="7"/>
      <c r="B1339" s="8"/>
      <c r="C1339" s="8"/>
      <c r="D1339" s="9"/>
      <c r="E1339" s="8"/>
      <c r="F1339" s="8"/>
      <c r="G1339" s="8"/>
      <c r="H1339" s="8"/>
      <c r="I1339" s="10"/>
      <c r="J1339" s="8"/>
    </row>
    <row r="1340" spans="1:10" x14ac:dyDescent="0.15">
      <c r="A1340" s="7"/>
      <c r="B1340" s="8"/>
      <c r="C1340" s="8"/>
      <c r="D1340" s="9"/>
      <c r="E1340" s="8"/>
      <c r="F1340" s="8"/>
      <c r="G1340" s="8"/>
      <c r="H1340" s="8"/>
      <c r="I1340" s="10"/>
      <c r="J1340" s="8"/>
    </row>
    <row r="1341" spans="1:10" x14ac:dyDescent="0.15">
      <c r="A1341" s="7"/>
      <c r="B1341" s="8"/>
      <c r="C1341" s="8"/>
      <c r="D1341" s="9"/>
      <c r="E1341" s="8"/>
      <c r="F1341" s="8"/>
      <c r="G1341" s="8"/>
      <c r="H1341" s="8"/>
      <c r="I1341" s="10"/>
      <c r="J1341" s="8"/>
    </row>
    <row r="1342" spans="1:10" x14ac:dyDescent="0.15">
      <c r="A1342" s="7"/>
      <c r="B1342" s="8"/>
      <c r="C1342" s="8"/>
      <c r="D1342" s="9"/>
      <c r="E1342" s="8"/>
      <c r="F1342" s="8"/>
      <c r="G1342" s="8"/>
      <c r="H1342" s="8"/>
      <c r="I1342" s="10"/>
      <c r="J1342" s="8"/>
    </row>
    <row r="1343" spans="1:10" x14ac:dyDescent="0.15">
      <c r="A1343" s="7"/>
      <c r="B1343" s="8"/>
      <c r="C1343" s="8"/>
      <c r="D1343" s="9"/>
      <c r="E1343" s="8"/>
      <c r="F1343" s="8"/>
      <c r="G1343" s="8"/>
      <c r="H1343" s="8"/>
      <c r="I1343" s="10"/>
      <c r="J1343" s="8"/>
    </row>
    <row r="1344" spans="1:10" x14ac:dyDescent="0.15">
      <c r="A1344" s="7"/>
      <c r="B1344" s="8"/>
      <c r="C1344" s="8"/>
      <c r="D1344" s="9"/>
      <c r="E1344" s="8"/>
      <c r="F1344" s="8"/>
      <c r="G1344" s="8"/>
      <c r="H1344" s="8"/>
      <c r="I1344" s="10"/>
      <c r="J1344" s="8"/>
    </row>
    <row r="1345" spans="1:10" x14ac:dyDescent="0.15">
      <c r="A1345" s="7"/>
      <c r="B1345" s="8"/>
      <c r="C1345" s="8"/>
      <c r="D1345" s="9"/>
      <c r="E1345" s="8"/>
      <c r="F1345" s="8"/>
      <c r="G1345" s="8"/>
      <c r="H1345" s="8"/>
      <c r="I1345" s="10"/>
      <c r="J1345" s="8"/>
    </row>
    <row r="1346" spans="1:10" x14ac:dyDescent="0.15">
      <c r="A1346" s="7"/>
      <c r="B1346" s="8"/>
      <c r="C1346" s="8"/>
      <c r="D1346" s="9"/>
      <c r="E1346" s="8"/>
      <c r="F1346" s="8"/>
      <c r="G1346" s="8"/>
      <c r="H1346" s="8"/>
      <c r="I1346" s="10"/>
      <c r="J1346" s="8"/>
    </row>
    <row r="1347" spans="1:10" x14ac:dyDescent="0.15">
      <c r="A1347" s="7"/>
      <c r="B1347" s="8"/>
      <c r="C1347" s="8"/>
      <c r="D1347" s="9"/>
      <c r="E1347" s="8"/>
      <c r="F1347" s="8"/>
      <c r="G1347" s="8"/>
      <c r="H1347" s="8"/>
      <c r="I1347" s="10"/>
      <c r="J1347" s="8"/>
    </row>
    <row r="1348" spans="1:10" x14ac:dyDescent="0.15">
      <c r="A1348" s="7"/>
      <c r="B1348" s="8"/>
      <c r="C1348" s="8"/>
      <c r="D1348" s="9"/>
      <c r="E1348" s="8"/>
      <c r="F1348" s="8"/>
      <c r="G1348" s="8"/>
      <c r="H1348" s="8"/>
      <c r="I1348" s="10"/>
      <c r="J1348" s="8"/>
    </row>
    <row r="1349" spans="1:10" x14ac:dyDescent="0.15">
      <c r="A1349" s="7"/>
      <c r="B1349" s="8"/>
      <c r="C1349" s="8"/>
      <c r="D1349" s="9"/>
      <c r="E1349" s="8"/>
      <c r="F1349" s="8"/>
      <c r="G1349" s="8"/>
      <c r="H1349" s="8"/>
      <c r="I1349" s="10"/>
      <c r="J1349" s="8"/>
    </row>
    <row r="1350" spans="1:10" x14ac:dyDescent="0.15">
      <c r="A1350" s="7"/>
      <c r="B1350" s="8"/>
      <c r="C1350" s="8"/>
      <c r="D1350" s="9"/>
      <c r="E1350" s="8"/>
      <c r="F1350" s="8"/>
      <c r="G1350" s="8"/>
      <c r="H1350" s="8"/>
      <c r="I1350" s="10"/>
      <c r="J1350" s="8"/>
    </row>
    <row r="1351" spans="1:10" x14ac:dyDescent="0.15">
      <c r="A1351" s="7"/>
      <c r="B1351" s="8"/>
      <c r="C1351" s="8"/>
      <c r="D1351" s="9"/>
      <c r="E1351" s="8"/>
      <c r="F1351" s="8"/>
      <c r="G1351" s="8"/>
      <c r="H1351" s="8"/>
      <c r="I1351" s="10"/>
      <c r="J1351" s="8"/>
    </row>
    <row r="1352" spans="1:10" x14ac:dyDescent="0.15">
      <c r="A1352" s="7"/>
      <c r="B1352" s="8"/>
      <c r="C1352" s="8"/>
      <c r="D1352" s="9"/>
      <c r="E1352" s="8"/>
      <c r="F1352" s="8"/>
      <c r="G1352" s="8"/>
      <c r="H1352" s="8"/>
      <c r="I1352" s="10"/>
      <c r="J1352" s="8"/>
    </row>
    <row r="1353" spans="1:10" x14ac:dyDescent="0.15">
      <c r="A1353" s="7"/>
      <c r="B1353" s="8"/>
      <c r="C1353" s="8"/>
      <c r="D1353" s="9"/>
      <c r="E1353" s="8"/>
      <c r="F1353" s="8"/>
      <c r="G1353" s="8"/>
      <c r="H1353" s="8"/>
      <c r="I1353" s="10"/>
      <c r="J1353" s="8"/>
    </row>
    <row r="1354" spans="1:10" x14ac:dyDescent="0.15">
      <c r="A1354" s="7"/>
      <c r="B1354" s="8"/>
      <c r="C1354" s="8"/>
      <c r="D1354" s="9"/>
      <c r="E1354" s="8"/>
      <c r="F1354" s="8"/>
      <c r="G1354" s="8"/>
      <c r="H1354" s="8"/>
      <c r="I1354" s="10"/>
      <c r="J1354" s="8"/>
    </row>
    <row r="1355" spans="1:10" x14ac:dyDescent="0.15">
      <c r="A1355" s="7"/>
      <c r="B1355" s="8"/>
      <c r="C1355" s="8"/>
      <c r="D1355" s="9"/>
      <c r="E1355" s="8"/>
      <c r="F1355" s="8"/>
      <c r="G1355" s="8"/>
      <c r="H1355" s="8"/>
      <c r="I1355" s="10"/>
      <c r="J1355" s="8"/>
    </row>
    <row r="1356" spans="1:10" x14ac:dyDescent="0.15">
      <c r="A1356" s="7"/>
      <c r="B1356" s="8"/>
      <c r="C1356" s="8"/>
      <c r="D1356" s="9"/>
      <c r="E1356" s="8"/>
      <c r="F1356" s="8"/>
      <c r="G1356" s="8"/>
      <c r="H1356" s="8"/>
      <c r="I1356" s="10"/>
      <c r="J1356" s="8"/>
    </row>
    <row r="1357" spans="1:10" x14ac:dyDescent="0.15">
      <c r="A1357" s="7"/>
      <c r="B1357" s="8"/>
      <c r="C1357" s="8"/>
      <c r="D1357" s="9"/>
      <c r="E1357" s="8"/>
      <c r="F1357" s="8"/>
      <c r="G1357" s="8"/>
      <c r="H1357" s="8"/>
      <c r="I1357" s="10"/>
      <c r="J1357" s="8"/>
    </row>
    <row r="1358" spans="1:10" x14ac:dyDescent="0.15">
      <c r="A1358" s="7"/>
      <c r="B1358" s="8"/>
      <c r="C1358" s="8"/>
      <c r="D1358" s="9"/>
      <c r="E1358" s="8"/>
      <c r="F1358" s="8"/>
      <c r="G1358" s="8"/>
      <c r="H1358" s="8"/>
      <c r="I1358" s="10"/>
      <c r="J1358" s="8"/>
    </row>
    <row r="1359" spans="1:10" x14ac:dyDescent="0.15">
      <c r="A1359" s="7"/>
      <c r="B1359" s="8"/>
      <c r="C1359" s="8"/>
      <c r="D1359" s="9"/>
      <c r="E1359" s="8"/>
      <c r="F1359" s="8"/>
      <c r="G1359" s="8"/>
      <c r="H1359" s="8"/>
      <c r="I1359" s="10"/>
      <c r="J1359" s="8"/>
    </row>
    <row r="1360" spans="1:10" x14ac:dyDescent="0.15">
      <c r="A1360" s="7"/>
      <c r="B1360" s="8"/>
      <c r="C1360" s="8"/>
      <c r="D1360" s="9"/>
      <c r="E1360" s="8"/>
      <c r="F1360" s="8"/>
      <c r="G1360" s="8"/>
      <c r="H1360" s="8"/>
      <c r="I1360" s="10"/>
      <c r="J1360" s="8"/>
    </row>
    <row r="1361" spans="1:10" x14ac:dyDescent="0.15">
      <c r="A1361" s="7"/>
      <c r="B1361" s="8"/>
      <c r="C1361" s="8"/>
      <c r="D1361" s="9"/>
      <c r="E1361" s="8"/>
      <c r="F1361" s="8"/>
      <c r="G1361" s="8"/>
      <c r="H1361" s="8"/>
      <c r="I1361" s="10"/>
      <c r="J1361" s="8"/>
    </row>
    <row r="1362" spans="1:10" x14ac:dyDescent="0.15">
      <c r="A1362" s="7"/>
      <c r="B1362" s="8"/>
      <c r="C1362" s="8"/>
      <c r="D1362" s="9"/>
      <c r="E1362" s="8"/>
      <c r="F1362" s="8"/>
      <c r="G1362" s="8"/>
      <c r="H1362" s="8"/>
      <c r="I1362" s="10"/>
      <c r="J1362" s="8"/>
    </row>
    <row r="1363" spans="1:10" x14ac:dyDescent="0.15">
      <c r="A1363" s="7"/>
      <c r="B1363" s="8"/>
      <c r="C1363" s="8"/>
      <c r="D1363" s="9"/>
      <c r="E1363" s="8"/>
      <c r="F1363" s="8"/>
      <c r="G1363" s="8"/>
      <c r="H1363" s="8"/>
      <c r="I1363" s="10"/>
      <c r="J1363" s="8"/>
    </row>
    <row r="1364" spans="1:10" x14ac:dyDescent="0.15">
      <c r="A1364" s="7"/>
      <c r="B1364" s="8"/>
      <c r="C1364" s="8"/>
      <c r="D1364" s="9"/>
      <c r="E1364" s="8"/>
      <c r="F1364" s="8"/>
      <c r="G1364" s="8"/>
      <c r="H1364" s="8"/>
      <c r="I1364" s="10"/>
      <c r="J1364" s="8"/>
    </row>
    <row r="1365" spans="1:10" x14ac:dyDescent="0.15">
      <c r="A1365" s="7"/>
      <c r="B1365" s="8"/>
      <c r="C1365" s="8"/>
      <c r="D1365" s="9"/>
      <c r="E1365" s="8"/>
      <c r="F1365" s="8"/>
      <c r="G1365" s="8"/>
      <c r="H1365" s="8"/>
      <c r="I1365" s="10"/>
      <c r="J1365" s="8"/>
    </row>
    <row r="1366" spans="1:10" x14ac:dyDescent="0.15">
      <c r="A1366" s="7"/>
      <c r="B1366" s="8"/>
      <c r="C1366" s="8"/>
      <c r="D1366" s="9"/>
      <c r="E1366" s="8"/>
      <c r="F1366" s="8"/>
      <c r="G1366" s="8"/>
      <c r="H1366" s="8"/>
      <c r="I1366" s="10"/>
      <c r="J1366" s="8"/>
    </row>
    <row r="1367" spans="1:10" x14ac:dyDescent="0.15">
      <c r="A1367" s="7"/>
      <c r="B1367" s="8"/>
      <c r="C1367" s="8"/>
      <c r="D1367" s="9"/>
      <c r="E1367" s="8"/>
      <c r="F1367" s="8"/>
      <c r="G1367" s="8"/>
      <c r="H1367" s="8"/>
      <c r="I1367" s="10"/>
      <c r="J1367" s="8"/>
    </row>
    <row r="1368" spans="1:10" x14ac:dyDescent="0.15">
      <c r="A1368" s="7"/>
      <c r="B1368" s="8"/>
      <c r="C1368" s="8"/>
      <c r="D1368" s="9"/>
      <c r="E1368" s="8"/>
      <c r="F1368" s="8"/>
      <c r="G1368" s="8"/>
      <c r="H1368" s="8"/>
      <c r="I1368" s="10"/>
      <c r="J1368" s="8"/>
    </row>
    <row r="1369" spans="1:10" x14ac:dyDescent="0.15">
      <c r="A1369" s="7"/>
      <c r="B1369" s="8"/>
      <c r="C1369" s="8"/>
      <c r="D1369" s="9"/>
      <c r="E1369" s="8"/>
      <c r="F1369" s="8"/>
      <c r="G1369" s="8"/>
      <c r="H1369" s="8"/>
      <c r="I1369" s="10"/>
      <c r="J1369" s="8"/>
    </row>
    <row r="1370" spans="1:10" x14ac:dyDescent="0.15">
      <c r="A1370" s="7"/>
      <c r="B1370" s="8"/>
      <c r="C1370" s="8"/>
      <c r="D1370" s="9"/>
      <c r="E1370" s="8"/>
      <c r="F1370" s="8"/>
      <c r="G1370" s="8"/>
      <c r="H1370" s="8"/>
      <c r="I1370" s="10"/>
      <c r="J1370" s="8"/>
    </row>
    <row r="1371" spans="1:10" x14ac:dyDescent="0.15">
      <c r="A1371" s="7"/>
      <c r="B1371" s="8"/>
      <c r="C1371" s="8"/>
      <c r="D1371" s="9"/>
      <c r="E1371" s="8"/>
      <c r="F1371" s="8"/>
      <c r="G1371" s="8"/>
      <c r="H1371" s="8"/>
      <c r="I1371" s="10"/>
      <c r="J1371" s="8"/>
    </row>
    <row r="1372" spans="1:10" x14ac:dyDescent="0.15">
      <c r="A1372" s="7"/>
      <c r="B1372" s="8"/>
      <c r="C1372" s="8"/>
      <c r="D1372" s="9"/>
      <c r="E1372" s="8"/>
      <c r="F1372" s="8"/>
      <c r="G1372" s="8"/>
      <c r="H1372" s="8"/>
      <c r="I1372" s="10"/>
      <c r="J1372" s="8"/>
    </row>
    <row r="1373" spans="1:10" x14ac:dyDescent="0.15">
      <c r="A1373" s="7"/>
      <c r="B1373" s="8"/>
      <c r="C1373" s="8"/>
      <c r="D1373" s="9"/>
      <c r="E1373" s="8"/>
      <c r="F1373" s="8"/>
      <c r="G1373" s="8"/>
      <c r="H1373" s="8"/>
      <c r="I1373" s="10"/>
      <c r="J1373" s="8"/>
    </row>
    <row r="1374" spans="1:10" x14ac:dyDescent="0.15">
      <c r="A1374" s="7"/>
      <c r="B1374" s="8"/>
      <c r="C1374" s="8"/>
      <c r="D1374" s="9"/>
      <c r="E1374" s="8"/>
      <c r="F1374" s="8"/>
      <c r="G1374" s="8"/>
      <c r="H1374" s="8"/>
      <c r="I1374" s="10"/>
      <c r="J1374" s="8"/>
    </row>
    <row r="1375" spans="1:10" x14ac:dyDescent="0.15">
      <c r="A1375" s="7"/>
      <c r="B1375" s="8"/>
      <c r="C1375" s="8"/>
      <c r="D1375" s="9"/>
      <c r="E1375" s="8"/>
      <c r="F1375" s="8"/>
      <c r="G1375" s="8"/>
      <c r="H1375" s="8"/>
      <c r="I1375" s="10"/>
      <c r="J1375" s="8"/>
    </row>
    <row r="1376" spans="1:10" x14ac:dyDescent="0.15">
      <c r="A1376" s="7"/>
      <c r="B1376" s="8"/>
      <c r="C1376" s="8"/>
      <c r="D1376" s="9"/>
      <c r="E1376" s="8"/>
      <c r="F1376" s="8"/>
      <c r="G1376" s="8"/>
      <c r="H1376" s="8"/>
      <c r="I1376" s="10"/>
      <c r="J1376" s="8"/>
    </row>
    <row r="1377" spans="1:10" x14ac:dyDescent="0.15">
      <c r="A1377" s="7"/>
      <c r="B1377" s="8"/>
      <c r="C1377" s="8"/>
      <c r="D1377" s="9"/>
      <c r="E1377" s="8"/>
      <c r="F1377" s="8"/>
      <c r="G1377" s="8"/>
      <c r="H1377" s="8"/>
      <c r="I1377" s="10"/>
      <c r="J1377" s="8"/>
    </row>
    <row r="1378" spans="1:10" x14ac:dyDescent="0.15">
      <c r="A1378" s="7"/>
      <c r="B1378" s="8"/>
      <c r="C1378" s="8"/>
      <c r="D1378" s="9"/>
      <c r="E1378" s="8"/>
      <c r="F1378" s="8"/>
      <c r="G1378" s="8"/>
      <c r="H1378" s="8"/>
      <c r="I1378" s="10"/>
      <c r="J1378" s="8"/>
    </row>
    <row r="1379" spans="1:10" x14ac:dyDescent="0.15">
      <c r="A1379" s="7"/>
      <c r="B1379" s="8"/>
      <c r="C1379" s="8"/>
      <c r="D1379" s="9"/>
      <c r="E1379" s="8"/>
      <c r="F1379" s="8"/>
      <c r="G1379" s="8"/>
      <c r="H1379" s="8"/>
      <c r="I1379" s="10"/>
      <c r="J1379" s="8"/>
    </row>
    <row r="1380" spans="1:10" x14ac:dyDescent="0.15">
      <c r="A1380" s="7"/>
      <c r="B1380" s="8"/>
      <c r="C1380" s="8"/>
      <c r="D1380" s="9"/>
      <c r="E1380" s="8"/>
      <c r="F1380" s="8"/>
      <c r="G1380" s="8"/>
      <c r="H1380" s="8"/>
      <c r="I1380" s="10"/>
      <c r="J1380" s="8"/>
    </row>
    <row r="1381" spans="1:10" x14ac:dyDescent="0.15">
      <c r="A1381" s="7"/>
      <c r="B1381" s="8"/>
      <c r="C1381" s="8"/>
      <c r="D1381" s="9"/>
      <c r="E1381" s="8"/>
      <c r="F1381" s="8"/>
      <c r="G1381" s="8"/>
      <c r="H1381" s="8"/>
      <c r="I1381" s="10"/>
      <c r="J1381" s="8"/>
    </row>
    <row r="1382" spans="1:10" x14ac:dyDescent="0.15">
      <c r="A1382" s="7"/>
      <c r="B1382" s="8"/>
      <c r="C1382" s="8"/>
      <c r="D1382" s="9"/>
      <c r="E1382" s="8"/>
      <c r="F1382" s="8"/>
      <c r="G1382" s="8"/>
      <c r="H1382" s="8"/>
      <c r="I1382" s="10"/>
      <c r="J1382" s="8"/>
    </row>
    <row r="1383" spans="1:10" x14ac:dyDescent="0.15">
      <c r="A1383" s="7"/>
      <c r="B1383" s="8"/>
      <c r="C1383" s="8"/>
      <c r="D1383" s="9"/>
      <c r="E1383" s="8"/>
      <c r="F1383" s="8"/>
      <c r="G1383" s="8"/>
      <c r="H1383" s="8"/>
      <c r="I1383" s="10"/>
      <c r="J1383" s="8"/>
    </row>
    <row r="1384" spans="1:10" x14ac:dyDescent="0.15">
      <c r="A1384" s="7"/>
      <c r="B1384" s="8"/>
      <c r="C1384" s="8"/>
      <c r="D1384" s="9"/>
      <c r="E1384" s="8"/>
      <c r="F1384" s="8"/>
      <c r="G1384" s="8"/>
      <c r="H1384" s="8"/>
      <c r="I1384" s="10"/>
      <c r="J1384" s="8"/>
    </row>
    <row r="1385" spans="1:10" x14ac:dyDescent="0.15">
      <c r="A1385" s="7"/>
      <c r="B1385" s="8"/>
      <c r="C1385" s="8"/>
      <c r="D1385" s="9"/>
      <c r="E1385" s="8"/>
      <c r="F1385" s="8"/>
      <c r="G1385" s="8"/>
      <c r="H1385" s="8"/>
      <c r="I1385" s="10"/>
      <c r="J1385" s="8"/>
    </row>
    <row r="1386" spans="1:10" x14ac:dyDescent="0.15">
      <c r="A1386" s="7"/>
      <c r="B1386" s="8"/>
      <c r="C1386" s="8"/>
      <c r="D1386" s="9"/>
      <c r="E1386" s="8"/>
      <c r="F1386" s="8"/>
      <c r="G1386" s="8"/>
      <c r="H1386" s="8"/>
      <c r="I1386" s="10"/>
      <c r="J1386" s="8"/>
    </row>
    <row r="1387" spans="1:10" x14ac:dyDescent="0.15">
      <c r="A1387" s="7"/>
      <c r="B1387" s="8"/>
      <c r="C1387" s="8"/>
      <c r="D1387" s="9"/>
      <c r="E1387" s="8"/>
      <c r="F1387" s="8"/>
      <c r="G1387" s="8"/>
      <c r="H1387" s="8"/>
      <c r="I1387" s="10"/>
      <c r="J1387" s="8"/>
    </row>
    <row r="1388" spans="1:10" x14ac:dyDescent="0.15">
      <c r="A1388" s="7"/>
      <c r="B1388" s="8"/>
      <c r="C1388" s="8"/>
      <c r="D1388" s="9"/>
      <c r="E1388" s="8"/>
      <c r="F1388" s="8"/>
      <c r="G1388" s="8"/>
      <c r="H1388" s="8"/>
      <c r="I1388" s="10"/>
      <c r="J1388" s="8"/>
    </row>
    <row r="1389" spans="1:10" x14ac:dyDescent="0.15">
      <c r="A1389" s="7"/>
      <c r="B1389" s="8"/>
      <c r="C1389" s="8"/>
      <c r="D1389" s="9"/>
      <c r="E1389" s="8"/>
      <c r="F1389" s="8"/>
      <c r="G1389" s="8"/>
      <c r="H1389" s="8"/>
      <c r="I1389" s="10"/>
      <c r="J1389" s="8"/>
    </row>
    <row r="1390" spans="1:10" x14ac:dyDescent="0.15">
      <c r="A1390" s="7"/>
      <c r="B1390" s="8"/>
      <c r="C1390" s="8"/>
      <c r="D1390" s="9"/>
      <c r="E1390" s="8"/>
      <c r="F1390" s="8"/>
      <c r="G1390" s="8"/>
      <c r="H1390" s="8"/>
      <c r="I1390" s="10"/>
      <c r="J1390" s="8"/>
    </row>
    <row r="1391" spans="1:10" x14ac:dyDescent="0.15">
      <c r="A1391" s="7"/>
      <c r="B1391" s="8"/>
      <c r="C1391" s="8"/>
      <c r="D1391" s="9"/>
      <c r="E1391" s="8"/>
      <c r="F1391" s="8"/>
      <c r="G1391" s="8"/>
      <c r="H1391" s="8"/>
      <c r="I1391" s="10"/>
      <c r="J1391" s="8"/>
    </row>
    <row r="1392" spans="1:10" x14ac:dyDescent="0.15">
      <c r="A1392" s="7"/>
      <c r="B1392" s="8"/>
      <c r="C1392" s="8"/>
      <c r="D1392" s="9"/>
      <c r="E1392" s="8"/>
      <c r="F1392" s="8"/>
      <c r="G1392" s="8"/>
      <c r="H1392" s="8"/>
      <c r="I1392" s="10"/>
      <c r="J1392" s="8"/>
    </row>
    <row r="1393" spans="1:10" x14ac:dyDescent="0.15">
      <c r="A1393" s="7"/>
      <c r="B1393" s="8"/>
      <c r="C1393" s="8"/>
      <c r="D1393" s="9"/>
      <c r="E1393" s="8"/>
      <c r="F1393" s="8"/>
      <c r="G1393" s="8"/>
      <c r="H1393" s="8"/>
      <c r="I1393" s="10"/>
      <c r="J1393" s="8"/>
    </row>
    <row r="1394" spans="1:10" x14ac:dyDescent="0.15">
      <c r="A1394" s="7"/>
      <c r="B1394" s="8"/>
      <c r="C1394" s="8"/>
      <c r="D1394" s="9"/>
      <c r="E1394" s="8"/>
      <c r="F1394" s="8"/>
      <c r="G1394" s="8"/>
      <c r="H1394" s="8"/>
      <c r="I1394" s="10"/>
      <c r="J1394" s="8"/>
    </row>
    <row r="1395" spans="1:10" x14ac:dyDescent="0.15">
      <c r="A1395" s="7"/>
      <c r="B1395" s="8"/>
      <c r="C1395" s="8"/>
      <c r="D1395" s="9"/>
      <c r="E1395" s="8"/>
      <c r="F1395" s="8"/>
      <c r="G1395" s="8"/>
      <c r="H1395" s="8"/>
      <c r="I1395" s="10"/>
      <c r="J1395" s="8"/>
    </row>
    <row r="1396" spans="1:10" x14ac:dyDescent="0.15">
      <c r="A1396" s="7"/>
      <c r="B1396" s="8"/>
      <c r="C1396" s="8"/>
      <c r="D1396" s="9"/>
      <c r="E1396" s="8"/>
      <c r="F1396" s="8"/>
      <c r="G1396" s="8"/>
      <c r="H1396" s="8"/>
      <c r="I1396" s="10"/>
      <c r="J1396" s="8"/>
    </row>
    <row r="1397" spans="1:10" x14ac:dyDescent="0.15">
      <c r="A1397" s="7"/>
      <c r="B1397" s="8"/>
      <c r="C1397" s="8"/>
      <c r="D1397" s="9"/>
      <c r="E1397" s="8"/>
      <c r="F1397" s="8"/>
      <c r="G1397" s="8"/>
      <c r="H1397" s="8"/>
      <c r="I1397" s="10"/>
      <c r="J1397" s="8"/>
    </row>
    <row r="1398" spans="1:10" x14ac:dyDescent="0.15">
      <c r="A1398" s="7"/>
      <c r="B1398" s="8"/>
      <c r="C1398" s="8"/>
      <c r="D1398" s="9"/>
      <c r="E1398" s="8"/>
      <c r="F1398" s="8"/>
      <c r="G1398" s="8"/>
      <c r="H1398" s="8"/>
      <c r="I1398" s="10"/>
      <c r="J1398" s="8"/>
    </row>
    <row r="1399" spans="1:10" x14ac:dyDescent="0.15">
      <c r="A1399" s="7"/>
      <c r="B1399" s="8"/>
      <c r="C1399" s="8"/>
      <c r="D1399" s="9"/>
      <c r="E1399" s="8"/>
      <c r="F1399" s="8"/>
      <c r="G1399" s="8"/>
      <c r="H1399" s="8"/>
      <c r="I1399" s="10"/>
      <c r="J1399" s="8"/>
    </row>
    <row r="1400" spans="1:10" x14ac:dyDescent="0.15">
      <c r="A1400" s="7"/>
      <c r="B1400" s="8"/>
      <c r="C1400" s="8"/>
      <c r="D1400" s="9"/>
      <c r="E1400" s="8"/>
      <c r="F1400" s="8"/>
      <c r="G1400" s="8"/>
      <c r="H1400" s="8"/>
      <c r="I1400" s="10"/>
      <c r="J1400" s="8"/>
    </row>
    <row r="1401" spans="1:10" x14ac:dyDescent="0.15">
      <c r="A1401" s="7"/>
      <c r="B1401" s="8"/>
      <c r="C1401" s="8"/>
      <c r="D1401" s="9"/>
      <c r="E1401" s="8"/>
      <c r="F1401" s="8"/>
      <c r="G1401" s="8"/>
      <c r="H1401" s="8"/>
      <c r="I1401" s="10"/>
      <c r="J1401" s="8"/>
    </row>
    <row r="1402" spans="1:10" x14ac:dyDescent="0.15">
      <c r="A1402" s="7"/>
      <c r="B1402" s="8"/>
      <c r="C1402" s="8"/>
      <c r="D1402" s="9"/>
      <c r="E1402" s="8"/>
      <c r="F1402" s="8"/>
      <c r="G1402" s="8"/>
      <c r="H1402" s="8"/>
      <c r="I1402" s="10"/>
      <c r="J1402" s="8"/>
    </row>
    <row r="1403" spans="1:10" x14ac:dyDescent="0.15">
      <c r="A1403" s="7"/>
      <c r="B1403" s="8"/>
      <c r="C1403" s="8"/>
      <c r="D1403" s="9"/>
      <c r="E1403" s="8"/>
      <c r="F1403" s="8"/>
      <c r="G1403" s="8"/>
      <c r="H1403" s="8"/>
      <c r="I1403" s="10"/>
      <c r="J1403" s="8"/>
    </row>
    <row r="1404" spans="1:10" x14ac:dyDescent="0.15">
      <c r="A1404" s="7"/>
      <c r="B1404" s="8"/>
      <c r="C1404" s="8"/>
      <c r="D1404" s="9"/>
      <c r="E1404" s="8"/>
      <c r="F1404" s="8"/>
      <c r="G1404" s="8"/>
      <c r="H1404" s="8"/>
      <c r="I1404" s="10"/>
      <c r="J1404" s="8"/>
    </row>
    <row r="1405" spans="1:10" x14ac:dyDescent="0.15">
      <c r="A1405" s="7"/>
      <c r="B1405" s="8"/>
      <c r="C1405" s="8"/>
      <c r="D1405" s="9"/>
      <c r="E1405" s="8"/>
      <c r="F1405" s="8"/>
      <c r="G1405" s="8"/>
      <c r="H1405" s="8"/>
      <c r="I1405" s="10"/>
      <c r="J1405" s="8"/>
    </row>
    <row r="1406" spans="1:10" x14ac:dyDescent="0.15">
      <c r="A1406" s="7"/>
      <c r="B1406" s="8"/>
      <c r="C1406" s="8"/>
      <c r="D1406" s="9"/>
      <c r="E1406" s="8"/>
      <c r="F1406" s="8"/>
      <c r="G1406" s="8"/>
      <c r="H1406" s="8"/>
      <c r="I1406" s="10"/>
      <c r="J1406" s="8"/>
    </row>
    <row r="1407" spans="1:10" x14ac:dyDescent="0.15">
      <c r="A1407" s="7"/>
      <c r="B1407" s="8"/>
      <c r="C1407" s="8"/>
      <c r="D1407" s="9"/>
      <c r="E1407" s="8"/>
      <c r="F1407" s="8"/>
      <c r="G1407" s="8"/>
      <c r="H1407" s="8"/>
      <c r="I1407" s="10"/>
      <c r="J1407" s="8"/>
    </row>
    <row r="1408" spans="1:10" x14ac:dyDescent="0.15">
      <c r="A1408" s="7"/>
      <c r="B1408" s="8"/>
      <c r="C1408" s="8"/>
      <c r="D1408" s="9"/>
      <c r="E1408" s="8"/>
      <c r="F1408" s="8"/>
      <c r="G1408" s="8"/>
      <c r="H1408" s="8"/>
      <c r="I1408" s="10"/>
      <c r="J1408" s="8"/>
    </row>
    <row r="1409" spans="1:10" x14ac:dyDescent="0.15">
      <c r="A1409" s="7"/>
      <c r="B1409" s="8"/>
      <c r="C1409" s="8"/>
      <c r="D1409" s="9"/>
      <c r="E1409" s="8"/>
      <c r="F1409" s="8"/>
      <c r="G1409" s="8"/>
      <c r="H1409" s="8"/>
      <c r="I1409" s="10"/>
      <c r="J1409" s="8"/>
    </row>
    <row r="1410" spans="1:10" x14ac:dyDescent="0.15">
      <c r="A1410" s="7"/>
      <c r="B1410" s="8"/>
      <c r="C1410" s="8"/>
      <c r="D1410" s="9"/>
      <c r="E1410" s="8"/>
      <c r="F1410" s="8"/>
      <c r="G1410" s="8"/>
      <c r="H1410" s="8"/>
      <c r="I1410" s="10"/>
      <c r="J1410" s="8"/>
    </row>
    <row r="1411" spans="1:10" x14ac:dyDescent="0.15">
      <c r="A1411" s="7"/>
      <c r="B1411" s="8"/>
      <c r="C1411" s="8"/>
      <c r="D1411" s="9"/>
      <c r="E1411" s="8"/>
      <c r="F1411" s="8"/>
      <c r="G1411" s="8"/>
      <c r="H1411" s="8"/>
      <c r="I1411" s="10"/>
      <c r="J1411" s="8"/>
    </row>
    <row r="1412" spans="1:10" x14ac:dyDescent="0.15">
      <c r="A1412" s="7"/>
      <c r="B1412" s="8"/>
      <c r="C1412" s="8"/>
      <c r="D1412" s="9"/>
      <c r="E1412" s="8"/>
      <c r="F1412" s="8"/>
      <c r="G1412" s="8"/>
      <c r="H1412" s="8"/>
      <c r="I1412" s="10"/>
      <c r="J1412" s="8"/>
    </row>
    <row r="1413" spans="1:10" x14ac:dyDescent="0.15">
      <c r="A1413" s="7"/>
      <c r="B1413" s="8"/>
      <c r="C1413" s="8"/>
      <c r="D1413" s="9"/>
      <c r="E1413" s="8"/>
      <c r="F1413" s="8"/>
      <c r="G1413" s="8"/>
      <c r="H1413" s="8"/>
      <c r="I1413" s="10"/>
      <c r="J1413" s="8"/>
    </row>
    <row r="1414" spans="1:10" x14ac:dyDescent="0.15">
      <c r="A1414" s="7"/>
      <c r="B1414" s="8"/>
      <c r="C1414" s="8"/>
      <c r="D1414" s="9"/>
      <c r="E1414" s="8"/>
      <c r="F1414" s="8"/>
      <c r="G1414" s="8"/>
      <c r="H1414" s="8"/>
      <c r="I1414" s="10"/>
      <c r="J1414" s="8"/>
    </row>
    <row r="1415" spans="1:10" x14ac:dyDescent="0.15">
      <c r="A1415" s="7"/>
      <c r="B1415" s="8"/>
      <c r="C1415" s="8"/>
      <c r="D1415" s="9"/>
      <c r="E1415" s="8"/>
      <c r="F1415" s="8"/>
      <c r="G1415" s="8"/>
      <c r="H1415" s="8"/>
      <c r="I1415" s="10"/>
      <c r="J1415" s="8"/>
    </row>
    <row r="1416" spans="1:10" x14ac:dyDescent="0.15">
      <c r="A1416" s="7"/>
      <c r="B1416" s="8"/>
      <c r="C1416" s="8"/>
      <c r="D1416" s="9"/>
      <c r="E1416" s="8"/>
      <c r="F1416" s="8"/>
      <c r="G1416" s="8"/>
      <c r="H1416" s="8"/>
      <c r="I1416" s="10"/>
      <c r="J1416" s="8"/>
    </row>
    <row r="1417" spans="1:10" x14ac:dyDescent="0.15">
      <c r="A1417" s="7"/>
      <c r="B1417" s="8"/>
      <c r="C1417" s="8"/>
      <c r="D1417" s="9"/>
      <c r="E1417" s="8"/>
      <c r="F1417" s="8"/>
      <c r="G1417" s="8"/>
      <c r="H1417" s="8"/>
      <c r="I1417" s="10"/>
      <c r="J1417" s="8"/>
    </row>
    <row r="1418" spans="1:10" x14ac:dyDescent="0.15">
      <c r="A1418" s="7"/>
      <c r="B1418" s="8"/>
      <c r="C1418" s="8"/>
      <c r="D1418" s="9"/>
      <c r="E1418" s="8"/>
      <c r="F1418" s="8"/>
      <c r="G1418" s="8"/>
      <c r="H1418" s="8"/>
      <c r="I1418" s="10"/>
      <c r="J1418" s="8"/>
    </row>
    <row r="1419" spans="1:10" x14ac:dyDescent="0.15">
      <c r="A1419" s="7"/>
      <c r="B1419" s="8"/>
      <c r="C1419" s="8"/>
      <c r="D1419" s="9"/>
      <c r="E1419" s="8"/>
      <c r="F1419" s="8"/>
      <c r="G1419" s="8"/>
      <c r="H1419" s="8"/>
      <c r="I1419" s="10"/>
      <c r="J1419" s="8"/>
    </row>
    <row r="1420" spans="1:10" x14ac:dyDescent="0.15">
      <c r="A1420" s="7"/>
      <c r="B1420" s="8"/>
      <c r="C1420" s="8"/>
      <c r="D1420" s="9"/>
      <c r="E1420" s="8"/>
      <c r="F1420" s="8"/>
      <c r="G1420" s="8"/>
      <c r="H1420" s="8"/>
      <c r="I1420" s="10"/>
      <c r="J1420" s="8"/>
    </row>
    <row r="1421" spans="1:10" x14ac:dyDescent="0.15">
      <c r="A1421" s="7"/>
      <c r="B1421" s="8"/>
      <c r="C1421" s="8"/>
      <c r="D1421" s="9"/>
      <c r="E1421" s="8"/>
      <c r="F1421" s="8"/>
      <c r="G1421" s="8"/>
      <c r="H1421" s="8"/>
      <c r="I1421" s="10"/>
      <c r="J1421" s="8"/>
    </row>
    <row r="1422" spans="1:10" x14ac:dyDescent="0.15">
      <c r="A1422" s="7"/>
      <c r="B1422" s="8"/>
      <c r="C1422" s="8"/>
      <c r="D1422" s="9"/>
      <c r="E1422" s="8"/>
      <c r="F1422" s="8"/>
      <c r="G1422" s="8"/>
      <c r="H1422" s="8"/>
      <c r="I1422" s="10"/>
      <c r="J1422" s="8"/>
    </row>
    <row r="1423" spans="1:10" x14ac:dyDescent="0.15">
      <c r="A1423" s="7"/>
      <c r="B1423" s="8"/>
      <c r="C1423" s="8"/>
      <c r="D1423" s="9"/>
      <c r="E1423" s="8"/>
      <c r="F1423" s="8"/>
      <c r="G1423" s="8"/>
      <c r="H1423" s="8"/>
      <c r="I1423" s="10"/>
      <c r="J1423" s="8"/>
    </row>
    <row r="1424" spans="1:10" x14ac:dyDescent="0.15">
      <c r="A1424" s="7"/>
      <c r="B1424" s="8"/>
      <c r="C1424" s="8"/>
      <c r="D1424" s="9"/>
      <c r="E1424" s="8"/>
      <c r="F1424" s="8"/>
      <c r="G1424" s="8"/>
      <c r="H1424" s="8"/>
      <c r="I1424" s="10"/>
      <c r="J1424" s="8"/>
    </row>
    <row r="1425" spans="1:10" x14ac:dyDescent="0.15">
      <c r="A1425" s="7"/>
      <c r="B1425" s="8"/>
      <c r="C1425" s="8"/>
      <c r="D1425" s="9"/>
      <c r="E1425" s="8"/>
      <c r="F1425" s="8"/>
      <c r="G1425" s="8"/>
      <c r="H1425" s="8"/>
      <c r="I1425" s="10"/>
      <c r="J1425" s="8"/>
    </row>
    <row r="1426" spans="1:10" x14ac:dyDescent="0.15">
      <c r="A1426" s="7"/>
      <c r="B1426" s="8"/>
      <c r="C1426" s="8"/>
      <c r="D1426" s="9"/>
      <c r="E1426" s="8"/>
      <c r="F1426" s="8"/>
      <c r="G1426" s="8"/>
      <c r="H1426" s="8"/>
      <c r="I1426" s="10"/>
      <c r="J1426" s="8"/>
    </row>
    <row r="1427" spans="1:10" x14ac:dyDescent="0.15">
      <c r="A1427" s="7"/>
      <c r="B1427" s="8"/>
      <c r="C1427" s="8"/>
      <c r="D1427" s="9"/>
      <c r="E1427" s="8"/>
      <c r="F1427" s="8"/>
      <c r="G1427" s="8"/>
      <c r="H1427" s="8"/>
      <c r="I1427" s="10"/>
      <c r="J1427" s="8"/>
    </row>
    <row r="1428" spans="1:10" x14ac:dyDescent="0.15">
      <c r="A1428" s="7"/>
      <c r="B1428" s="8"/>
      <c r="C1428" s="8"/>
      <c r="D1428" s="9"/>
      <c r="E1428" s="8"/>
      <c r="F1428" s="8"/>
      <c r="G1428" s="8"/>
      <c r="H1428" s="8"/>
      <c r="I1428" s="10"/>
      <c r="J1428" s="8"/>
    </row>
    <row r="1429" spans="1:10" x14ac:dyDescent="0.15">
      <c r="A1429" s="7"/>
      <c r="B1429" s="8"/>
      <c r="C1429" s="8"/>
      <c r="D1429" s="9"/>
      <c r="E1429" s="8"/>
      <c r="F1429" s="8"/>
      <c r="G1429" s="8"/>
      <c r="H1429" s="8"/>
      <c r="I1429" s="10"/>
      <c r="J1429" s="8"/>
    </row>
    <row r="1430" spans="1:10" x14ac:dyDescent="0.15">
      <c r="A1430" s="7"/>
      <c r="B1430" s="8"/>
      <c r="C1430" s="8"/>
      <c r="D1430" s="9"/>
      <c r="E1430" s="8"/>
      <c r="F1430" s="8"/>
      <c r="G1430" s="8"/>
      <c r="H1430" s="8"/>
      <c r="I1430" s="10"/>
      <c r="J1430" s="8"/>
    </row>
    <row r="1431" spans="1:10" x14ac:dyDescent="0.15">
      <c r="A1431" s="7"/>
      <c r="B1431" s="8"/>
      <c r="C1431" s="8"/>
      <c r="D1431" s="9"/>
      <c r="E1431" s="8"/>
      <c r="F1431" s="8"/>
      <c r="G1431" s="8"/>
      <c r="H1431" s="8"/>
      <c r="I1431" s="10"/>
      <c r="J1431" s="8"/>
    </row>
    <row r="1432" spans="1:10" x14ac:dyDescent="0.15">
      <c r="A1432" s="7"/>
      <c r="B1432" s="8"/>
      <c r="C1432" s="8"/>
      <c r="D1432" s="9"/>
      <c r="E1432" s="8"/>
      <c r="F1432" s="8"/>
      <c r="G1432" s="8"/>
      <c r="H1432" s="8"/>
      <c r="I1432" s="10"/>
      <c r="J1432" s="8"/>
    </row>
    <row r="1433" spans="1:10" x14ac:dyDescent="0.15">
      <c r="A1433" s="7"/>
      <c r="B1433" s="8"/>
      <c r="C1433" s="8"/>
      <c r="D1433" s="9"/>
      <c r="E1433" s="8"/>
      <c r="F1433" s="8"/>
      <c r="G1433" s="8"/>
      <c r="H1433" s="8"/>
      <c r="I1433" s="10"/>
      <c r="J1433" s="8"/>
    </row>
    <row r="1434" spans="1:10" x14ac:dyDescent="0.15">
      <c r="A1434" s="7"/>
      <c r="B1434" s="8"/>
      <c r="C1434" s="8"/>
      <c r="D1434" s="9"/>
      <c r="E1434" s="8"/>
      <c r="F1434" s="8"/>
      <c r="G1434" s="8"/>
      <c r="H1434" s="8"/>
      <c r="I1434" s="10"/>
      <c r="J1434" s="8"/>
    </row>
    <row r="1435" spans="1:10" x14ac:dyDescent="0.15">
      <c r="A1435" s="7"/>
      <c r="B1435" s="8"/>
      <c r="C1435" s="8"/>
      <c r="D1435" s="9"/>
      <c r="E1435" s="8"/>
      <c r="F1435" s="8"/>
      <c r="G1435" s="8"/>
      <c r="H1435" s="8"/>
      <c r="I1435" s="10"/>
      <c r="J1435" s="8"/>
    </row>
    <row r="1436" spans="1:10" x14ac:dyDescent="0.15">
      <c r="A1436" s="7"/>
      <c r="B1436" s="8"/>
      <c r="C1436" s="8"/>
      <c r="D1436" s="9"/>
      <c r="E1436" s="8"/>
      <c r="F1436" s="8"/>
      <c r="G1436" s="8"/>
      <c r="H1436" s="8"/>
      <c r="I1436" s="10"/>
      <c r="J1436" s="8"/>
    </row>
    <row r="1437" spans="1:10" x14ac:dyDescent="0.15">
      <c r="A1437" s="7"/>
      <c r="B1437" s="8"/>
      <c r="C1437" s="8"/>
      <c r="D1437" s="9"/>
      <c r="E1437" s="8"/>
      <c r="F1437" s="8"/>
      <c r="G1437" s="8"/>
      <c r="H1437" s="8"/>
      <c r="I1437" s="10"/>
      <c r="J1437" s="8"/>
    </row>
    <row r="1438" spans="1:10" x14ac:dyDescent="0.15">
      <c r="A1438" s="7"/>
      <c r="B1438" s="8"/>
      <c r="C1438" s="8"/>
      <c r="D1438" s="9"/>
      <c r="E1438" s="8"/>
      <c r="F1438" s="8"/>
      <c r="G1438" s="8"/>
      <c r="H1438" s="8"/>
      <c r="I1438" s="10"/>
      <c r="J1438" s="8"/>
    </row>
    <row r="1439" spans="1:10" x14ac:dyDescent="0.15">
      <c r="A1439" s="7"/>
      <c r="B1439" s="8"/>
      <c r="C1439" s="8"/>
      <c r="D1439" s="9"/>
      <c r="E1439" s="8"/>
      <c r="F1439" s="8"/>
      <c r="G1439" s="8"/>
      <c r="H1439" s="8"/>
      <c r="I1439" s="10"/>
      <c r="J1439" s="8"/>
    </row>
    <row r="1440" spans="1:10" x14ac:dyDescent="0.15">
      <c r="A1440" s="7"/>
      <c r="B1440" s="8"/>
      <c r="C1440" s="8"/>
      <c r="D1440" s="9"/>
      <c r="E1440" s="8"/>
      <c r="F1440" s="8"/>
      <c r="G1440" s="8"/>
      <c r="H1440" s="8"/>
      <c r="I1440" s="10"/>
      <c r="J1440" s="8"/>
    </row>
    <row r="1441" spans="1:10" x14ac:dyDescent="0.15">
      <c r="A1441" s="7"/>
      <c r="B1441" s="8"/>
      <c r="C1441" s="8"/>
      <c r="D1441" s="9"/>
      <c r="E1441" s="8"/>
      <c r="F1441" s="8"/>
      <c r="G1441" s="8"/>
      <c r="H1441" s="8"/>
      <c r="I1441" s="10"/>
      <c r="J1441" s="8"/>
    </row>
    <row r="1442" spans="1:10" x14ac:dyDescent="0.15">
      <c r="A1442" s="7"/>
      <c r="B1442" s="8"/>
      <c r="C1442" s="8"/>
      <c r="D1442" s="9"/>
      <c r="E1442" s="8"/>
      <c r="F1442" s="8"/>
      <c r="G1442" s="8"/>
      <c r="H1442" s="8"/>
      <c r="I1442" s="10"/>
      <c r="J1442" s="8"/>
    </row>
    <row r="1443" spans="1:10" x14ac:dyDescent="0.15">
      <c r="A1443" s="7"/>
      <c r="B1443" s="8"/>
      <c r="C1443" s="8"/>
      <c r="D1443" s="9"/>
      <c r="E1443" s="8"/>
      <c r="F1443" s="8"/>
      <c r="G1443" s="8"/>
      <c r="H1443" s="8"/>
      <c r="I1443" s="10"/>
      <c r="J1443" s="8"/>
    </row>
    <row r="1444" spans="1:10" x14ac:dyDescent="0.15">
      <c r="A1444" s="7"/>
      <c r="B1444" s="8"/>
      <c r="C1444" s="8"/>
      <c r="D1444" s="9"/>
      <c r="E1444" s="8"/>
      <c r="F1444" s="8"/>
      <c r="G1444" s="8"/>
      <c r="H1444" s="8"/>
      <c r="I1444" s="10"/>
      <c r="J1444" s="8"/>
    </row>
    <row r="1445" spans="1:10" x14ac:dyDescent="0.15">
      <c r="A1445" s="7"/>
      <c r="B1445" s="8"/>
      <c r="C1445" s="8"/>
      <c r="D1445" s="9"/>
      <c r="E1445" s="8"/>
      <c r="F1445" s="8"/>
      <c r="G1445" s="8"/>
      <c r="H1445" s="8"/>
      <c r="I1445" s="10"/>
      <c r="J1445" s="8"/>
    </row>
    <row r="1446" spans="1:10" x14ac:dyDescent="0.15">
      <c r="A1446" s="7"/>
      <c r="B1446" s="8"/>
      <c r="C1446" s="8"/>
      <c r="D1446" s="9"/>
      <c r="E1446" s="8"/>
      <c r="F1446" s="8"/>
      <c r="G1446" s="8"/>
      <c r="H1446" s="8"/>
      <c r="I1446" s="10"/>
      <c r="J1446" s="8"/>
    </row>
    <row r="1447" spans="1:10" x14ac:dyDescent="0.15">
      <c r="A1447" s="7"/>
      <c r="B1447" s="8"/>
      <c r="C1447" s="8"/>
      <c r="D1447" s="9"/>
      <c r="E1447" s="8"/>
      <c r="F1447" s="8"/>
      <c r="G1447" s="8"/>
      <c r="H1447" s="8"/>
      <c r="I1447" s="10"/>
      <c r="J1447" s="8"/>
    </row>
    <row r="1448" spans="1:10" x14ac:dyDescent="0.15">
      <c r="A1448" s="7"/>
      <c r="B1448" s="8"/>
      <c r="C1448" s="8"/>
      <c r="D1448" s="9"/>
      <c r="E1448" s="8"/>
      <c r="F1448" s="8"/>
      <c r="G1448" s="8"/>
      <c r="H1448" s="8"/>
      <c r="I1448" s="10"/>
      <c r="J1448" s="8"/>
    </row>
    <row r="1449" spans="1:10" x14ac:dyDescent="0.15">
      <c r="A1449" s="7"/>
      <c r="B1449" s="8"/>
      <c r="C1449" s="8"/>
      <c r="D1449" s="9"/>
      <c r="E1449" s="8"/>
      <c r="F1449" s="8"/>
      <c r="G1449" s="8"/>
      <c r="H1449" s="8"/>
      <c r="I1449" s="10"/>
      <c r="J1449" s="8"/>
    </row>
    <row r="1450" spans="1:10" x14ac:dyDescent="0.15">
      <c r="A1450" s="7"/>
      <c r="B1450" s="8"/>
      <c r="C1450" s="8"/>
      <c r="D1450" s="9"/>
      <c r="E1450" s="8"/>
      <c r="F1450" s="8"/>
      <c r="G1450" s="8"/>
      <c r="H1450" s="8"/>
      <c r="I1450" s="10"/>
      <c r="J1450" s="8"/>
    </row>
    <row r="1451" spans="1:10" x14ac:dyDescent="0.15">
      <c r="A1451" s="7"/>
      <c r="B1451" s="8"/>
      <c r="C1451" s="8"/>
      <c r="D1451" s="9"/>
      <c r="E1451" s="8"/>
      <c r="F1451" s="8"/>
      <c r="G1451" s="8"/>
      <c r="H1451" s="8"/>
      <c r="I1451" s="10"/>
      <c r="J1451" s="8"/>
    </row>
    <row r="1452" spans="1:10" x14ac:dyDescent="0.15">
      <c r="A1452" s="7"/>
      <c r="B1452" s="8"/>
      <c r="C1452" s="8"/>
      <c r="D1452" s="9"/>
      <c r="E1452" s="8"/>
      <c r="F1452" s="8"/>
      <c r="G1452" s="8"/>
      <c r="H1452" s="8"/>
      <c r="I1452" s="10"/>
      <c r="J1452" s="8"/>
    </row>
    <row r="1453" spans="1:10" x14ac:dyDescent="0.15">
      <c r="A1453" s="7"/>
      <c r="B1453" s="8"/>
      <c r="C1453" s="8"/>
      <c r="D1453" s="9"/>
      <c r="E1453" s="8"/>
      <c r="F1453" s="8"/>
      <c r="G1453" s="8"/>
      <c r="H1453" s="8"/>
      <c r="I1453" s="10"/>
      <c r="J1453" s="8"/>
    </row>
    <row r="1454" spans="1:10" x14ac:dyDescent="0.15">
      <c r="A1454" s="7"/>
      <c r="B1454" s="8"/>
      <c r="C1454" s="8"/>
      <c r="D1454" s="9"/>
      <c r="E1454" s="8"/>
      <c r="F1454" s="8"/>
      <c r="G1454" s="8"/>
      <c r="H1454" s="8"/>
      <c r="I1454" s="10"/>
      <c r="J1454" s="8"/>
    </row>
    <row r="1455" spans="1:10" x14ac:dyDescent="0.15">
      <c r="A1455" s="7"/>
      <c r="B1455" s="8"/>
      <c r="C1455" s="8"/>
      <c r="D1455" s="9"/>
      <c r="E1455" s="8"/>
      <c r="F1455" s="8"/>
      <c r="G1455" s="8"/>
      <c r="H1455" s="8"/>
      <c r="I1455" s="10"/>
      <c r="J1455" s="8"/>
    </row>
    <row r="1456" spans="1:10" x14ac:dyDescent="0.15">
      <c r="A1456" s="7"/>
      <c r="B1456" s="8"/>
      <c r="C1456" s="8"/>
      <c r="D1456" s="9"/>
      <c r="E1456" s="8"/>
      <c r="F1456" s="8"/>
      <c r="G1456" s="8"/>
      <c r="H1456" s="8"/>
      <c r="I1456" s="10"/>
      <c r="J1456" s="8"/>
    </row>
    <row r="1457" spans="1:10" x14ac:dyDescent="0.15">
      <c r="A1457" s="7"/>
      <c r="B1457" s="8"/>
      <c r="C1457" s="8"/>
      <c r="D1457" s="9"/>
      <c r="E1457" s="8"/>
      <c r="F1457" s="8"/>
      <c r="G1457" s="8"/>
      <c r="H1457" s="8"/>
      <c r="I1457" s="10"/>
      <c r="J1457" s="8"/>
    </row>
    <row r="1458" spans="1:10" x14ac:dyDescent="0.15">
      <c r="A1458" s="7"/>
      <c r="B1458" s="8"/>
      <c r="C1458" s="8"/>
      <c r="D1458" s="9"/>
      <c r="E1458" s="8"/>
      <c r="F1458" s="8"/>
      <c r="G1458" s="8"/>
      <c r="H1458" s="8"/>
      <c r="I1458" s="10"/>
      <c r="J1458" s="8"/>
    </row>
    <row r="1459" spans="1:10" x14ac:dyDescent="0.15">
      <c r="A1459" s="7"/>
      <c r="B1459" s="8"/>
      <c r="C1459" s="8"/>
      <c r="D1459" s="9"/>
      <c r="E1459" s="8"/>
      <c r="F1459" s="8"/>
      <c r="G1459" s="8"/>
      <c r="H1459" s="8"/>
      <c r="I1459" s="10"/>
      <c r="J1459" s="8"/>
    </row>
    <row r="1460" spans="1:10" x14ac:dyDescent="0.15">
      <c r="A1460" s="7"/>
      <c r="B1460" s="8"/>
      <c r="C1460" s="8"/>
      <c r="D1460" s="9"/>
      <c r="E1460" s="8"/>
      <c r="F1460" s="8"/>
      <c r="G1460" s="8"/>
      <c r="H1460" s="8"/>
      <c r="I1460" s="10"/>
      <c r="J1460" s="8"/>
    </row>
    <row r="1461" spans="1:10" x14ac:dyDescent="0.15">
      <c r="A1461" s="7"/>
      <c r="B1461" s="8"/>
      <c r="C1461" s="8"/>
      <c r="D1461" s="9"/>
      <c r="E1461" s="8"/>
      <c r="F1461" s="8"/>
      <c r="G1461" s="8"/>
      <c r="H1461" s="8"/>
      <c r="I1461" s="10"/>
      <c r="J1461" s="8"/>
    </row>
    <row r="1462" spans="1:10" x14ac:dyDescent="0.15">
      <c r="A1462" s="7"/>
      <c r="B1462" s="8"/>
      <c r="C1462" s="8"/>
      <c r="D1462" s="9"/>
      <c r="E1462" s="8"/>
      <c r="F1462" s="8"/>
      <c r="G1462" s="8"/>
      <c r="H1462" s="8"/>
      <c r="I1462" s="10"/>
      <c r="J1462" s="8"/>
    </row>
    <row r="1463" spans="1:10" x14ac:dyDescent="0.15">
      <c r="A1463" s="7"/>
      <c r="B1463" s="8"/>
      <c r="C1463" s="8"/>
      <c r="D1463" s="9"/>
      <c r="E1463" s="8"/>
      <c r="F1463" s="8"/>
      <c r="G1463" s="8"/>
      <c r="H1463" s="8"/>
      <c r="I1463" s="10"/>
      <c r="J1463" s="8"/>
    </row>
    <row r="1464" spans="1:10" x14ac:dyDescent="0.15">
      <c r="A1464" s="7"/>
      <c r="B1464" s="8"/>
      <c r="C1464" s="8"/>
      <c r="D1464" s="9"/>
      <c r="E1464" s="8"/>
      <c r="F1464" s="8"/>
      <c r="G1464" s="8"/>
      <c r="H1464" s="8"/>
      <c r="I1464" s="10"/>
      <c r="J1464" s="8"/>
    </row>
    <row r="1465" spans="1:10" x14ac:dyDescent="0.15">
      <c r="A1465" s="7"/>
      <c r="B1465" s="8"/>
      <c r="C1465" s="8"/>
      <c r="D1465" s="9"/>
      <c r="E1465" s="8"/>
      <c r="F1465" s="8"/>
      <c r="G1465" s="8"/>
      <c r="H1465" s="8"/>
      <c r="I1465" s="10"/>
      <c r="J1465" s="8"/>
    </row>
    <row r="1466" spans="1:10" x14ac:dyDescent="0.15">
      <c r="A1466" s="7"/>
      <c r="B1466" s="8"/>
      <c r="C1466" s="8"/>
      <c r="D1466" s="9"/>
      <c r="E1466" s="8"/>
      <c r="F1466" s="8"/>
      <c r="G1466" s="8"/>
      <c r="H1466" s="8"/>
      <c r="I1466" s="10"/>
      <c r="J1466" s="8"/>
    </row>
    <row r="1467" spans="1:10" x14ac:dyDescent="0.15">
      <c r="A1467" s="7"/>
      <c r="B1467" s="8"/>
      <c r="C1467" s="8"/>
      <c r="D1467" s="9"/>
      <c r="E1467" s="8"/>
      <c r="F1467" s="8"/>
      <c r="G1467" s="8"/>
      <c r="H1467" s="8"/>
      <c r="I1467" s="10"/>
      <c r="J1467" s="8"/>
    </row>
    <row r="1468" spans="1:10" x14ac:dyDescent="0.15">
      <c r="A1468" s="7"/>
      <c r="B1468" s="8"/>
      <c r="C1468" s="8"/>
      <c r="D1468" s="9"/>
      <c r="E1468" s="8"/>
      <c r="F1468" s="8"/>
      <c r="G1468" s="8"/>
      <c r="H1468" s="8"/>
      <c r="I1468" s="10"/>
      <c r="J1468" s="8"/>
    </row>
    <row r="1469" spans="1:10" x14ac:dyDescent="0.15">
      <c r="A1469" s="7"/>
      <c r="B1469" s="8"/>
      <c r="C1469" s="8"/>
      <c r="D1469" s="9"/>
      <c r="E1469" s="8"/>
      <c r="F1469" s="8"/>
      <c r="G1469" s="8"/>
      <c r="H1469" s="8"/>
      <c r="I1469" s="10"/>
      <c r="J1469" s="8"/>
    </row>
    <row r="1470" spans="1:10" x14ac:dyDescent="0.15">
      <c r="A1470" s="7"/>
      <c r="B1470" s="8"/>
      <c r="C1470" s="8"/>
      <c r="D1470" s="9"/>
      <c r="E1470" s="8"/>
      <c r="F1470" s="8"/>
      <c r="G1470" s="8"/>
      <c r="H1470" s="8"/>
      <c r="I1470" s="10"/>
      <c r="J1470" s="8"/>
    </row>
    <row r="1471" spans="1:10" x14ac:dyDescent="0.15">
      <c r="A1471" s="7"/>
      <c r="B1471" s="8"/>
      <c r="C1471" s="8"/>
      <c r="D1471" s="9"/>
      <c r="E1471" s="8"/>
      <c r="F1471" s="8"/>
      <c r="G1471" s="8"/>
      <c r="H1471" s="8"/>
      <c r="I1471" s="10"/>
      <c r="J1471" s="8"/>
    </row>
    <row r="1472" spans="1:10" x14ac:dyDescent="0.15">
      <c r="A1472" s="7"/>
      <c r="B1472" s="8"/>
      <c r="C1472" s="8"/>
      <c r="D1472" s="9"/>
      <c r="E1472" s="8"/>
      <c r="F1472" s="8"/>
      <c r="G1472" s="8"/>
      <c r="H1472" s="8"/>
      <c r="I1472" s="10"/>
      <c r="J1472" s="8"/>
    </row>
    <row r="1473" spans="1:10" x14ac:dyDescent="0.15">
      <c r="A1473" s="7"/>
      <c r="B1473" s="8"/>
      <c r="C1473" s="8"/>
      <c r="D1473" s="9"/>
      <c r="E1473" s="8"/>
      <c r="F1473" s="8"/>
      <c r="G1473" s="8"/>
      <c r="H1473" s="8"/>
      <c r="I1473" s="10"/>
      <c r="J1473" s="8"/>
    </row>
    <row r="1474" spans="1:10" x14ac:dyDescent="0.15">
      <c r="A1474" s="7"/>
      <c r="B1474" s="8"/>
      <c r="C1474" s="8"/>
      <c r="D1474" s="9"/>
      <c r="E1474" s="8"/>
      <c r="F1474" s="8"/>
      <c r="G1474" s="8"/>
      <c r="H1474" s="8"/>
      <c r="I1474" s="10"/>
      <c r="J1474" s="8"/>
    </row>
    <row r="1475" spans="1:10" x14ac:dyDescent="0.15">
      <c r="A1475" s="7"/>
      <c r="B1475" s="8"/>
      <c r="C1475" s="8"/>
      <c r="D1475" s="9"/>
      <c r="E1475" s="8"/>
      <c r="F1475" s="8"/>
      <c r="G1475" s="8"/>
      <c r="H1475" s="8"/>
      <c r="I1475" s="10"/>
      <c r="J1475" s="8"/>
    </row>
    <row r="1476" spans="1:10" x14ac:dyDescent="0.15">
      <c r="A1476" s="7"/>
      <c r="B1476" s="8"/>
      <c r="C1476" s="8"/>
      <c r="D1476" s="9"/>
      <c r="E1476" s="8"/>
      <c r="F1476" s="8"/>
      <c r="G1476" s="8"/>
      <c r="H1476" s="8"/>
      <c r="I1476" s="10"/>
      <c r="J1476" s="8"/>
    </row>
    <row r="1477" spans="1:10" x14ac:dyDescent="0.15">
      <c r="A1477" s="7"/>
      <c r="B1477" s="8"/>
      <c r="C1477" s="8"/>
      <c r="D1477" s="9"/>
      <c r="E1477" s="8"/>
      <c r="F1477" s="8"/>
      <c r="G1477" s="8"/>
      <c r="H1477" s="8"/>
      <c r="I1477" s="10"/>
      <c r="J1477" s="8"/>
    </row>
    <row r="1478" spans="1:10" x14ac:dyDescent="0.15">
      <c r="A1478" s="7"/>
      <c r="B1478" s="8"/>
      <c r="C1478" s="8"/>
      <c r="D1478" s="9"/>
      <c r="E1478" s="8"/>
      <c r="F1478" s="8"/>
      <c r="G1478" s="8"/>
      <c r="H1478" s="8"/>
      <c r="I1478" s="10"/>
      <c r="J1478" s="8"/>
    </row>
    <row r="1479" spans="1:10" x14ac:dyDescent="0.15">
      <c r="A1479" s="7"/>
      <c r="B1479" s="8"/>
      <c r="C1479" s="8"/>
      <c r="D1479" s="9"/>
      <c r="E1479" s="8"/>
      <c r="F1479" s="8"/>
      <c r="G1479" s="8"/>
      <c r="H1479" s="8"/>
      <c r="I1479" s="10"/>
      <c r="J1479" s="8"/>
    </row>
    <row r="1480" spans="1:10" x14ac:dyDescent="0.15">
      <c r="A1480" s="7"/>
      <c r="B1480" s="8"/>
      <c r="C1480" s="8"/>
      <c r="D1480" s="9"/>
      <c r="E1480" s="8"/>
      <c r="F1480" s="8"/>
      <c r="G1480" s="8"/>
      <c r="H1480" s="8"/>
      <c r="I1480" s="10"/>
      <c r="J1480" s="8"/>
    </row>
    <row r="1481" spans="1:10" x14ac:dyDescent="0.15">
      <c r="A1481" s="7"/>
      <c r="B1481" s="8"/>
      <c r="C1481" s="8"/>
      <c r="D1481" s="9"/>
      <c r="E1481" s="8"/>
      <c r="F1481" s="8"/>
      <c r="G1481" s="8"/>
      <c r="H1481" s="8"/>
      <c r="I1481" s="10"/>
      <c r="J1481" s="8"/>
    </row>
    <row r="1482" spans="1:10" x14ac:dyDescent="0.15">
      <c r="A1482" s="7"/>
      <c r="B1482" s="8"/>
      <c r="C1482" s="8"/>
      <c r="D1482" s="9"/>
      <c r="E1482" s="8"/>
      <c r="F1482" s="8"/>
      <c r="G1482" s="8"/>
      <c r="H1482" s="8"/>
      <c r="I1482" s="10"/>
      <c r="J1482" s="8"/>
    </row>
    <row r="1483" spans="1:10" x14ac:dyDescent="0.15">
      <c r="A1483" s="7"/>
      <c r="B1483" s="8"/>
      <c r="C1483" s="8"/>
      <c r="D1483" s="9"/>
      <c r="E1483" s="8"/>
      <c r="F1483" s="8"/>
      <c r="G1483" s="8"/>
      <c r="H1483" s="8"/>
      <c r="I1483" s="10"/>
      <c r="J1483" s="8"/>
    </row>
    <row r="1484" spans="1:10" x14ac:dyDescent="0.15">
      <c r="A1484" s="7"/>
      <c r="B1484" s="8"/>
      <c r="C1484" s="8"/>
      <c r="D1484" s="9"/>
      <c r="E1484" s="8"/>
      <c r="F1484" s="8"/>
      <c r="G1484" s="8"/>
      <c r="H1484" s="8"/>
      <c r="I1484" s="10"/>
      <c r="J1484" s="8"/>
    </row>
    <row r="1485" spans="1:10" x14ac:dyDescent="0.15">
      <c r="A1485" s="7"/>
      <c r="B1485" s="8"/>
      <c r="C1485" s="8"/>
      <c r="D1485" s="9"/>
      <c r="E1485" s="8"/>
      <c r="F1485" s="8"/>
      <c r="G1485" s="8"/>
      <c r="H1485" s="8"/>
      <c r="I1485" s="10"/>
      <c r="J1485" s="8"/>
    </row>
    <row r="1486" spans="1:10" x14ac:dyDescent="0.15">
      <c r="A1486" s="7"/>
      <c r="B1486" s="8"/>
      <c r="C1486" s="8"/>
      <c r="D1486" s="9"/>
      <c r="E1486" s="8"/>
      <c r="F1486" s="8"/>
      <c r="G1486" s="8"/>
      <c r="H1486" s="8"/>
      <c r="I1486" s="10"/>
      <c r="J1486" s="8"/>
    </row>
    <row r="1487" spans="1:10" x14ac:dyDescent="0.15">
      <c r="A1487" s="7"/>
      <c r="B1487" s="8"/>
      <c r="C1487" s="8"/>
      <c r="D1487" s="9"/>
      <c r="E1487" s="8"/>
      <c r="F1487" s="8"/>
      <c r="G1487" s="8"/>
      <c r="H1487" s="8"/>
      <c r="I1487" s="10"/>
      <c r="J1487" s="8"/>
    </row>
    <row r="1488" spans="1:10" x14ac:dyDescent="0.15">
      <c r="A1488" s="7"/>
      <c r="B1488" s="8"/>
      <c r="C1488" s="8"/>
      <c r="D1488" s="9"/>
      <c r="E1488" s="8"/>
      <c r="F1488" s="8"/>
      <c r="G1488" s="8"/>
      <c r="H1488" s="8"/>
      <c r="I1488" s="10"/>
      <c r="J1488" s="8"/>
    </row>
    <row r="1489" spans="1:10" x14ac:dyDescent="0.15">
      <c r="A1489" s="7"/>
      <c r="B1489" s="8"/>
      <c r="C1489" s="8"/>
      <c r="D1489" s="9"/>
      <c r="E1489" s="8"/>
      <c r="F1489" s="8"/>
      <c r="G1489" s="8"/>
      <c r="H1489" s="8"/>
      <c r="I1489" s="10"/>
      <c r="J1489" s="8"/>
    </row>
    <row r="1490" spans="1:10" x14ac:dyDescent="0.15">
      <c r="A1490" s="7"/>
      <c r="B1490" s="8"/>
      <c r="C1490" s="8"/>
      <c r="D1490" s="9"/>
      <c r="E1490" s="8"/>
      <c r="F1490" s="8"/>
      <c r="G1490" s="8"/>
      <c r="H1490" s="8"/>
      <c r="I1490" s="10"/>
      <c r="J1490" s="8"/>
    </row>
    <row r="1491" spans="1:10" x14ac:dyDescent="0.15">
      <c r="A1491" s="7"/>
      <c r="B1491" s="8"/>
      <c r="C1491" s="8"/>
      <c r="D1491" s="9"/>
      <c r="E1491" s="8"/>
      <c r="F1491" s="8"/>
      <c r="G1491" s="8"/>
      <c r="H1491" s="8"/>
      <c r="I1491" s="10"/>
      <c r="J1491" s="8"/>
    </row>
    <row r="1492" spans="1:10" x14ac:dyDescent="0.15">
      <c r="A1492" s="7"/>
      <c r="B1492" s="8"/>
      <c r="C1492" s="8"/>
      <c r="D1492" s="9"/>
      <c r="E1492" s="8"/>
      <c r="F1492" s="8"/>
      <c r="G1492" s="8"/>
      <c r="H1492" s="8"/>
      <c r="I1492" s="10"/>
      <c r="J1492" s="8"/>
    </row>
    <row r="1493" spans="1:10" x14ac:dyDescent="0.15">
      <c r="A1493" s="7"/>
      <c r="B1493" s="8"/>
      <c r="C1493" s="8"/>
      <c r="D1493" s="9"/>
      <c r="E1493" s="8"/>
      <c r="F1493" s="8"/>
      <c r="G1493" s="8"/>
      <c r="H1493" s="8"/>
      <c r="I1493" s="10"/>
      <c r="J1493" s="8"/>
    </row>
    <row r="1494" spans="1:10" x14ac:dyDescent="0.15">
      <c r="A1494" s="7"/>
      <c r="B1494" s="8"/>
      <c r="C1494" s="8"/>
      <c r="D1494" s="9"/>
      <c r="E1494" s="8"/>
      <c r="F1494" s="8"/>
      <c r="G1494" s="8"/>
      <c r="H1494" s="8"/>
      <c r="I1494" s="10"/>
      <c r="J1494" s="8"/>
    </row>
    <row r="1495" spans="1:10" x14ac:dyDescent="0.15">
      <c r="A1495" s="7"/>
      <c r="B1495" s="8"/>
      <c r="C1495" s="8"/>
      <c r="D1495" s="9"/>
      <c r="E1495" s="8"/>
      <c r="F1495" s="8"/>
      <c r="G1495" s="8"/>
      <c r="H1495" s="8"/>
      <c r="I1495" s="10"/>
      <c r="J1495" s="8"/>
    </row>
    <row r="1496" spans="1:10" x14ac:dyDescent="0.15">
      <c r="A1496" s="7"/>
      <c r="B1496" s="8"/>
      <c r="C1496" s="8"/>
      <c r="D1496" s="9"/>
      <c r="E1496" s="8"/>
      <c r="F1496" s="8"/>
      <c r="G1496" s="8"/>
      <c r="H1496" s="8"/>
      <c r="I1496" s="10"/>
      <c r="J1496" s="8"/>
    </row>
    <row r="1497" spans="1:10" x14ac:dyDescent="0.15">
      <c r="A1497" s="7"/>
      <c r="B1497" s="8"/>
      <c r="C1497" s="8"/>
      <c r="D1497" s="9"/>
      <c r="E1497" s="8"/>
      <c r="F1497" s="8"/>
      <c r="G1497" s="8"/>
      <c r="H1497" s="8"/>
      <c r="I1497" s="10"/>
      <c r="J1497" s="8"/>
    </row>
    <row r="1498" spans="1:10" x14ac:dyDescent="0.15">
      <c r="A1498" s="7"/>
      <c r="B1498" s="8"/>
      <c r="C1498" s="8"/>
      <c r="D1498" s="9"/>
      <c r="E1498" s="8"/>
      <c r="F1498" s="8"/>
      <c r="G1498" s="8"/>
      <c r="H1498" s="8"/>
      <c r="I1498" s="10"/>
      <c r="J1498" s="8"/>
    </row>
    <row r="1499" spans="1:10" x14ac:dyDescent="0.15">
      <c r="A1499" s="7"/>
      <c r="B1499" s="8"/>
      <c r="C1499" s="8"/>
      <c r="D1499" s="9"/>
      <c r="E1499" s="8"/>
      <c r="F1499" s="8"/>
      <c r="G1499" s="8"/>
      <c r="H1499" s="8"/>
      <c r="I1499" s="10"/>
      <c r="J1499" s="8"/>
    </row>
    <row r="1500" spans="1:10" x14ac:dyDescent="0.15">
      <c r="A1500" s="7"/>
      <c r="B1500" s="8"/>
      <c r="C1500" s="8"/>
      <c r="D1500" s="9"/>
      <c r="E1500" s="8"/>
      <c r="F1500" s="8"/>
      <c r="G1500" s="8"/>
      <c r="H1500" s="8"/>
      <c r="I1500" s="10"/>
      <c r="J1500" s="8"/>
    </row>
    <row r="1501" spans="1:10" x14ac:dyDescent="0.15">
      <c r="A1501" s="7"/>
      <c r="B1501" s="8"/>
      <c r="C1501" s="8"/>
      <c r="D1501" s="9"/>
      <c r="E1501" s="8"/>
      <c r="F1501" s="8"/>
      <c r="G1501" s="8"/>
      <c r="H1501" s="8"/>
      <c r="I1501" s="10"/>
      <c r="J1501" s="8"/>
    </row>
    <row r="1502" spans="1:10" x14ac:dyDescent="0.15">
      <c r="A1502" s="7"/>
      <c r="B1502" s="8"/>
      <c r="C1502" s="8"/>
      <c r="D1502" s="9"/>
      <c r="E1502" s="8"/>
      <c r="F1502" s="8"/>
      <c r="G1502" s="8"/>
      <c r="H1502" s="8"/>
      <c r="I1502" s="10"/>
      <c r="J1502" s="8"/>
    </row>
    <row r="1503" spans="1:10" x14ac:dyDescent="0.15">
      <c r="A1503" s="7"/>
      <c r="B1503" s="8"/>
      <c r="C1503" s="8"/>
      <c r="D1503" s="9"/>
      <c r="E1503" s="8"/>
      <c r="F1503" s="8"/>
      <c r="G1503" s="8"/>
      <c r="H1503" s="8"/>
      <c r="I1503" s="10"/>
      <c r="J1503" s="8"/>
    </row>
    <row r="1504" spans="1:10" x14ac:dyDescent="0.15">
      <c r="A1504" s="7"/>
      <c r="B1504" s="8"/>
      <c r="C1504" s="8"/>
      <c r="D1504" s="9"/>
      <c r="E1504" s="8"/>
      <c r="F1504" s="8"/>
      <c r="G1504" s="8"/>
      <c r="H1504" s="8"/>
      <c r="I1504" s="10"/>
      <c r="J1504" s="8"/>
    </row>
    <row r="1505" spans="1:10" x14ac:dyDescent="0.15">
      <c r="A1505" s="7"/>
      <c r="B1505" s="8"/>
      <c r="C1505" s="8"/>
      <c r="D1505" s="9"/>
      <c r="E1505" s="8"/>
      <c r="F1505" s="8"/>
      <c r="G1505" s="8"/>
      <c r="H1505" s="8"/>
      <c r="I1505" s="10"/>
      <c r="J1505" s="8"/>
    </row>
    <row r="1506" spans="1:10" x14ac:dyDescent="0.15">
      <c r="A1506" s="7"/>
      <c r="B1506" s="8"/>
      <c r="C1506" s="8"/>
      <c r="D1506" s="9"/>
      <c r="E1506" s="8"/>
      <c r="F1506" s="8"/>
      <c r="G1506" s="8"/>
      <c r="H1506" s="8"/>
      <c r="I1506" s="10"/>
      <c r="J1506" s="8"/>
    </row>
    <row r="1507" spans="1:10" x14ac:dyDescent="0.15">
      <c r="A1507" s="7"/>
      <c r="B1507" s="8"/>
      <c r="C1507" s="8"/>
      <c r="D1507" s="9"/>
      <c r="E1507" s="8"/>
      <c r="F1507" s="8"/>
      <c r="G1507" s="8"/>
      <c r="H1507" s="8"/>
      <c r="I1507" s="10"/>
      <c r="J1507" s="8"/>
    </row>
    <row r="1508" spans="1:10" x14ac:dyDescent="0.15">
      <c r="A1508" s="7"/>
      <c r="B1508" s="8"/>
      <c r="C1508" s="8"/>
      <c r="D1508" s="9"/>
      <c r="E1508" s="8"/>
      <c r="F1508" s="8"/>
      <c r="G1508" s="8"/>
      <c r="H1508" s="8"/>
      <c r="I1508" s="10"/>
      <c r="J1508" s="8"/>
    </row>
    <row r="1509" spans="1:10" x14ac:dyDescent="0.15">
      <c r="A1509" s="7"/>
      <c r="B1509" s="8"/>
      <c r="C1509" s="8"/>
      <c r="D1509" s="9"/>
      <c r="E1509" s="8"/>
      <c r="F1509" s="8"/>
      <c r="G1509" s="8"/>
      <c r="H1509" s="8"/>
      <c r="I1509" s="10"/>
      <c r="J1509" s="8"/>
    </row>
    <row r="1510" spans="1:10" x14ac:dyDescent="0.15">
      <c r="A1510" s="7"/>
      <c r="B1510" s="8"/>
      <c r="C1510" s="8"/>
      <c r="D1510" s="9"/>
      <c r="E1510" s="8"/>
      <c r="F1510" s="8"/>
      <c r="G1510" s="8"/>
      <c r="H1510" s="8"/>
      <c r="I1510" s="10"/>
      <c r="J1510" s="8"/>
    </row>
    <row r="1511" spans="1:10" x14ac:dyDescent="0.15">
      <c r="A1511" s="7"/>
      <c r="B1511" s="8"/>
      <c r="C1511" s="8"/>
      <c r="D1511" s="9"/>
      <c r="E1511" s="8"/>
      <c r="F1511" s="8"/>
      <c r="G1511" s="8"/>
      <c r="H1511" s="8"/>
      <c r="I1511" s="10"/>
      <c r="J1511" s="8"/>
    </row>
    <row r="1512" spans="1:10" x14ac:dyDescent="0.15">
      <c r="A1512" s="7"/>
      <c r="B1512" s="8"/>
      <c r="C1512" s="8"/>
      <c r="D1512" s="9"/>
      <c r="E1512" s="8"/>
      <c r="F1512" s="8"/>
      <c r="G1512" s="8"/>
      <c r="H1512" s="8"/>
      <c r="I1512" s="10"/>
      <c r="J1512" s="8"/>
    </row>
    <row r="1513" spans="1:10" x14ac:dyDescent="0.15">
      <c r="A1513" s="7"/>
      <c r="B1513" s="8"/>
      <c r="C1513" s="8"/>
      <c r="D1513" s="9"/>
      <c r="E1513" s="8"/>
      <c r="F1513" s="8"/>
      <c r="G1513" s="8"/>
      <c r="H1513" s="8"/>
      <c r="I1513" s="10"/>
      <c r="J1513" s="8"/>
    </row>
    <row r="1514" spans="1:10" x14ac:dyDescent="0.15">
      <c r="A1514" s="7"/>
      <c r="B1514" s="8"/>
      <c r="C1514" s="8"/>
      <c r="D1514" s="9"/>
      <c r="E1514" s="8"/>
      <c r="F1514" s="8"/>
      <c r="G1514" s="8"/>
      <c r="H1514" s="8"/>
      <c r="I1514" s="10"/>
      <c r="J1514" s="8"/>
    </row>
    <row r="1515" spans="1:10" x14ac:dyDescent="0.15">
      <c r="A1515" s="7"/>
      <c r="B1515" s="8"/>
      <c r="C1515" s="8"/>
      <c r="D1515" s="9"/>
      <c r="E1515" s="8"/>
      <c r="F1515" s="8"/>
      <c r="G1515" s="8"/>
      <c r="H1515" s="8"/>
      <c r="I1515" s="10"/>
      <c r="J1515" s="8"/>
    </row>
    <row r="1516" spans="1:10" x14ac:dyDescent="0.15">
      <c r="A1516" s="7"/>
      <c r="B1516" s="8"/>
      <c r="C1516" s="8"/>
      <c r="D1516" s="9"/>
      <c r="E1516" s="8"/>
      <c r="F1516" s="8"/>
      <c r="G1516" s="8"/>
      <c r="H1516" s="8"/>
      <c r="I1516" s="10"/>
      <c r="J1516" s="8"/>
    </row>
    <row r="1517" spans="1:10" x14ac:dyDescent="0.15">
      <c r="A1517" s="7"/>
      <c r="B1517" s="8"/>
      <c r="C1517" s="8"/>
      <c r="D1517" s="9"/>
      <c r="E1517" s="8"/>
      <c r="F1517" s="8"/>
      <c r="G1517" s="8"/>
      <c r="H1517" s="8"/>
      <c r="I1517" s="10"/>
      <c r="J1517" s="8"/>
    </row>
    <row r="1518" spans="1:10" x14ac:dyDescent="0.15">
      <c r="A1518" s="7"/>
      <c r="B1518" s="8"/>
      <c r="C1518" s="8"/>
      <c r="D1518" s="9"/>
      <c r="E1518" s="8"/>
      <c r="F1518" s="8"/>
      <c r="G1518" s="8"/>
      <c r="H1518" s="8"/>
      <c r="I1518" s="10"/>
      <c r="J1518" s="8"/>
    </row>
    <row r="1519" spans="1:10" x14ac:dyDescent="0.15">
      <c r="A1519" s="7"/>
      <c r="B1519" s="8"/>
      <c r="C1519" s="8"/>
      <c r="D1519" s="9"/>
      <c r="E1519" s="8"/>
      <c r="F1519" s="8"/>
      <c r="G1519" s="8"/>
      <c r="H1519" s="8"/>
      <c r="I1519" s="10"/>
      <c r="J1519" s="8"/>
    </row>
    <row r="1520" spans="1:10" x14ac:dyDescent="0.15">
      <c r="A1520" s="7"/>
      <c r="B1520" s="8"/>
      <c r="C1520" s="8"/>
      <c r="D1520" s="9"/>
      <c r="E1520" s="8"/>
      <c r="F1520" s="8"/>
      <c r="G1520" s="8"/>
      <c r="H1520" s="8"/>
      <c r="I1520" s="10"/>
      <c r="J1520" s="8"/>
    </row>
    <row r="1521" spans="1:10" x14ac:dyDescent="0.15">
      <c r="A1521" s="7"/>
      <c r="B1521" s="8"/>
      <c r="C1521" s="8"/>
      <c r="D1521" s="9"/>
      <c r="E1521" s="8"/>
      <c r="F1521" s="8"/>
      <c r="G1521" s="8"/>
      <c r="H1521" s="8"/>
      <c r="I1521" s="10"/>
      <c r="J1521" s="8"/>
    </row>
    <row r="1522" spans="1:10" x14ac:dyDescent="0.15">
      <c r="A1522" s="7"/>
      <c r="B1522" s="8"/>
      <c r="C1522" s="8"/>
      <c r="D1522" s="9"/>
      <c r="E1522" s="8"/>
      <c r="F1522" s="8"/>
      <c r="G1522" s="8"/>
      <c r="H1522" s="8"/>
      <c r="I1522" s="10"/>
      <c r="J1522" s="8"/>
    </row>
    <row r="1523" spans="1:10" x14ac:dyDescent="0.15">
      <c r="A1523" s="7"/>
      <c r="B1523" s="8"/>
      <c r="C1523" s="8"/>
      <c r="D1523" s="9"/>
      <c r="E1523" s="8"/>
      <c r="F1523" s="8"/>
      <c r="G1523" s="8"/>
      <c r="H1523" s="8"/>
      <c r="I1523" s="10"/>
      <c r="J1523" s="8"/>
    </row>
    <row r="1524" spans="1:10" x14ac:dyDescent="0.15">
      <c r="A1524" s="7"/>
      <c r="B1524" s="8"/>
      <c r="C1524" s="8"/>
      <c r="D1524" s="9"/>
      <c r="E1524" s="8"/>
      <c r="F1524" s="8"/>
      <c r="G1524" s="8"/>
      <c r="H1524" s="8"/>
      <c r="I1524" s="10"/>
      <c r="J1524" s="8"/>
    </row>
    <row r="1525" spans="1:10" x14ac:dyDescent="0.15">
      <c r="A1525" s="7"/>
      <c r="B1525" s="8"/>
      <c r="C1525" s="8"/>
      <c r="D1525" s="9"/>
      <c r="E1525" s="8"/>
      <c r="F1525" s="8"/>
      <c r="G1525" s="8"/>
      <c r="H1525" s="8"/>
      <c r="I1525" s="10"/>
      <c r="J1525" s="8"/>
    </row>
    <row r="1526" spans="1:10" x14ac:dyDescent="0.15">
      <c r="A1526" s="7"/>
      <c r="B1526" s="8"/>
      <c r="C1526" s="8"/>
      <c r="D1526" s="9"/>
      <c r="E1526" s="8"/>
      <c r="F1526" s="8"/>
      <c r="G1526" s="8"/>
      <c r="H1526" s="8"/>
      <c r="I1526" s="10"/>
      <c r="J1526" s="8"/>
    </row>
    <row r="1527" spans="1:10" x14ac:dyDescent="0.15">
      <c r="A1527" s="7"/>
      <c r="B1527" s="8"/>
      <c r="C1527" s="8"/>
      <c r="D1527" s="9"/>
      <c r="E1527" s="8"/>
      <c r="F1527" s="8"/>
      <c r="G1527" s="8"/>
      <c r="H1527" s="8"/>
      <c r="I1527" s="10"/>
      <c r="J1527" s="8"/>
    </row>
    <row r="1528" spans="1:10" x14ac:dyDescent="0.15">
      <c r="A1528" s="7"/>
      <c r="B1528" s="8"/>
      <c r="C1528" s="8"/>
      <c r="D1528" s="9"/>
      <c r="E1528" s="8"/>
      <c r="F1528" s="8"/>
      <c r="G1528" s="8"/>
      <c r="H1528" s="8"/>
      <c r="I1528" s="10"/>
      <c r="J1528" s="8"/>
    </row>
    <row r="1529" spans="1:10" x14ac:dyDescent="0.15">
      <c r="A1529" s="7"/>
      <c r="B1529" s="8"/>
      <c r="C1529" s="8"/>
      <c r="D1529" s="9"/>
      <c r="E1529" s="8"/>
      <c r="F1529" s="8"/>
      <c r="G1529" s="8"/>
      <c r="H1529" s="8"/>
      <c r="I1529" s="10"/>
      <c r="J1529" s="8"/>
    </row>
    <row r="1530" spans="1:10" x14ac:dyDescent="0.15">
      <c r="A1530" s="7"/>
      <c r="B1530" s="8"/>
      <c r="C1530" s="8"/>
      <c r="D1530" s="9"/>
      <c r="E1530" s="8"/>
      <c r="F1530" s="8"/>
      <c r="G1530" s="8"/>
      <c r="H1530" s="8"/>
      <c r="I1530" s="10"/>
      <c r="J1530" s="8"/>
    </row>
    <row r="1531" spans="1:10" x14ac:dyDescent="0.15">
      <c r="A1531" s="7"/>
      <c r="B1531" s="8"/>
      <c r="C1531" s="8"/>
      <c r="D1531" s="9"/>
      <c r="E1531" s="8"/>
      <c r="F1531" s="8"/>
      <c r="G1531" s="8"/>
      <c r="H1531" s="8"/>
      <c r="I1531" s="10"/>
      <c r="J1531" s="8"/>
    </row>
    <row r="1532" spans="1:10" x14ac:dyDescent="0.15">
      <c r="A1532" s="7"/>
      <c r="B1532" s="8"/>
      <c r="C1532" s="8"/>
      <c r="D1532" s="9"/>
      <c r="E1532" s="8"/>
      <c r="F1532" s="8"/>
      <c r="G1532" s="8"/>
      <c r="H1532" s="8"/>
      <c r="I1532" s="10"/>
      <c r="J1532" s="8"/>
    </row>
    <row r="1533" spans="1:10" x14ac:dyDescent="0.15">
      <c r="A1533" s="7"/>
      <c r="B1533" s="8"/>
      <c r="C1533" s="8"/>
      <c r="D1533" s="9"/>
      <c r="E1533" s="8"/>
      <c r="F1533" s="8"/>
      <c r="G1533" s="8"/>
      <c r="H1533" s="8"/>
      <c r="I1533" s="10"/>
      <c r="J1533" s="8"/>
    </row>
    <row r="1534" spans="1:10" x14ac:dyDescent="0.15">
      <c r="A1534" s="7"/>
      <c r="B1534" s="8"/>
      <c r="C1534" s="8"/>
      <c r="D1534" s="9"/>
      <c r="E1534" s="8"/>
      <c r="F1534" s="8"/>
      <c r="G1534" s="8"/>
      <c r="H1534" s="8"/>
      <c r="I1534" s="10"/>
      <c r="J1534" s="8"/>
    </row>
    <row r="1535" spans="1:10" x14ac:dyDescent="0.15">
      <c r="A1535" s="7"/>
      <c r="B1535" s="8"/>
      <c r="C1535" s="8"/>
      <c r="D1535" s="9"/>
      <c r="E1535" s="8"/>
      <c r="F1535" s="8"/>
      <c r="G1535" s="8"/>
      <c r="H1535" s="8"/>
      <c r="I1535" s="10"/>
      <c r="J1535" s="8"/>
    </row>
    <row r="1536" spans="1:10" x14ac:dyDescent="0.15">
      <c r="A1536" s="7"/>
      <c r="B1536" s="8"/>
      <c r="C1536" s="8"/>
      <c r="D1536" s="9"/>
      <c r="E1536" s="8"/>
      <c r="F1536" s="8"/>
      <c r="G1536" s="8"/>
      <c r="H1536" s="8"/>
      <c r="I1536" s="10"/>
      <c r="J1536" s="8"/>
    </row>
    <row r="1537" spans="1:10" x14ac:dyDescent="0.15">
      <c r="A1537" s="7"/>
      <c r="B1537" s="8"/>
      <c r="C1537" s="8"/>
      <c r="D1537" s="9"/>
      <c r="E1537" s="8"/>
      <c r="F1537" s="8"/>
      <c r="G1537" s="8"/>
      <c r="H1537" s="8"/>
      <c r="I1537" s="10"/>
      <c r="J1537" s="8"/>
    </row>
    <row r="1538" spans="1:10" x14ac:dyDescent="0.15">
      <c r="A1538" s="7"/>
      <c r="B1538" s="8"/>
      <c r="C1538" s="8"/>
      <c r="D1538" s="9"/>
      <c r="E1538" s="8"/>
      <c r="F1538" s="8"/>
      <c r="G1538" s="8"/>
      <c r="H1538" s="8"/>
      <c r="I1538" s="10"/>
      <c r="J1538" s="8"/>
    </row>
    <row r="1539" spans="1:10" x14ac:dyDescent="0.15">
      <c r="A1539" s="7"/>
      <c r="B1539" s="8"/>
      <c r="C1539" s="8"/>
      <c r="D1539" s="9"/>
      <c r="E1539" s="8"/>
      <c r="F1539" s="8"/>
      <c r="G1539" s="8"/>
      <c r="H1539" s="8"/>
      <c r="I1539" s="10"/>
      <c r="J1539" s="8"/>
    </row>
    <row r="1540" spans="1:10" x14ac:dyDescent="0.15">
      <c r="A1540" s="7"/>
      <c r="B1540" s="8"/>
      <c r="C1540" s="8"/>
      <c r="D1540" s="9"/>
      <c r="E1540" s="8"/>
      <c r="F1540" s="8"/>
      <c r="G1540" s="8"/>
      <c r="H1540" s="8"/>
      <c r="I1540" s="10"/>
      <c r="J1540" s="8"/>
    </row>
    <row r="1541" spans="1:10" x14ac:dyDescent="0.15">
      <c r="A1541" s="7"/>
      <c r="B1541" s="8"/>
      <c r="C1541" s="8"/>
      <c r="D1541" s="9"/>
      <c r="E1541" s="8"/>
      <c r="F1541" s="8"/>
      <c r="G1541" s="8"/>
      <c r="H1541" s="8"/>
      <c r="I1541" s="10"/>
      <c r="J1541" s="8"/>
    </row>
    <row r="1542" spans="1:10" x14ac:dyDescent="0.15">
      <c r="A1542" s="7"/>
      <c r="B1542" s="8"/>
      <c r="C1542" s="8"/>
      <c r="D1542" s="9"/>
      <c r="E1542" s="8"/>
      <c r="F1542" s="8"/>
      <c r="G1542" s="8"/>
      <c r="H1542" s="8"/>
      <c r="I1542" s="10"/>
      <c r="J1542" s="8"/>
    </row>
    <row r="1543" spans="1:10" x14ac:dyDescent="0.15">
      <c r="A1543" s="7"/>
      <c r="B1543" s="8"/>
      <c r="C1543" s="8"/>
      <c r="D1543" s="9"/>
      <c r="E1543" s="8"/>
      <c r="F1543" s="8"/>
      <c r="G1543" s="8"/>
      <c r="H1543" s="8"/>
      <c r="I1543" s="10"/>
      <c r="J1543" s="8"/>
    </row>
    <row r="1544" spans="1:10" x14ac:dyDescent="0.15">
      <c r="A1544" s="7"/>
      <c r="B1544" s="8"/>
      <c r="C1544" s="8"/>
      <c r="D1544" s="9"/>
      <c r="E1544" s="8"/>
      <c r="F1544" s="8"/>
      <c r="G1544" s="8"/>
      <c r="H1544" s="8"/>
      <c r="I1544" s="10"/>
      <c r="J1544" s="8"/>
    </row>
    <row r="1545" spans="1:10" x14ac:dyDescent="0.15">
      <c r="A1545" s="7"/>
      <c r="B1545" s="8"/>
      <c r="C1545" s="8"/>
      <c r="D1545" s="9"/>
      <c r="E1545" s="8"/>
      <c r="F1545" s="8"/>
      <c r="G1545" s="8"/>
      <c r="H1545" s="8"/>
      <c r="I1545" s="10"/>
      <c r="J1545" s="8"/>
    </row>
    <row r="1546" spans="1:10" x14ac:dyDescent="0.15">
      <c r="A1546" s="7"/>
      <c r="B1546" s="8"/>
      <c r="C1546" s="8"/>
      <c r="D1546" s="9"/>
      <c r="E1546" s="8"/>
      <c r="F1546" s="8"/>
      <c r="G1546" s="8"/>
      <c r="H1546" s="8"/>
      <c r="I1546" s="10"/>
      <c r="J1546" s="8"/>
    </row>
    <row r="1547" spans="1:10" x14ac:dyDescent="0.15">
      <c r="A1547" s="7"/>
      <c r="B1547" s="8"/>
      <c r="C1547" s="8"/>
      <c r="D1547" s="9"/>
      <c r="E1547" s="8"/>
      <c r="F1547" s="8"/>
      <c r="G1547" s="8"/>
      <c r="H1547" s="8"/>
      <c r="I1547" s="10"/>
      <c r="J1547" s="8"/>
    </row>
    <row r="1548" spans="1:10" x14ac:dyDescent="0.15">
      <c r="A1548" s="7"/>
      <c r="B1548" s="8"/>
      <c r="C1548" s="8"/>
      <c r="D1548" s="9"/>
      <c r="E1548" s="8"/>
      <c r="F1548" s="8"/>
      <c r="G1548" s="8"/>
      <c r="H1548" s="8"/>
      <c r="I1548" s="10"/>
      <c r="J1548" s="8"/>
    </row>
    <row r="1549" spans="1:10" x14ac:dyDescent="0.15">
      <c r="A1549" s="7"/>
      <c r="B1549" s="8"/>
      <c r="C1549" s="8"/>
      <c r="D1549" s="9"/>
      <c r="E1549" s="8"/>
      <c r="F1549" s="8"/>
      <c r="G1549" s="8"/>
      <c r="H1549" s="8"/>
      <c r="I1549" s="10"/>
      <c r="J1549" s="8"/>
    </row>
    <row r="1550" spans="1:10" x14ac:dyDescent="0.15">
      <c r="A1550" s="7"/>
      <c r="B1550" s="8"/>
      <c r="C1550" s="8"/>
      <c r="D1550" s="9"/>
      <c r="E1550" s="8"/>
      <c r="F1550" s="8"/>
      <c r="G1550" s="8"/>
      <c r="H1550" s="8"/>
      <c r="I1550" s="10"/>
      <c r="J1550" s="8"/>
    </row>
  </sheetData>
  <autoFilter ref="A2:J2" xr:uid="{00000000-0009-0000-0000-00000000000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2025-06-02T10:08:43Z</dcterms:modified>
</cp:coreProperties>
</file>