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60AAAB27-D970-496F-814F-843AD9D50C6C}" xr6:coauthVersionLast="47" xr6:coauthVersionMax="47" xr10:uidLastSave="{00000000-0000-0000-0000-000000000000}"/>
  <bookViews>
    <workbookView xWindow="-120" yWindow="-120" windowWidth="29040" windowHeight="15840" xr2:uid="{00000000-000D-0000-FFFF-FFFF00000000}"/>
  </bookViews>
  <sheets>
    <sheet name="Sheet1" sheetId="4" r:id="rId1"/>
  </sheets>
  <definedNames>
    <definedName name="_xlnm._FilterDatabase" localSheetId="0" hidden="1">Sheet1!$A$2:$J$2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7" i="4" l="1"/>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alcChain>
</file>

<file path=xl/sharedStrings.xml><?xml version="1.0" encoding="utf-8"?>
<sst xmlns="http://schemas.openxmlformats.org/spreadsheetml/2006/main" count="8477" uniqueCount="1711">
  <si>
    <t>Country</t>
  </si>
  <si>
    <t>Area</t>
  </si>
  <si>
    <t>URL</t>
  </si>
  <si>
    <t>Brand</t>
  </si>
  <si>
    <t>Group</t>
  </si>
  <si>
    <t>Update Date</t>
  </si>
  <si>
    <t>Release Month</t>
  </si>
  <si>
    <t>Updates (Double-click on a cell to read the entire note.)</t>
  </si>
  <si>
    <t>*Please copy the URL if hyperlinks for detailed plant information are not working.</t>
  </si>
  <si>
    <t>OEM Location Name</t>
  </si>
  <si>
    <t>Province</t>
  </si>
  <si>
    <t>USA</t>
    <phoneticPr fontId="1"/>
  </si>
  <si>
    <t>Others</t>
    <phoneticPr fontId="1"/>
  </si>
  <si>
    <t>Russia</t>
    <phoneticPr fontId="1"/>
  </si>
  <si>
    <t>Honda</t>
    <phoneticPr fontId="1"/>
  </si>
  <si>
    <t>North America</t>
    <phoneticPr fontId="1"/>
  </si>
  <si>
    <t>West Europe</t>
    <phoneticPr fontId="1"/>
  </si>
  <si>
    <t>East Europe/Russia, CIS</t>
    <phoneticPr fontId="1"/>
  </si>
  <si>
    <t>East Asia</t>
    <phoneticPr fontId="1"/>
  </si>
  <si>
    <t>Toyota</t>
    <phoneticPr fontId="1"/>
  </si>
  <si>
    <t>Japan</t>
    <phoneticPr fontId="1"/>
  </si>
  <si>
    <t>Ford</t>
    <phoneticPr fontId="1"/>
  </si>
  <si>
    <t>South Asia/Oceania</t>
    <phoneticPr fontId="1"/>
  </si>
  <si>
    <t>India</t>
    <phoneticPr fontId="1"/>
  </si>
  <si>
    <t>China</t>
    <phoneticPr fontId="1"/>
  </si>
  <si>
    <t>Chongqing</t>
  </si>
  <si>
    <t>Poland</t>
    <phoneticPr fontId="1"/>
  </si>
  <si>
    <t>BMW</t>
    <phoneticPr fontId="1"/>
  </si>
  <si>
    <t>VW</t>
    <phoneticPr fontId="1"/>
  </si>
  <si>
    <t>Southeast Asia</t>
    <phoneticPr fontId="1"/>
  </si>
  <si>
    <t>Great Wall</t>
    <phoneticPr fontId="1"/>
  </si>
  <si>
    <t>Rivian</t>
    <phoneticPr fontId="1"/>
  </si>
  <si>
    <t>https://www.marklines.com/en/global/3153</t>
    <phoneticPr fontId="1"/>
  </si>
  <si>
    <t>Illinois</t>
  </si>
  <si>
    <t>Hyundai</t>
    <phoneticPr fontId="1"/>
  </si>
  <si>
    <t>Volkswagen</t>
    <phoneticPr fontId="1"/>
  </si>
  <si>
    <t>Stellantis</t>
    <phoneticPr fontId="1"/>
  </si>
  <si>
    <t>Italy</t>
    <phoneticPr fontId="1"/>
  </si>
  <si>
    <t>Fiat</t>
    <phoneticPr fontId="1"/>
  </si>
  <si>
    <t>AvtoVAZ</t>
    <phoneticPr fontId="1"/>
  </si>
  <si>
    <t>Lada</t>
    <phoneticPr fontId="1"/>
  </si>
  <si>
    <t>https://www.marklines.com/en/global/675</t>
    <phoneticPr fontId="1"/>
  </si>
  <si>
    <t>Spain</t>
    <phoneticPr fontId="1"/>
  </si>
  <si>
    <t>Audi</t>
    <phoneticPr fontId="1"/>
  </si>
  <si>
    <t>Skoda</t>
    <phoneticPr fontId="1"/>
  </si>
  <si>
    <t>https://www.marklines.com/en/global/757</t>
    <phoneticPr fontId="1"/>
  </si>
  <si>
    <t>https://www.marklines.com/en/global/729</t>
    <phoneticPr fontId="1"/>
  </si>
  <si>
    <t>Vietnam</t>
    <phoneticPr fontId="1"/>
  </si>
  <si>
    <t>Seres</t>
    <phoneticPr fontId="1"/>
  </si>
  <si>
    <t>California</t>
  </si>
  <si>
    <t>Tesla</t>
    <phoneticPr fontId="1"/>
  </si>
  <si>
    <t>NIO</t>
    <phoneticPr fontId="1"/>
  </si>
  <si>
    <t>https://www.marklines.com/en/global/1931</t>
    <phoneticPr fontId="1"/>
  </si>
  <si>
    <t>https://www.marklines.com/en/global/1935</t>
    <phoneticPr fontId="1"/>
  </si>
  <si>
    <t>https://www.marklines.com/en/global/1939</t>
    <phoneticPr fontId="1"/>
  </si>
  <si>
    <t>Anhui</t>
  </si>
  <si>
    <t>Shanghai</t>
  </si>
  <si>
    <t>BYD</t>
    <phoneticPr fontId="1"/>
  </si>
  <si>
    <t>BAIC</t>
    <phoneticPr fontId="1"/>
  </si>
  <si>
    <t>NWTN</t>
    <phoneticPr fontId="1"/>
  </si>
  <si>
    <t>https://www.marklines.com/en/global/10641</t>
    <phoneticPr fontId="1"/>
  </si>
  <si>
    <t>Zhejiang</t>
  </si>
  <si>
    <t>Shandong</t>
  </si>
  <si>
    <t>Guangdong</t>
  </si>
  <si>
    <t>https://www.marklines.com/en/global/1965</t>
    <phoneticPr fontId="1"/>
  </si>
  <si>
    <t>Geely</t>
    <phoneticPr fontId="1"/>
  </si>
  <si>
    <t>South America</t>
    <phoneticPr fontId="1"/>
  </si>
  <si>
    <t>Brazil</t>
    <phoneticPr fontId="1"/>
  </si>
  <si>
    <t>Chery</t>
    <phoneticPr fontId="1"/>
  </si>
  <si>
    <t>BAIC Foton</t>
    <phoneticPr fontId="1"/>
  </si>
  <si>
    <t>https://www.marklines.com/en/global/3425</t>
    <phoneticPr fontId="1"/>
  </si>
  <si>
    <t>Beijing</t>
  </si>
  <si>
    <t>Changan/Chana</t>
    <phoneticPr fontId="1"/>
  </si>
  <si>
    <t>Liaoning</t>
  </si>
  <si>
    <t>Arizona</t>
  </si>
  <si>
    <t>Malaysia</t>
    <phoneticPr fontId="1"/>
  </si>
  <si>
    <t>Hubei</t>
  </si>
  <si>
    <t>https://www.marklines.com/en/global/4163</t>
    <phoneticPr fontId="1"/>
  </si>
  <si>
    <t>Mazda</t>
    <phoneticPr fontId="1"/>
  </si>
  <si>
    <t>UralAZ</t>
    <phoneticPr fontId="1"/>
  </si>
  <si>
    <t>https://www.marklines.com/en/global/803</t>
    <phoneticPr fontId="1"/>
  </si>
  <si>
    <t>Maserati</t>
    <phoneticPr fontId="1"/>
  </si>
  <si>
    <t>https://www.marklines.com/en/global/1327</t>
    <phoneticPr fontId="1"/>
  </si>
  <si>
    <t>https://www.marklines.com/en/global/9503</t>
    <phoneticPr fontId="1"/>
  </si>
  <si>
    <t>Xpeng</t>
    <phoneticPr fontId="1"/>
  </si>
  <si>
    <t>https://www.marklines.com/en/global/10668</t>
    <phoneticPr fontId="1"/>
  </si>
  <si>
    <t>KAMAZ</t>
    <phoneticPr fontId="1"/>
  </si>
  <si>
    <t>https://www.marklines.com/en/global/737</t>
    <phoneticPr fontId="1"/>
  </si>
  <si>
    <t>https://www.marklines.com/en/global/9057</t>
    <phoneticPr fontId="1"/>
  </si>
  <si>
    <t>https://www.marklines.com/en/global/1861</t>
    <phoneticPr fontId="1"/>
  </si>
  <si>
    <t>Romania</t>
    <phoneticPr fontId="1"/>
  </si>
  <si>
    <t>https://www.marklines.com/en/global/10767</t>
    <phoneticPr fontId="1"/>
  </si>
  <si>
    <t>https://www.marklines.com/en/global/3879</t>
    <phoneticPr fontId="1"/>
  </si>
  <si>
    <t>https://www.marklines.com/en/global/9540</t>
    <phoneticPr fontId="1"/>
  </si>
  <si>
    <t>Nikola</t>
    <phoneticPr fontId="1"/>
  </si>
  <si>
    <t>https://www.marklines.com/en/global/10448</t>
    <phoneticPr fontId="1"/>
  </si>
  <si>
    <t>ZEEKR</t>
    <phoneticPr fontId="1"/>
  </si>
  <si>
    <t>https://www.marklines.com/en/global/10391</t>
    <phoneticPr fontId="1"/>
  </si>
  <si>
    <t>https://www.marklines.com/en/global/709</t>
    <phoneticPr fontId="1"/>
  </si>
  <si>
    <t>https://www.marklines.com/en/global/3981</t>
    <phoneticPr fontId="1"/>
  </si>
  <si>
    <t>https://www.marklines.com/en/global/749</t>
    <phoneticPr fontId="1"/>
  </si>
  <si>
    <t>https://www.marklines.com/en/global/1307</t>
    <phoneticPr fontId="1"/>
  </si>
  <si>
    <t>Fujian Motor</t>
    <phoneticPr fontId="1"/>
  </si>
  <si>
    <t>King Long</t>
    <phoneticPr fontId="1"/>
  </si>
  <si>
    <t>Madhya Pradesh</t>
  </si>
  <si>
    <t>Cupra</t>
    <phoneticPr fontId="1"/>
  </si>
  <si>
    <t>https://www.marklines.com/en/global/495</t>
    <phoneticPr fontId="1"/>
  </si>
  <si>
    <t>Shizuoka</t>
  </si>
  <si>
    <t>Canoo</t>
    <phoneticPr fontId="1"/>
  </si>
  <si>
    <t>https://www.marklines.com/en/global/10687</t>
    <phoneticPr fontId="1"/>
  </si>
  <si>
    <t>Oklahoma</t>
  </si>
  <si>
    <t>https://www.marklines.com/en/global/10491</t>
    <phoneticPr fontId="1"/>
  </si>
  <si>
    <t>https://www.marklines.com/en/global/10581</t>
    <phoneticPr fontId="1"/>
  </si>
  <si>
    <t>https://www.marklines.com/en/global/10580</t>
    <phoneticPr fontId="1"/>
  </si>
  <si>
    <t>https://www.marklines.com/en/global/817</t>
    <phoneticPr fontId="1"/>
  </si>
  <si>
    <t>https://www.marklines.com/en/global/9517</t>
    <phoneticPr fontId="1"/>
  </si>
  <si>
    <t>https://www.marklines.com/en/global/3615</t>
    <phoneticPr fontId="1"/>
  </si>
  <si>
    <t>Skywell</t>
    <phoneticPr fontId="1"/>
  </si>
  <si>
    <t>https://www.marklines.com/en/global/3375</t>
    <phoneticPr fontId="1"/>
  </si>
  <si>
    <t>Aito</t>
    <phoneticPr fontId="1"/>
  </si>
  <si>
    <t>https://www.marklines.com/en/global/9500</t>
    <phoneticPr fontId="1"/>
  </si>
  <si>
    <t>https://www.marklines.com/en/global/8718</t>
    <phoneticPr fontId="1"/>
  </si>
  <si>
    <t>https://www.marklines.com/en/global/741</t>
    <phoneticPr fontId="1"/>
  </si>
  <si>
    <t>https://www.marklines.com/en/global/10385</t>
    <phoneticPr fontId="1"/>
  </si>
  <si>
    <t>https://www.marklines.com/en/global/987</t>
    <phoneticPr fontId="1"/>
  </si>
  <si>
    <t>https://www.marklines.com/en/global/9812</t>
    <phoneticPr fontId="1"/>
  </si>
  <si>
    <t>On December 25, Ford Otomotiv Sanayi A.Ş. announced that it has suspended production at its Craiova Plant in Romania from December 27, 2023, to January 5, 2024 (January 1-2, 2024, are official New Year holidays) in line with its production plans. According to the automaker, the suspension at the plant will not have any material impact on its annual production guidance.</t>
    <phoneticPr fontId="1"/>
  </si>
  <si>
    <t>On December 27, Changan started sales first hybrid crossover UNI-K iDD in Russia. The car has a 166-hp 1.5-liter gasoline engine with a turbocharger with a 150-hp electric motor. The transmission is a six-speed automatic robotic gearbox. The electric motor is paired with an LFP battery with a capacity of 30.7 kWh. The battery is adapted to Russian climatic conditions. The UNI-K iDD has an electric range of 135 kilometers. Thanks to the unique Intelligent Dual Drive system, with a filled fuel tank and maximum battery charge, the crossover can travel up to 1,000 kilometers.</t>
    <phoneticPr fontId="1"/>
  </si>
  <si>
    <t>On December 29, AvtoVAZ announced that its board of directors approved its development strategy until 2030. It is planned to maintain the leading position of LADA in the Russian automobile market. This will be facilitated, among other things, by the release of 12 new models in various segments, as well as the development of partnership projects. AvtoVAZ will produce more than 500 thousand cars in 2024. In 2023, it produced more than 374 thousand cars. For the Russian brand, this volume is a record for the last 10 years. By the end of 2023, AvtoVAZ will ensure break-even and financial stability. Over the past year, it hired more than 2.5 thousand new employees.</t>
    <phoneticPr fontId="1"/>
  </si>
  <si>
    <t>https://www.marklines.com/en/global/727</t>
    <phoneticPr fontId="1"/>
  </si>
  <si>
    <t>On December 30, Kamaz suspended production of the main assembly lines which will last till January 8, 2024. On January 9, it will resume production activities. In 2024, the modernization of Kamaz production facilities, the development of the K5 line of trucks, and the model range of passenger transport will continue. Work is also planned on P6 engines, the development of the Compass line of cars, and other projects.</t>
    <phoneticPr fontId="1"/>
  </si>
  <si>
    <t>According to multiple press releases dated December 25, Weineng (Shanghai) Battery Technology Co., Ltd. was recently established in Jiading District, Shanghai. The new company has a registered capital of CNY 500 million and is wholly owned by Wuhan Weineng Battery Asset Co., Ltd. (Weineng Battery). The business scope includes R&amp;D of resource regeneration and reuse technologies, and development of AI application software. Weineng Battery is jointly owned by companies including NIO Holding Ltd. and Contemporary Amperex Technology Co., Ltd.</t>
    <phoneticPr fontId="1"/>
  </si>
  <si>
    <t>On December 26, Shenzhen BYD Energy Storage Co., Ltd., announced the recent holding of a technical seminar with Xuzhou Construction Machinery Group (XCMG) in Pingshan District, Shenzhen, Guangdong. Exchanged and discussed in depth at the seminar were new technologies and future plans for power battery cells and packs, CV products, technologies for battery management systems, the CPF process, battery pack manufacturing processes, the Pingshan FinDreams quality system, and more. The two parties agreed to jointly promote the development of CV power batteries and further increase the application of blade batteries in the construction machinery and CV industries.</t>
    <phoneticPr fontId="1"/>
  </si>
  <si>
    <t>On December 26, Huawei held an event for the launch of the AITO Wenjie M9. The AITO Wenjie M9 is equipped with the Huawei Tuling intelligent chassis. Based on an 800V silicon carbide platform, the battery electric variants are powered by a 100kWh ternary lithium battery, a front AC asynchronous motor (160kW/277Nm), and a rear permanent magnet synchronous motor (230kW/396Nm), with a 4WD layout, a 0 to 100km/h acceleration time of 4.3 seconds, and a CLTC electric-mode range of 630km. Powered by a 1.5T range extender, a 42kWh (or optional 52kWh) ternary lithium battery, a front AC asynchronous motor (165kW/315Nm), and a rear permanent magnet synchronous motor (200kW/360Nm), the range-extended variants have a 4WD layout and deliver a 0 to 100km/h acceleration time of 4.9 seconds, a CLTC electric-mode range of 225km, and a CLTC combined range of 1,362km.</t>
    <phoneticPr fontId="1"/>
  </si>
  <si>
    <t>On December 26, multiple sources reported that Art-Finance LLC will resume operations at the former Hyundai plant in St. Petersburg in January 2024. The plant suspended production in March 2022 due to difficulties with the supply of components.</t>
    <phoneticPr fontId="1"/>
  </si>
  <si>
    <t>On December 27, Zeekr, a Geely sub-brand, officially launched the Zeekr 007, its first luxury battery electric sedan. The Zeekr 007 is based on a full-stack 800V architecture. The 616km-range variants are equipped with a 75kWh lithium-iron phosphate (or optional 100kWh ternary lithium) battery and a dual-motor (475kW/710Nm) 4WD system, with a 0 to 100km/h acceleration time of 3.8 seconds. The Zeekr 007 comes standard with features such as the Zeekr AD intelligent driver assistance system.</t>
    <phoneticPr fontId="1"/>
  </si>
  <si>
    <t>On December 28, URAL Automobile Plant announced that PROF-IT GROUP has implemented a digital platform for production management at the URAL Automobile Plant. As part of the project, workplaces have been set up on assembly lines, in areas of welding, painting, sub-assembly of main components, and production of automotive components, including the manufacture of frames, axles, gearboxes, platforms, and suspension bogies. MES (Manufacturing execution systems) and QMS (Quality management systems) functional blocks were introduced. The QMS block is integrated with MES in terms of recording the passage of order checkpoints and the associated production process control logic.</t>
    <phoneticPr fontId="1"/>
  </si>
  <si>
    <t>On December 29, the State of Oklahoma announced it has received its first three made-in-Oklahoma electric vehicles from Canoo at a combined cost of USD 119,850. The LDVs delivered to the State of Oklahoma are the first to come out of Canoo’s new assembly facility in Oklahoma City, working in conjunction with the company’s battery module manufacturing plant in Pryor, Oklahoma. The three Canoo LDV 130s will be evaluated on how the vehicles can best support state agency missions.</t>
    <phoneticPr fontId="1"/>
  </si>
  <si>
    <t>On December 29, multiple sources reported that the unions FIOM-CGIL, FIM-CISL, and UILM jointly proposed a revitalization plan for Mirafiori plant to Stellantis, focusing on four key areas: i.e., prompt production of new models, refresh the aging workforce by hiring younger talent (as now the current average age being 56 years), expand production of components for electric and hydrogen vehicles and enhance Turin's strategic role as a hub for research and design in the automotive sector.</t>
    <phoneticPr fontId="1"/>
  </si>
  <si>
    <t>In the last week of December, multiple onlookers in California have reported seeing the updated Model 3 Highland. Some of the vehicles had the Chinese Tesla badge on the back, suggesting that the vehicle could have been built at Gigafactory Shanghai where Tesla currently produces the Highland, but some vehicles did not. Re-tooling for the Model 3 Highland at the Fremont factory is reported to have been completed.</t>
    <phoneticPr fontId="1"/>
  </si>
  <si>
    <t>https://www.marklines.com/en/global/3283</t>
    <phoneticPr fontId="1"/>
  </si>
  <si>
    <t>On December 31, Atom announced its plan for 2024. It will conduct the assembly of the first pre-production electric vehicles as well as equip production lines at the Moskvich plant. It will conduct testing of functional platforms and certification tests. It will also produce the first parts and body elements during the year. At present, it has received 36,000 pre-orders.</t>
    <phoneticPr fontId="1"/>
  </si>
  <si>
    <t>On January 2, Rivian Automotive announced in Q4 2023, it produced 17,541 vehicles at its manufacturing facility in Normal, Illinois and delivered 13,972 vehicles during the same period. On a full-year 2023 basis, Rivian produced 57,232 vehicles and delivered 50,122, exceeded its previous production guidance of 54,000 vehicles.</t>
    <phoneticPr fontId="1"/>
  </si>
  <si>
    <t>In December 2023, BMW group announced a 10% increase in the production capacity of its Araquari plant, located in Santa Catarina, Brazil. To fulfill this purpose, the brand has hired 50 people, increased its workforce by 5%.</t>
    <phoneticPr fontId="1"/>
  </si>
  <si>
    <t>https://www.marklines.com/en/global/8991</t>
    <phoneticPr fontId="1"/>
  </si>
  <si>
    <t>On December 25, Mazda Motor Corporation (Mazda) launched the full-model change 'Flair Wagon' and 'Flair Wagon Custom Style' mini-height wagon models in Japan. The two models are supplied on an OEM-basis by Suzuki Motor Corporation (Suzuki). The base models, Suzuki's "Spacia" and "Spacia Custom" mini-height wagons, were launched in November as all-new, full model change models. The fully redesigned "Flair Wagon" and "Flair Wagon Custom Style" both feature "multi-use flaps" at the front of the left and right rear seats. By adjusting the position and angle of the flap, the passengers can take advantage of convenient functions such as using the flap as an ottoman or to prevent luggage from falling from the seat. In terms of safety performance, all models are equipped with Dual Sensor Brake Support II, a collision mitigation brake system that combines millimeter wave radar and a monocular camera as standard equipment. As for powertrains, all models are equipped with a mild hybrid system.</t>
    <phoneticPr fontId="1"/>
  </si>
  <si>
    <t>According to multiple press releases dated December 27, sources recently said that Tesla is preparing to launch a refreshed version for its best-selling Model Y SUV at the Gigafactory Shanghai, with mass production likely to start as early as mid-2024. Tesla China responded that this information is untrue.</t>
    <phoneticPr fontId="1"/>
  </si>
  <si>
    <t>On December 28, the first new Fulwin T9 midsize plug-in hybrid SUV officially rolled off the production line at the Chery Qingdao Plant. The Fulwin T9 is based on the M3X architecture and equipped with the Chery Power C-DM hybrid technology, the vehicle delivers a maximum engine thermal efficiency of 44.5%, a maximum dedicated hybrid transmission mechanical efficiency of 98.5%, and a WLTC fuel consumption as low as 5.2L/100km. A Qualcomm Snapdragon 8155 chip is equipped as well.</t>
    <phoneticPr fontId="1"/>
  </si>
  <si>
    <t>https://www.marklines.com/en/global/10481</t>
    <phoneticPr fontId="1"/>
  </si>
  <si>
    <t>On December 28, Skywell Group held an inauguration ceremony for its Huainan base. At the ceremony, Skywell Group signed cooperation agreements with several local companies, colleges and financial institutions in various fields including supply chain and smart technologies. The Huainan base constitutes an integral part of Skywell Group’s strategic plan for new energy logistics vehicles. It is comprised of stamping facility, welding facility, comprehensive building, exhibition halls, R&amp;D test center and other areas. Skywell Group aims to complete all construction of this base by June 2024. Upon completion, the manufacturing site will be able to produce 50,000 light commercial vehicles per year. In addition, Skywell Group defines the new energy commercial vehicle in its next-generation model named CS VAN. The CS VAN series can be expanded to 48+N products features to realize functions such as L2++ autonomous driving. Its world premiere is scheduled in September 2024.</t>
    <phoneticPr fontId="1"/>
  </si>
  <si>
    <t>https://www.marklines.com/en/global/10789</t>
    <phoneticPr fontId="1"/>
  </si>
  <si>
    <t>On December 28, the Xiaomi EV Technology Launch was held, five core technologies were unveiled. E-motor: The HyperEngine V6 and V6s will be equipped on the first models of the SU7 sedan. The former delivers a maximum power of 220kW and a peak torque of 400Nm, and the latter a maximum power of 275kW, a peak torque of 500Nm, and a maximum engine speed of 21,000rpm. The HyperEngine V8s, Xiaomi EV’s first fully in-house developed and third self-manufactured engine, delivers a maximum power of 425kW, a peak torque of 635Nm, a maximum engine speed of 27,200rpm. It has been put into mass production and will be on board in 2025. Battery: A Xiaomi EV in-house developed 800V silicon carbide platform and an 800V battery pack co-developed with CATL were unveiled. The latter features a Xiaomi EV in-house developed CTB (Cell to Body) technology and battery management system, with a maximum battery capacity of 150kWh and a CLTC range of over 1,200km. Xiaomi EV has also developed the innovative Inverted Cell Technology and built its own battery pack plant.</t>
    <phoneticPr fontId="1"/>
  </si>
  <si>
    <t>Xiaomi</t>
    <phoneticPr fontId="1"/>
  </si>
  <si>
    <t>On December 28, the Xiaomi EV Technology Launch was held, where the SU7, the first Xiaomi EV electric model, was officially unveiled. The model is positioned as a mid-to-large-size electric sedan. Powered by dual motors, the SU7 has a 4WD layout and delivers a maximum power of 495kW, a peak torque of 838Nm, a 0 to 100km/h acceleration time of 2.78 seconds, and a top speed of 265km/h. Xiaomi-CATL co-developed battery cells, 4WD model to enable a CLTC 800km range with a 101kWh battery capacity currently. The SU7 is equipped with a wrap-around cockpit encompassing a Qualcomm Snapdragon 8295 chip.</t>
    <phoneticPr fontId="1"/>
  </si>
  <si>
    <t>On December 30, multiple media sources reported that Volkswagen (Anhui) Automotive Company Limited recently started production of the Cupra Tavascan electric SUV which will be exported to Europe. In addition, a Volkswagen-branded model for the Chinese market will roll off the production line in 2024.</t>
    <phoneticPr fontId="1"/>
  </si>
  <si>
    <t>On December 31, a ceremony was held to commemorate the first e:NS1 SUV rolling off the final assembly line at Dongfeng Honda.</t>
    <phoneticPr fontId="1"/>
  </si>
  <si>
    <t>On January 1, XPeng officially launched the new X9 flagship 7-seater electric MPV. Based on a global 800V silicon carbide platform. Equipped with a single permanent magnet synchronous motor (235kW/450Nm), an FWD system, and respective 84.5kWh lithium-iron phosphate and 101.5kWh ternary lithium battery packs, the 610km- and 702km-range variants deliver respective CLTC power consumption of 16.2kWh/100km and 16.3kWh/100km. The X9 comes standard with features such as the latest XOS Tianji intelligent cockpit system powered by a Qualcomm Snapdragon SA8295P chip.</t>
    <phoneticPr fontId="1"/>
  </si>
  <si>
    <t>On January 3, PEPS-JV (Melaka) Sdn Bhd (PJVM) and Great Wall Motor Sales Malaysia Sdn Bhd (GWM) had entered into a Vehicle Assembly Agreement to appoint PJVM as the contract assembler for GWM’s authorized model vehicles in Malaysia or other areas/countries which may be permitted by GWM in its sole direction. Reference is made to EPMB’s announcements dated October 20 and October 18, 2023, in relation to the MOU between PJVM and GWM. The MOU shall cease upon the execution of the Agreement. The focus is said to be initially on assembling and producing Haval H6 and the Haval Jolion SUVs.</t>
    <phoneticPr fontId="1"/>
  </si>
  <si>
    <t>Announced on January 3, TC Motor Vietnam Co Ltd (TCMV), in December 2023, held the line-off ceremony for the new generation King Long NOVA EURO 5 Bus, which is locally assembled at its plant in the Hoa Khanh Industrial Zone in Da Nang City. Available in 29 seat and 34 seat options, the bus comes with the WEICHAI EURO 5 diesel engine. The bus is already open for bookings. With an estimated price of around VND 1.9 billion, the bus is expected to be delivered to customers from March 2024.</t>
    <phoneticPr fontId="1"/>
  </si>
  <si>
    <t>https://www.marklines.com/en/global/1609</t>
    <phoneticPr fontId="1"/>
  </si>
  <si>
    <t>On January 3, multiple sources reported that the Industry and Trade Minister of Russia announced that the former Volkswagen plant in Kaluga will start production in the first half of 2024. The plant was sold to the Russian company Art Finance. The Minister also announced that the plant had found a foreign technological partner.</t>
    <phoneticPr fontId="1"/>
  </si>
  <si>
    <t>On January 3, Volkswagen Navarra announced that its Landaben factory produced 273,273 cars in 2023, accounting for 10% of Volkswagen's global output. The 5% production dip from last year i.e., 288,088 cars due to renovations for launching two electric cars (Volkswagen and Skoda) by 2026 and semiconductor shortages, compounded by a supplier flooding in Slovenia in September. Specifically, the production included 118,956 T-Cross, 82,256 Taigo, and 66,755 Polo models, with 5,306 units of the new T-Cross PA produced since its December 11, 2023 launch.</t>
    <phoneticPr fontId="1"/>
  </si>
  <si>
    <t>On December 29, a ceremony for the signing of an agreement on the co-construction of the Zhucheng Commercial Vehicle (CV) Industry Cluster District (the District) and the CCIG North China Site (the Site) among Foton Motor, China City Industrial Group Co., Ltd. (CCIG), and the People’s Government of Zhucheng City was held in Zhucheng, Shandong. Covering a planned total investment amount of CNY 5 billion, the District and the Site will be co-built by Foton Motor and CCIG. They are planned for the construction of projects on high-end special-purpose vehicles (SPVs), CVs, city operation and maintenance equipment and services, and more, with an annual SPV capacity of 100,000 units and an annual SPV output value in the tens of billions of CNY range upon completion and commissioning.</t>
    <phoneticPr fontId="1"/>
  </si>
  <si>
    <t>On January 2nd, BMW Group announced on its official Weibo that the latest generation of the China-made BMW 5 Series long-wheelbase variant has officially rolled off the production line at BMW's Dadong plant in Shenyang. The vehicle is scheduled to be launched in late January. It is offered as a fully electric i5.</t>
    <phoneticPr fontId="1"/>
  </si>
  <si>
    <t>On January 2, SAIC VW signed a strategic cooperation agreement on new ecology for the automotive industry with Anting Town administration at the government office of Jiading District, Shanghai. The two parties will jointly work on formulating a plan for strategic cooperation and long-term development, create an ecosystem for New Energy Vehicles and intelligent connected vehicles, build SAIC VW's Anting site into a new hub for the automobile industry ecological chain, and accelerate the transformation of the Anting site into a center for EV production, R&amp;D innovations and smart manufacturing. In addition, SAIC Audi will accelerate the development of new electric EV models as well. Its EVs will also be manufactured in Anting.</t>
    <phoneticPr fontId="1"/>
  </si>
  <si>
    <t>https://www.marklines.com/en/global/9821</t>
    <phoneticPr fontId="1"/>
  </si>
  <si>
    <t>On January 4, Nikola Corp. announced that it produced 42 and wholesaled 35 Class 8 Nikola hydrogen fuel cell electric vehicles (FCEVs) during 2023. Assembled in Coolidge, Arizona, the FCEV commenced serial production on July 31, 2023, with the commercial launch on September 28.</t>
    <phoneticPr fontId="1"/>
  </si>
  <si>
    <t>Reported on January 4, UMW Toyota Motor (UMWT) has already discontinued the Toyota Rush SUV in Malaysia. This model has already been removed from the UMWT website, after over 5 years since its local launch. The Toyota Rush was locally assembled by Perodua in Rawang alongside the Perodua Aruz, which continues to be on sale. Rush’s engines and transmissions were made in Sendayan, Negeri Sembilan, as with the Aruz. </t>
    <phoneticPr fontId="1"/>
  </si>
  <si>
    <t>On January 4, EKA Mobility and GreenCell Mobility signed a memorandum of understanding (MoU) to roll out 1,000 intercity electric buses in 12-meter and 13.5-meter categories, in the next few years. These buses will be produced in India in EKA Mobility's Madhya Pradesh and Maharashtra plants. These electric buses expect to save INR 700 million annually on fuel costs and avoid the burning of 12 million gallons of diesel, equivalent to growing 1.5 million trees.</t>
    <phoneticPr fontId="1"/>
  </si>
  <si>
    <t>https://www.marklines.com/en/global/10544</t>
    <phoneticPr fontId="1"/>
  </si>
  <si>
    <t>On January 4, multiple sources reported that the Stellantis powertrain plant in Bielsko-Biała, Poland will shut down by the end of 2024, affecting around 468 jobs due to European Commission regulations on combustion engine emissions and reduced orders for such engines. Stellantis plans to progressively reduce production at the plant throughout 2024. The collective layoffs will impact all the employees from February to December 2024.</t>
    <phoneticPr fontId="1"/>
  </si>
  <si>
    <t>https://www.marklines.com/en/global/1659</t>
    <phoneticPr fontId="1"/>
  </si>
  <si>
    <t>On January 4, Invest in Spain announced that Stellantis plans to enhance sustainability measures by installing wind stations in Zaragoza and photovoltaic panels in Vigo. The Figueruelas factory setting a record in 2023 with over 44,000 electric vehicles produced, will be Spain's largest self-consumption plant next year. With wind stations and existing solar panels, it aims to meet 80% of its electricity needs by 2024, aligning with the Dare Forward 2030 decarbonization plan. Similarly, the Vigo plant will unveil Spain's largest rooftop photovoltaic solar system in 2024, covering 14% of its electricity requirements. Vigo's electric vehicle production surged by 21% in 2023, reinforcing its position in commercial and multipurpose vehicle manufacturing. Additionally, Stellantis' Madrid facility expanded its photovoltaic plant, collectively meeting 35% of its power needs and witnessing a 9% rise in 100% electric Citroën C4 production.</t>
    <phoneticPr fontId="1"/>
  </si>
  <si>
    <t>On January 4, multiple sources reported that the Stellantis Mirafiori plant, body shop workers remain on holiday until January 15, 2024, halting production lines for electric Fiat 500 and Maserati vehicles. Despite earlier considerations of utilizing workers from the Grugliasco factory, currently for sale, Stellantis has opted to keep operations suspended. Following a comprehensive cost-benefit analysis, including energy and heating expenses, the company decided on a four-week "shared holiday" period.</t>
    <phoneticPr fontId="1"/>
  </si>
  <si>
    <t>On January 5, China’s State Administration for Market Regulation announced that Tesla is recalling more than 1.6 million Model S, X, 3 and Y vehicles exported to China. Tesla Motors in Beijing and Shanghai will use remote upgrades to fix the automatic steering assist function on 1.6 million imported Tesla Model S, Model X, Model 3 and Model Ys. The fix for the door unlock logic control, for 7,538 imported Model S and Model X models made in Fremont, California between October 26, 2022 and November 16, 2023, is needed to prevent door latches from coming open during a collision.</t>
    <phoneticPr fontId="1"/>
  </si>
  <si>
    <t>On January 1, Evergrande Auto announced on the Hong Kong Stock Exchange (HKEX) that its share subscription and debt-for-equity exchange agreements with NWTN Inc. (NWTN) headquartered in Dubai, UAE, which were originally scheduled to expire on December 31, 2023, have now lapsed due to the failure of the two parties to agree on an agreement term extension. Evergrande Auto emphasized that despite the lapse of the agreements, negotiations with NWTN and other relevant parties on key terms concerning the transactions remain ongoing. This implies Evergrande Auto and NWTN may still reach new agreements or amend the original agreements. Evergrande Auto said that it will continue to update announcements on a monthly basis until specific intentions regarding amendments to the agreements are finalized or a decision is made not to proceed with these transactions.</t>
    <phoneticPr fontId="1"/>
  </si>
  <si>
    <t>https://www.marklines.com/en/global/9973</t>
    <phoneticPr fontId="1"/>
  </si>
  <si>
    <t>Evergrande</t>
    <phoneticPr fontId="1"/>
  </si>
  <si>
    <t>On January 3, Chery officially launched the Fulwin A8 compact plug-in hybrid sedan, the first Fulwin model. Equipped with a super continuously variable dedicated hybrid transmission (150kW/310Nm), the vehicle delivers a combined system power of 265kW, a combined system torque of 530Nm, a 0 to 100km/h acceleration time in the 7-second range, a CLTC electric-mode range of 127km.</t>
    <phoneticPr fontId="1"/>
  </si>
  <si>
    <t>Togg</t>
    <phoneticPr fontId="1"/>
  </si>
  <si>
    <t>https://www.marklines.com/en/global/10343</t>
    <phoneticPr fontId="1"/>
  </si>
  <si>
    <t>Middle East</t>
    <phoneticPr fontId="1"/>
  </si>
  <si>
    <t>Turkey</t>
    <phoneticPr fontId="1"/>
  </si>
  <si>
    <t>On January 9, Togg unveiled its second model, electric sedan, T10F, at CES 2024. The all-new sedan will be available in both AWD and RWD. The AWD version will be equipped with twin engine delivering 320 kW power, 750 Nm of torque and 0 to 100 km/h acceleration time of 4.6 seconds. The RWD version will be equipped with single motor delivering 160 kW power, 350 Nm of torque, a range of 600 km (based on Togg’s internal tests) and 0 to 100 km/h acceleration time of 7.2 seconds. The battery can be charged from 20% to 80% in 28 minutes using its 180 kW DC charging capability.</t>
    <phoneticPr fontId="1"/>
  </si>
  <si>
    <t>https://www.marklines.com/en/global/10416</t>
    <phoneticPr fontId="1"/>
  </si>
  <si>
    <t>https://www.marklines.com/en/global/1955</t>
    <phoneticPr fontId="1"/>
  </si>
  <si>
    <t>On January 10, SEAT announced that production at its Martorell plant, including Audi A1, increased by 20.9% Y-on-Y to 443,443 in 2023 (2022: 366,764), thanks largely to an improvement in supply chain shortages.</t>
    <phoneticPr fontId="1"/>
  </si>
  <si>
    <t>SEAT</t>
    <phoneticPr fontId="1"/>
  </si>
  <si>
    <t>https://www.marklines.com/en/global/373</t>
    <phoneticPr fontId="1"/>
  </si>
  <si>
    <t>Aichi</t>
  </si>
  <si>
    <t>Toyota Motor Corporation (Toyota) announced on January 10 that it will continue production operations for the week of January 15 at its vehicle plants in Japan as scheduled. Although many local suppliers were affected by the Noto Peninsula earthquake, its vehicle plants started operations as scheduled from January 8 by utilizing parts in stock outside the affected areas. In addition to utilizing parts in stock, operations will be continued based on the restoration status of some of the affected plants. For the week of January 22 onwards, it is assumed operations will continue, and Toyota will make an announcement if there are any changes in the situation.</t>
    <phoneticPr fontId="1"/>
  </si>
  <si>
    <t>https://www.marklines.com/en/global/375</t>
    <phoneticPr fontId="1"/>
  </si>
  <si>
    <t>https://www.marklines.com/en/global/381</t>
    <phoneticPr fontId="1"/>
  </si>
  <si>
    <t>https://www.marklines.com/en/global/379</t>
    <phoneticPr fontId="1"/>
  </si>
  <si>
    <t>https://www.marklines.com/en/global/420</t>
    <phoneticPr fontId="1"/>
  </si>
  <si>
    <t>Miyagi</t>
  </si>
  <si>
    <t>https://www.marklines.com/en/global/424</t>
    <phoneticPr fontId="1"/>
  </si>
  <si>
    <t>Iwate</t>
  </si>
  <si>
    <t>https://www.marklines.com/en/global/393</t>
    <phoneticPr fontId="1"/>
  </si>
  <si>
    <t>Fukuoka</t>
  </si>
  <si>
    <t>https://www.marklines.com/en/global/409</t>
    <phoneticPr fontId="1"/>
  </si>
  <si>
    <t>https://www.marklines.com/en/global/411</t>
    <phoneticPr fontId="1"/>
  </si>
  <si>
    <t>https://www.marklines.com/en/global/413</t>
    <phoneticPr fontId="1"/>
  </si>
  <si>
    <t>Mie</t>
  </si>
  <si>
    <t>https://www.marklines.com/en/global/417</t>
    <phoneticPr fontId="1"/>
  </si>
  <si>
    <t>Gifu</t>
  </si>
  <si>
    <t>https://www.marklines.com/en/global/433</t>
    <phoneticPr fontId="1"/>
  </si>
  <si>
    <t>https://www.marklines.com/en/global/2205</t>
    <phoneticPr fontId="1"/>
  </si>
  <si>
    <t>Germany</t>
    <phoneticPr fontId="1"/>
  </si>
  <si>
    <t>On January 10, BMW Group announced that it will start producing the Neue Klasse sedan at its Munich plant from 2026. The Munich plant will initially produce the Neue Klasse alongside existing models and will manufacture exclusively all-electric vehicles from the end of 2027. BMW will be investing EUR 650 million in four buildings, incorporating a new vehicle assembly line with logistics spaces and a body shop. The production of combustion engines has been relocated to Steyr in Autria and Hams Hall in the UK, to create the space within the limited floor space at the Munich plant. Furthermore, BMW also revealed that following the launch in the new Debrecen, Hungary, and Munich plants, the Neue Klasse vehicles will also undergo production in Shenyang, China, and San Luis Potosí, Mexico.</t>
    <phoneticPr fontId="1"/>
  </si>
  <si>
    <t>Suzuki</t>
    <phoneticPr fontId="1"/>
  </si>
  <si>
    <t>https://www.marklines.com/en/global/1256</t>
    <phoneticPr fontId="1"/>
  </si>
  <si>
    <t>Gujarat</t>
  </si>
  <si>
    <t>On January 10, Suzuki Motor Corporation (Suzuki) announced that Suzuki’s Indian subsidiary, Maruti Suzuki India Ltd has reached an understanding with the State of Gujarat, India for the construction of a new automobile production plant. The new plant in Gujarat is aimed to start operation in FY2028-29. In the future, annual production capacity is expected to become one million units with a total investment amount of INR 350 billion (excluding land acquisition cost). Suzuki also announced the establishment of a fourth production line of Suzuki Motor Gujarat Private Limited (SMG) by investing INR 32 billion, given the increasing production of electric vehicles in the future. The fourth line is expected to start operation in FY2026. With the completion of the fourth line, the annual production capacity of SMG will increase from the current 750,000 units to 1 million units. Combined with the new plant in Gujarat, the total production capacity in the State of Gujarat will be two million units. Suzuki plans to secure a production capacity of approximately four million units in India by FY2030 to prepare for future expansion of the automobile market in India.</t>
    <phoneticPr fontId="1"/>
  </si>
  <si>
    <t>https://www.marklines.com/en/global/1251</t>
    <phoneticPr fontId="1"/>
  </si>
  <si>
    <t>Delhi</t>
  </si>
  <si>
    <t>On January 9, multiple sources reported that the former Hyundai plant in St. Petersburg started preparation of operations after a two-year break. At present, it is engaged in personnel training and equipment maintenance. The stoppage has not been extended. The plant has strength of approximately 800 people.</t>
    <phoneticPr fontId="1"/>
  </si>
  <si>
    <t>https://www.marklines.com/en/global/10671</t>
    <phoneticPr fontId="1"/>
  </si>
  <si>
    <t>Mexico</t>
    <phoneticPr fontId="1"/>
  </si>
  <si>
    <t>Samuel Garcia Sepulveda, governor of Nuevo Leon, estimated that Tesla's gigafactory in Santa Catarina could start construction during the first quarter of 2024, assuring the electoral context will not affect the development of the project and as soon as the preliminary work is done, the construction of the gigafactory will begin. "Internally, within the land, the factory should start (its construction) this quarter".</t>
    <phoneticPr fontId="1"/>
  </si>
  <si>
    <t>On January 9, Tesla has officially launched the newly-upgraded Model 3 in North America. The upgraded Model 3, with a revised exterior and new interior, is now available for order in the U.S., Canada, Mexico, and Puerto Rico, with the previous generation Model 3 being phased out. While updated Model 3 production began first at Gigafactory Shanghai for the Asian and European markets, preproduction ones have also been coming out of the Fremont plant for a while now.</t>
    <phoneticPr fontId="1"/>
  </si>
  <si>
    <t>Lotus</t>
    <phoneticPr fontId="1"/>
  </si>
  <si>
    <t>https://www.marklines.com/en/global/9860</t>
    <phoneticPr fontId="1"/>
  </si>
  <si>
    <t>On January 8, HERE Technologies announced to expansion of its collaboration with Lotus to offer Emeya, the fully electric hyper-GT, with its HERE Navigation application at CES 2024. The Lotus Emeya comes with HERE Navigation's EV Range Assistant package, with features like charge point search, multi-stop routing, and real-time traffic. </t>
    <phoneticPr fontId="1"/>
  </si>
  <si>
    <t>Daimler Truck</t>
    <phoneticPr fontId="1"/>
  </si>
  <si>
    <t>Fuso</t>
    <phoneticPr fontId="1"/>
  </si>
  <si>
    <t>https://www.marklines.com/en/global/589</t>
    <phoneticPr fontId="1"/>
  </si>
  <si>
    <t>Toyama</t>
  </si>
  <si>
    <t>Mitsubishi Fuso Bus Manufacturing Co., Ltd. announced on January 8 the impact of the Noto Peninsula earthquake that occurred on January 1 on its production. No major damage had been confirmed or reported as of the 8th, and the company began production for the new year on the same day after safety inspections. The company is continuing to confirm the status of damage to partner companies affected by the earthquake and the impact on future operations.</t>
    <phoneticPr fontId="1"/>
  </si>
  <si>
    <t>https://www.marklines.com/en/global/3807</t>
    <phoneticPr fontId="1"/>
  </si>
  <si>
    <t>According to multiple press releases dated January 8, Zhejiang Jiaxin Power Technology Co., Ltd. was recently established in Jiaxing, Zhejiang. The new company has a registered capital of CNY 10 million and is jointly owned by Zhejiang Jingneng Microelectronics Co., Ltd. (a Geely subsidiary) and Hangzhou Xingqu Enterprise Management Partnership (Limited Partnership). The business scope includes manufacturing of IC chips and products, manufacturing of power electronic elements, manufacturing of discrete semiconductor devices, and manufacturing of motors.</t>
    <phoneticPr fontId="1"/>
  </si>
  <si>
    <t>Rolls-Royce</t>
    <phoneticPr fontId="1"/>
  </si>
  <si>
    <t>https://www.marklines.com/en/global/2373</t>
    <phoneticPr fontId="1"/>
  </si>
  <si>
    <t>UK</t>
    <phoneticPr fontId="1"/>
  </si>
  <si>
    <t>On January 8, Rolls Royce announced significant investments at Goodwood, UK to increase capabilities and support Coachbuild growth in 2023. After opening Private Offices in Dubai and Shanghai, plans are underway to establish offices in Seoul and North America by 2024, enhancing client engagement and increasing Bespoke demand. Additional investments are slated to modernize manufacturing facilities, preparing for the brand's future all-electric product lineup. In late 2023, Rolls-Royce submitted a planning application for an extension at Goodwood, considering the site's unique location near the Goodwood Estate and the South Downs National Park boundary.</t>
    <phoneticPr fontId="1"/>
  </si>
  <si>
    <t>https://www.marklines.com/en/global/2375</t>
    <phoneticPr fontId="1"/>
  </si>
  <si>
    <t>On January 7, Toyota Motor Corporation (Toyota) announced its plant operation schedule for the new year in Japan in response to the Noto Peninsula Earthquake that occurred on January 1. In regards to the schedule for the week of January 8, Toyota has made the decision to operate its vehicle plants in Japan as scheduled. Many of the company’s local suppliers were affected by the earthquake. Therefore, Toyota will utilize parts in stock outside the affected areas. The company will determine separately concerning operations after January 15, while carefully assessing the situation.</t>
    <phoneticPr fontId="1"/>
  </si>
  <si>
    <t>Dongfeng</t>
    <phoneticPr fontId="1"/>
  </si>
  <si>
    <t>https://www.marklines.com/en/global/3971</t>
    <phoneticPr fontId="1"/>
  </si>
  <si>
    <t>On January 6, a ceremony for the signing of a cathode material project cooperation agreement among Dongfeng Hongtai Holdings Group Co., Ltd. (DFHT, a Dongfeng Motor subsidiary), the Xiangcheng District People’s Government of Xiangyang City, and Guangdong Jinsheng New Energy Co., Ltd. (JSNE) was held in Xiangyang, Hubei. The three parties will launch a cathode material and power battery recycling project with an annual lithium-iron phosphate capacity of 50,000 tons. The core business is the harmless treatment and resource recycling of decommissioned lithium batteries, plus the establishment and improvement of a waste battery recycling system and battery material recycling technology R&amp;D capability for Dongfeng Motor. With a total investment amount of CNY 2 billion, the project will be implemented in two phases.</t>
    <phoneticPr fontId="1"/>
  </si>
  <si>
    <t>Paccar</t>
    <phoneticPr fontId="1"/>
  </si>
  <si>
    <t>Kenworth</t>
    <phoneticPr fontId="1"/>
  </si>
  <si>
    <t>https://www.marklines.com/en/global/899</t>
    <phoneticPr fontId="1"/>
  </si>
  <si>
    <t>On January 5, Paccar announced an investment of USD 50 million in its plant located in Mexicali, in northern Mexico. It will be focused on the creation of a new space to test units produced such as diesel engines, natural gas and EVs. More offices will also be built, generating 200 administrative vacancies in the company and in general, the investment will benefit more than 3,500 employees.</t>
    <phoneticPr fontId="1"/>
  </si>
  <si>
    <t>Temsa</t>
    <phoneticPr fontId="1"/>
  </si>
  <si>
    <t>https://www.marklines.com/en/global/1439</t>
    <phoneticPr fontId="1"/>
  </si>
  <si>
    <t>On January 4, Temsa, partnered with Minespider, to collect key data, integrate Battery Passports, and comply with the new EU Battery Regulation. The Battery Passport is an electronic record containing data regarding a battery. The requirement to establish Battery Passports will be obligatory from 42 months after the regulation goes into force, which is in February 2027. The project involves Battery Regulation readiness assessment, data collection consultancy, integration of the Minespider platform with existing software, setting up Battery Passports for an exemplary battery model, and scaling up the passports across Temsa.</t>
    <phoneticPr fontId="1"/>
  </si>
  <si>
    <t>https://www.marklines.com/en/global/1440</t>
    <phoneticPr fontId="1"/>
  </si>
  <si>
    <t>SAIC</t>
    <phoneticPr fontId="1"/>
  </si>
  <si>
    <t>MG</t>
    <phoneticPr fontId="1"/>
  </si>
  <si>
    <t>https://www.marklines.com/en/global/1159</t>
    <phoneticPr fontId="1"/>
  </si>
  <si>
    <t>On January 10, MG Motors announced at the Vibrant Gujarat Summit 2024 that it is exploring local manufacturing of EV components, establishing a battery assembly unit in the state of Gujarat, and cell manufacturing and hydrogen fuel-cell technology deployments, through joint ventures and third-party collaborations. It also mentioned that it aims to enhance localization, introduce more skilling initiatives, and further boost its production capacity. Further, it is working with many partners to set up EV charging infrastructure and for battery recycling, reuse, and life extension."</t>
    <phoneticPr fontId="1"/>
  </si>
  <si>
    <t>Renault</t>
    <phoneticPr fontId="1"/>
  </si>
  <si>
    <t>https://www.marklines.com/en/global/1089</t>
    <phoneticPr fontId="1"/>
  </si>
  <si>
    <t>Tamil Nadu</t>
  </si>
  <si>
    <t>On January 9, Renault India announced its plans to launch five new products in the next three years. It would include the next generation of Kiger and Triber and entirely 3 new models including a B+ SUV, a C SUV, and a localized electric vehicle. Renault also introduced its 2024 range with updated Kwid, Triber, and Kiger.</t>
    <phoneticPr fontId="1"/>
  </si>
  <si>
    <t>https://www.marklines.com/en/global/10366</t>
    <phoneticPr fontId="1"/>
  </si>
  <si>
    <t>Pakistan</t>
    <phoneticPr fontId="1"/>
  </si>
  <si>
    <t>On January 9, Sazgar Engineering Works, the makers of BAIC and GWM Haval vehicles in Pakistan announced that its board of directors approved to purchase of a piece of land measuring nearly 110 kanals valued at approx. PKR 847 million (subject to actual measurement of land) is adjacent to the four-wheeler project. The chief executive of the company has been authorized to negotiate and finalize the terms and conditions and to fulfill all the legal formalities to complete the said purchase of land.</t>
    <phoneticPr fontId="1"/>
  </si>
  <si>
    <t>https://www.marklines.com/en/global/3125</t>
    <phoneticPr fontId="1"/>
  </si>
  <si>
    <t>Canada</t>
    <phoneticPr fontId="1"/>
  </si>
  <si>
    <t>On January 8, a senior Canadian government member notified local media that federal officials are planning to meet this week with Honda about the possibility of it building an EV factory, with battery plant, in Canada. The upcoming meeting follows others over the last few months. A recent report notes that Honda is considering sites, including one next to its existing factory in Alliston, Ontario and expects to decide by the end of 2024, with the facility going into operation as early as 2028 with investment of CAD 18.6 billion (JPY 2 trillion).</t>
    <phoneticPr fontId="1"/>
  </si>
  <si>
    <t>Nammi</t>
    <phoneticPr fontId="1"/>
  </si>
  <si>
    <t>https://www.marklines.com/en/global/10725</t>
    <phoneticPr fontId="1"/>
  </si>
  <si>
    <t>On January 7, Dongfeng Nammi, a Dongfeng Motor sub-brand, officially launched the Nammi 01, its first small battery electric vehicle (BEV). 31.45kWh and 42.3kWh lithium-iron phosphate batteries complete the respective powertrains of the 330km- and 430km-range variants.</t>
    <phoneticPr fontId="1"/>
  </si>
  <si>
    <t>Galaxy</t>
    <phoneticPr fontId="1"/>
  </si>
  <si>
    <t>https://www.marklines.com/en/global/9811</t>
    <phoneticPr fontId="1"/>
  </si>
  <si>
    <t>On January 6, Geely Galaxy officially launched the new Galaxy E8 flagship battery electric sedan. The 550km-range variants are powered by a 62kWh battery and a permanent magnet synchronous motor, and the 665km-range variants a 76kWh battery, a high-performance silicon carbide electric drive, and a permanent magnet synchronous motor. Both the above sets of variants have an RWD layout and deliver a maximum total output power of 200kW, a maximum total output torque of 343Nm, a 0 to 100km/h acceleration time of 5.95 seconds.</t>
    <phoneticPr fontId="1"/>
  </si>
  <si>
    <t>JAC</t>
    <phoneticPr fontId="1"/>
  </si>
  <si>
    <t>https://www.marklines.com/en/global/10356</t>
    <phoneticPr fontId="1"/>
  </si>
  <si>
    <t>On January 5, Yiwei announced the official delivery of the E10X, the world’s first sodium-ion battery-powered production vehicle. Equipped with a 23.2kWh battery pack consisting of 32140 cylindrical sodium-ion battery cells from Beijing HiNa Battery Technology Co., Ltd., the E10X delivers a CLTC range of 230km and a power consumption close to 10kWh/100km.</t>
    <phoneticPr fontId="1"/>
  </si>
  <si>
    <t>On January 9, Kamaz resumed production after the all-Russian New Year holidays. The company's main assembly line has been launched. During the remaining working days of January, the team plans to produce more than 3,300 cars. In 2024, the company plans to produce a wide range of cars on a sanctions-resistant basis, which is in demand today in the fields of commercial cargo transportation, agriculture, the construction sector, housing, communal services, and other sectors of the Russian economy.</t>
    <phoneticPr fontId="1"/>
  </si>
  <si>
    <t>https://www.marklines.com/en/global/2267</t>
    <phoneticPr fontId="1"/>
  </si>
  <si>
    <t>On January 8, multiple sources reported that the ICE-vehicle production at the Volkswagen Emden factory in Germany, was halted due to nationwide farmers' protests causing significant traffic disruptions. The road blockages prevented employees from reaching the plant. While the exact number of affected employees remains unknown, production of electric cars is set to resume the following week after the Christmas break. Production was scheduled to resume on January 9, 2024.</t>
    <phoneticPr fontId="1"/>
  </si>
  <si>
    <t>https://www.marklines.com/en/global/1177</t>
    <phoneticPr fontId="1"/>
  </si>
  <si>
    <t>On January 8, Hyundai Motor India signed an MoU with the Tamil Nadu Government announcing INR 61.8 billion in investment plans in the state of Tamil Nadu at the Tamil Nadu Global Investors Meet 2024 event. Further, in alignment with the Hyundai Hydrogen Vision, it also signed another MoU to establish a dedicated 'Hydrogen Valley Innovation Hub,' with an investment of INR 1.8 billion, in association with the IIT-Madras. This facility will act as an incubation cell to develop a framework for the localization of the hydrogen ecosystem. Hyundai has showcased the Fuel Cell Electric Vehicles (FCEV) NEXO and an exclusive Advanced Driver Assistance Systems (ADAS) Engagement Zone at the event.</t>
    <phoneticPr fontId="1"/>
  </si>
  <si>
    <t>Reports on January 7 suggest that Honda is considering building an EV plant in Canada in a near JPY 2 trillion (USD 13.83 billion) project that could possibly include in-house production of batteries. Honda is looking at multiple potential sites for the plant, including next to its existing Alliston plant in New Tecumseth, Ontario, and expects to come to a decision by the end of 2024, with the new plant beginning production as soon as 2028. Honda is currently researching new technologies, including solid-state batteries, with many companies with which it may possibly partner for production.</t>
    <phoneticPr fontId="1"/>
  </si>
  <si>
    <t>Alfa Romeo</t>
    <phoneticPr fontId="1"/>
  </si>
  <si>
    <t>https://www.marklines.com/en/global/1323</t>
    <phoneticPr fontId="1"/>
  </si>
  <si>
    <t>On January 5, the Italian Metalworkers Federation (FIM-CISL) announced that starting in 2024, the Stellantis' Mirafiori Plant in Turin will produce electric Folgore versions of Gran Turismo (GT) and Gran Cabrio (GC). The Federation said that it believes these electric versions won't make up for the stop of the Ghibli or Quattroporte. Maserati's Modena plant will maintain production of the MC20 super sports car in 2024 and focus on luxury customization with the "Fuoriserie" project. The Cassino plant prepares for Maserati Grecale BEV production, while new Alfa Romeo models are planned post-2025. Production upgrades are underway, including facility enhancements.</t>
    <phoneticPr fontId="1"/>
  </si>
  <si>
    <t>https://www.marklines.com/en/global/1361</t>
    <phoneticPr fontId="1"/>
  </si>
  <si>
    <t>Isuzu</t>
    <phoneticPr fontId="1"/>
  </si>
  <si>
    <t>https://www.marklines.com/en/global/553</t>
    <phoneticPr fontId="1"/>
  </si>
  <si>
    <t>Kanagawa</t>
  </si>
  <si>
    <t>https://www.marklines.com/en/global/10380</t>
    <phoneticPr fontId="1"/>
  </si>
  <si>
    <t>France</t>
    <phoneticPr fontId="1"/>
  </si>
  <si>
    <t>On January 4, Symbio secured a EUR 93 million revolving credit facility, coordinated by Crédit Agricole CIB Corporate and Investment Bank (CACIB), with partner banks. This follows a EUR 77 million fundraising in 2021, led by Crédit Agricole Leasing &amp; Factoring (CALF) for the Gigafactory in Saint-Fons, France. Supported by Forvia, Michelin, Stellantis, European Union, and French Government, it reinforces Symbio's dedication to hydrogen. The funding will support the Hymotive project, a EUR 1 billion initiative over seven years, aiming for a 100,000-system annual production in France by 2028.</t>
    <phoneticPr fontId="1"/>
  </si>
  <si>
    <t>https://www.marklines.com/en/global/10780</t>
    <phoneticPr fontId="1"/>
  </si>
  <si>
    <t>On January 4, an event for the launch of major industrial projects in Xuzhou in 2024 and the groundbreaking of a BYD Xuzhou sodium-ion battery project was held in the Xuzhou Economic and Technological Development Zone of Jiangsu Province. With a total investment amount of CNY 10 billion, the BYD project will mainly manufacture sodium-ion battery cells, battery packs, and relevant supporting products.</t>
    <phoneticPr fontId="1"/>
  </si>
  <si>
    <t>Yulon Motor</t>
    <phoneticPr fontId="1"/>
  </si>
  <si>
    <t>https://www.marklines.com/en/global/55</t>
    <phoneticPr fontId="1"/>
  </si>
  <si>
    <t>Taiwan</t>
    <phoneticPr fontId="1"/>
  </si>
  <si>
    <t>On Dec. 27, Luxgen Motor Co., Ltd. (Luxgen Motor), a sales subsidiary of Yulon Motor Co., Ltd. (Yulon Motor), released the specifications and equipment list of the  "n⁷" new electric SUV. A partial list was also released in October, but this list is the complete version. The vehicle measures 4,695mm in length, 1,895mm in width, and 1,625mm in height, with a wheelbase of 2,920mm, and is available in 5-seater and 7-seater versions. The drive system uses rear wheel drive (RR). Equipped with a rear motor (maximum output 172kW, maximum torque 340Nm) and lithium iron phosphate (LFP) battery, the cruising range (NEDC mode) is 505km for the 5-seater model and 489km for the 7-seater model. The n⁷ is based on the Model C electric SUV prototype developed by Foxtron Vehicle Technologies, a joint venture between Yulon and Foxconn (Hon Hai Technology Group).</t>
    <phoneticPr fontId="1"/>
  </si>
  <si>
    <t>https://www.marklines.com/en/global/1161</t>
    <phoneticPr fontId="1"/>
  </si>
  <si>
    <t>Maharashtra</t>
  </si>
  <si>
    <t>On January 19, Hyundai Motor India Ltd. (HMIL) officially completed the acquisition and assignment of identified assets at General Motors India's Talegaon Plant in Maharashtra. Further, it signed an MoU with the Government of Maharashtra and committed to invest INR 60 billion in the state. HMIL plans to expand the annual production capacity of the plant and intends to make phased investments to upgrade the existing infrastructure and manufacturing equipment at the Talegaon Plant. Talegaon plant has an existing annual production capacity of 130,000 units and the production is expected to start in 2025.</t>
    <phoneticPr fontId="1"/>
  </si>
  <si>
    <t>https://www.marklines.com/en/global/1343</t>
    <phoneticPr fontId="1"/>
  </si>
  <si>
    <t>On January 18, Molise Region announced that CEO of Automotive Cells Company (ACC) together with other representatives of the company's top management, met with the President of the Molise Region, the Regional Councillor for Productive Activities, the Mayor of Termoli, and the President of the COSIB GmbH industrial consortium. They discussed the next phases of the Termoli Gigafactory project. They discussed a collaboration to overcome the challenges posed by the location of this production plant. ACC stated that a strong collaboration with the national government and local authorities is needed to defend the future competitiveness of the Italian Gigafactory by limiting the costs of the plant and its operation, for example by promoting the availability of renewable and affordable energy and ensuring an efficient and adequate logistics infrastructure.</t>
    <phoneticPr fontId="1"/>
  </si>
  <si>
    <t>Mitsubishi Motors</t>
    <phoneticPr fontId="1"/>
  </si>
  <si>
    <t>Mitsubishi</t>
    <phoneticPr fontId="1"/>
  </si>
  <si>
    <t>https://www.marklines.com/en/global/2033</t>
    <phoneticPr fontId="1"/>
  </si>
  <si>
    <t>Thailand</t>
    <phoneticPr fontId="1"/>
  </si>
  <si>
    <t>Chonburi</t>
  </si>
  <si>
    <t>Announced on January 18, Mitsubishi Motors Thailand celebrated the 7-millionth-unit milestone with the all-new Triton pickup truck model, at the Laemchabang Plant in Chon Buri, which has an annual production capacity of over 400,000 vehicles. Around 80% of its locally assembled vehicles were exported to over 120 countries. Previously, its 1-millionth, 2-millionth, 3-millionth, 4-millionth, 5-millionth, and 6 millionth milestones were achieved in 2003, 2010, 2013, 2015, 2018, and 2021, respectively.</t>
    <phoneticPr fontId="1"/>
  </si>
  <si>
    <t>https://www.marklines.com/en/global/8682</t>
    <phoneticPr fontId="1"/>
  </si>
  <si>
    <t>On January 18, Ford Otosan's worker union, the Turkish Metal Industrialists' Union (MESS), and the Turkish Metal Union signed an agreement, covering the period September 1, 2023 - August 31, 2025. In the agreement, employees with hourly wages below TRY 65 (ca. USD 2.1) will see an adjustment to meet the minimum threshold of TRY 65. Additionally, all employees will receive a relative raise of 32%, followed by a fixed increase of TRY 30 per hour. Furthermore, a one-time severance pay increase of TRY 2 per hour, capped at TRY 30 per hour for the entire year, will be implemented for each period of seniority. For the second six months, wages may see an extra increase if the CPI exceeds 30%. Whereas for the third and fourth six-month periods, the wages will rise by CPI + 3 points. Social aid will increase by 140% in the first year and will be adjusted based on the annual CPI rate in the second year.</t>
    <phoneticPr fontId="1"/>
  </si>
  <si>
    <t>https://www.marklines.com/en/global/1418</t>
    <phoneticPr fontId="1"/>
  </si>
  <si>
    <t>https://www.marklines.com/en/global/1420</t>
    <phoneticPr fontId="1"/>
  </si>
  <si>
    <t>https://www.marklines.com/en/global/1419</t>
    <phoneticPr fontId="1"/>
  </si>
  <si>
    <t>https://www.marklines.com/en/global/10274</t>
    <phoneticPr fontId="1"/>
  </si>
  <si>
    <t>On January 17, Automotive Cells Company (ACC), and Circulor, the leading supply chain traceability solution, announced their partnership to prove the provenance, material journey, and embedded carbon emissions of the raw materials ACC uses in its battery cells. Gathering granular production data and embedded carbon emissions across ACC's supply chains will accelerate proof of responsible sourcing and compliance with global regulations. The agreement includes supply chain mapping and material traceability, as well as embedded carbon emission and due diligence reporting, and battery passport creation through Circulor's PROVE platform. These services will be sequenced over an initial three-year period covering all principal battery materials including lithium, graphite, cobalt, and nickel.</t>
    <phoneticPr fontId="1"/>
  </si>
  <si>
    <t>https://www.marklines.com/en/global/10614</t>
    <phoneticPr fontId="1"/>
  </si>
  <si>
    <t>Volvo Cars</t>
    <phoneticPr fontId="1"/>
  </si>
  <si>
    <t>https://www.marklines.com/en/global/2727</t>
    <phoneticPr fontId="1"/>
  </si>
  <si>
    <t>Sweden</t>
    <phoneticPr fontId="1"/>
  </si>
  <si>
    <t>On January 17, MobilityXlab announced that automotive leaders CEVT, Polestar, and Volvo Group will collaborate on a proof-of-concept project with Reselo, a Swedish startup that uses birch bark to produce a low-emission alternative to rubber. The co-creation project will be facilitated by MobilityXlab. The rubber developed by Reselo, founded in 2020 in Halmstad, Sweden is manufactured entirely from birch bark, a byproduct of the forestry industry. This elastomer utilizes 100% biomass residue, offering a more sustainable alternative to fossil-based counterparts.</t>
    <phoneticPr fontId="1"/>
  </si>
  <si>
    <t>Polestar</t>
    <phoneticPr fontId="1"/>
  </si>
  <si>
    <t>https://www.marklines.com/en/global/10761</t>
    <phoneticPr fontId="1"/>
  </si>
  <si>
    <t>https://www.marklines.com/en/global/1687</t>
    <phoneticPr fontId="1"/>
  </si>
  <si>
    <t>On January 17, Stellantis launched production of fully electric large commercial vehicles in Gliwice. The first fully electric delivery vehicle to roll off the factory's production line is the Fiat Professional e-Ducato. It has a 110-kWh battery, which provides a range of up to 420 km. The new drive system is complemented by a new drive unit generating up to 200 kW of power (270 HP) combined with a torque of 410 Nm. Production of the Fiat Professional e-Ducato takes place in a completely new plant. The facility is equipped with one of the largest industrial robots in Europe, modern energy-saving printing technologies, as well as highly effective quality processes, and a new high-speed test track.</t>
    <phoneticPr fontId="1"/>
  </si>
  <si>
    <t>https://www.marklines.com/en/global/3431</t>
    <phoneticPr fontId="1"/>
  </si>
  <si>
    <t>According to multiple press releases dated January 17, Beijing Hyundai sold its Chongqing Plant to Chongqing Liangjiang New Area Yufu Industrial Park Construction Investment Co., Ltd. at CNY 1.62 billion. Hyundai Motor said that this move aims at adjusting the operation model of its plants in China in a reasonable manner for increased benefits. </t>
    <phoneticPr fontId="1"/>
  </si>
  <si>
    <t>https://www.marklines.com/en/global/10720</t>
    <phoneticPr fontId="1"/>
  </si>
  <si>
    <t>https://www.marklines.com/en/global/9219</t>
    <phoneticPr fontId="1"/>
  </si>
  <si>
    <t>Guangxi Automobile</t>
    <phoneticPr fontId="1"/>
  </si>
  <si>
    <t>https://www.marklines.com/en/global/10446</t>
    <phoneticPr fontId="1"/>
  </si>
  <si>
    <t>Guangxi</t>
  </si>
  <si>
    <t>On January 16, Liuzhou Wuling NEA completed a CNY 360 million strategic financing. The financing was invested by GIG Asset Management, Xuchang Jintou Holding Group, and Guangzhou Ruizi Venture Capital Management while including a capital increase from Wuling Motors, an existing shareholder of Liuzhou Wuling NEA. The funds raised will be used for R&amp;D of New Energy Vehicles (NEVs), construction of platforms for intelligent connectivity and V2X (Vehicle to Everything).</t>
    <phoneticPr fontId="1"/>
  </si>
  <si>
    <t>Farizon</t>
    <phoneticPr fontId="1"/>
  </si>
  <si>
    <t>https://www.marklines.com/en/global/9345</t>
    <phoneticPr fontId="1"/>
  </si>
  <si>
    <t>Sichuan</t>
  </si>
  <si>
    <t>On January 16, Farizon signed a strategic cooperation agreement with the Handan Municipal People’s Government of Hebei Province, the People’s Government of Ci County, and Windey Energy Technology Group Co., Ltd. (Windey). According to the agreement, all parties will co-build a demonstration area for green methanol preparation in Handan. This cooperative project will be linked to other projects such as the Windey zero-carbon high-end equipment comprehensive industrial park and the Farizon Handan regional plant, covering an industrial chain with an output value of over CNY 100 billion. Officially breaking ground in 2023, the Farizon Handan regional plant is planned for completion in Q1 2024.</t>
    <phoneticPr fontId="1"/>
  </si>
  <si>
    <t>https://www.marklines.com/en/global/9578</t>
    <phoneticPr fontId="1"/>
  </si>
  <si>
    <t>On January 16, Seres Group signed a strategic cooperation agreement with Chongqing University (CQU) at the group’s headquarters. According to the agreement, the two parties will conduct in-depth cooperation on talented personnel cultivation, technology innovation, and more in the intelligent manufacturing, New Energy Vehicle (NEV), and intelligent connected vehicle (ICV) industries. Also signed were an implementation agreement on industry-education integration in the NEV and ICV industries for exploration of cutting-edge technologies and research on engineering problems. The two parties will establish and inaugurate joint labs for NEVs, ICVs, advanced manufacturing, and vehicle carbon neutrality.</t>
    <phoneticPr fontId="1"/>
  </si>
  <si>
    <t>On January 16, the 2024 BYD Dream Day was held, where the new Integrated Vehicle Intelligence strategy for New Energy Vehicle (NEV) intelligentization and a multitude of technological achievements were unveiled. The Xuanji Architecture, the industry’s first architecture to integrate intelligence with electrification. The new DiPilot intelligent driving platform is named after the chip’s computing power. In the future, BYD models will make the world debut of cockpit-driving integrated chips with a high computing power of 1,000TOPS and 2,000TOPS, respectively. Products and features, such as the new DiLink intelligent cockpit, the world’s first vehicle-mounted UAS (Unmanned Aircraft System) co-developed with DJI Automotive were launched as well.</t>
    <phoneticPr fontId="1"/>
  </si>
  <si>
    <t>Sollers</t>
    <phoneticPr fontId="1"/>
  </si>
  <si>
    <t>https://www.marklines.com/en/global/799</t>
    <phoneticPr fontId="1"/>
  </si>
  <si>
    <t>On January 15, Sollers Alabuga LLC received a preferential loan of RUB 3.4 billion from the Industrial Development Fund (IDF) for the implementation of a project for the production of stamped body parts for Sollers Atlant and Sollers Argo cars. Serial production of stamped components using Russian steel will be launched in the second quarter of 2025 at the site of the local project partner. It will localize technological operations for stamping about 120 parts for the body and cabin of Sollers commercial vehicles. The total production volume for the needs of the Sollers Atlant and Sollers Argo models will be up to 40 thousand sets per year.</t>
    <phoneticPr fontId="1"/>
  </si>
  <si>
    <t>https://www.marklines.com/en/global/687</t>
    <phoneticPr fontId="1"/>
  </si>
  <si>
    <t>https://www.marklines.com/en/global/9892</t>
    <phoneticPr fontId="1"/>
  </si>
  <si>
    <t>Algeria</t>
    <phoneticPr fontId="1"/>
  </si>
  <si>
    <t>On January 14, the Minister of Industry and Pharmaceutical Production, Algeria visited the bus and truck manufacturing plant in Batna. The factory stopped working in 2021. He asked factory officials to prepare a road map to put this factory into operation as soon as possible. The officials ensured that the factory will be operational during the first six months of 2024. The unit plans to assemble CKD kits for tourist and utility vehicles. It is equipped with forging, installation, and painting workshops in addition to a forging unit prepared to manufacture the metal elements.</t>
    <phoneticPr fontId="1"/>
  </si>
  <si>
    <t>https://www.marklines.com/en/global/359</t>
    <phoneticPr fontId="1"/>
  </si>
  <si>
    <t>Indonesia</t>
    <phoneticPr fontId="1"/>
  </si>
  <si>
    <t>Reported on January 11, PT Toyota Motor Manufacturing Indonesia (TMMIN) revealed that over 285,000 Indonesia-made Toyota cars, including electrified vehicles, were exported to around 100 countries in Asia, South America, Africa, the Middle East, Australia, and Oceania, (down 3% YoY). The mentioned challenges  included the global economic situation with an economic crisis to combat inflation, as well as geo-political conflicts in several countries that also disrupted global supply chains. Toyota Kijang Innova Zenix Hybrid recorded export figures of almost 3,000 units in 2023. Meanwhile, the new Yaris Cross Hybrid variant noted over 6,400 units exported. Besides CBU vehicles, Toyota Indonesia also exports vehicles in CKD forms, engines, components, and other production support tools (dies &amp; jigs). TMMIN is targeting its 2024 export performance to match the 2023 level or grow by 3%. TMMIN also carries out various expansion activities to optimize export performance, such as adding export destination countries to non-traditional markets as well as diversifying vehicle export models such as the Fortuner cash carrier to Vietnam and the Fortuner Escort to Palau.</t>
    <phoneticPr fontId="1"/>
  </si>
  <si>
    <t>https://www.marklines.com/en/global/363</t>
    <phoneticPr fontId="1"/>
  </si>
  <si>
    <t>Nissan</t>
    <phoneticPr fontId="1"/>
  </si>
  <si>
    <t>https://www.marklines.com/en/global/3189</t>
    <phoneticPr fontId="1"/>
  </si>
  <si>
    <t>Tennessee</t>
  </si>
  <si>
    <t>At a January 11 meeting Nissan North America told suppliers it expects a 20% average reduction in the cost of parts for the fourth-generation Rogue, scheduled to begin production in late 2026. Nissan said it is considering moving U.S. production of the next-gen Rogue from Smyrna, Tennessee to Kyushu to Japan if it cannot lower its purchasing costs. Nissan asked suppliers to submit price quotes by January 19, while it presents its manufacturing cost plan to Nissan Motor Co. executives by the end of January, for a decision expected sometime in February. Nissan's two U.S. plants in Smyrna and Canton, Mississippi, are currently at 52% combined capacity utilization.</t>
    <phoneticPr fontId="1"/>
  </si>
  <si>
    <t>GM</t>
    <phoneticPr fontId="1"/>
  </si>
  <si>
    <t>https://www.marklines.com/en/global/2541</t>
    <phoneticPr fontId="1"/>
  </si>
  <si>
    <t>On January 11, in a filing with the U.S. National Highway Traffic Safety Administration (NHTSA), GM said it is recalling 66 of the 2022 model year EV600 (now called Zevo 600) BrightDrop delivery trucks, after the electric drive units on at least two of them, owned by a single GM fleet customer, caught fire in December 2023. In 2023, BrightDrop delivered 497 total vans, 483 of which were the larger Zevo 600 models and 14 were the smaller Zevo 400 models. GM had invested USD 800 million to convert the CAMI Assembly plant in Canada to an EV factory to build the BrightDrop vans.</t>
    <phoneticPr fontId="1"/>
  </si>
  <si>
    <t>VW Group</t>
    <phoneticPr fontId="1"/>
  </si>
  <si>
    <t>https://www.marklines.com/en/global/10750</t>
    <phoneticPr fontId="1"/>
  </si>
  <si>
    <t>On January 17, multiple sources reported that Northvolt had signed an agreement for a planned battery cell factory in Germany. It has reached an agreement with the municipalities of Lohe-Rickelshof and Norderwöhrden. It will build a factory near Heide in Schleswig-Holstein. It will create 3,000 jobs. However, Northvolt has to obtain building permits from the responsible authorities.</t>
    <phoneticPr fontId="1"/>
  </si>
  <si>
    <t>On January 17, the representative of Automotive Cells Company (ACC) met with the Italian Minister of Industry and Made in Italy, to discuss the progress and the potential of the Termoli Gigafactory project. ACC is looking forward to starting the construction work on this facility in the coming months, and to launching the production in 2026. The project will also create significant economic and social benefits for the region of Molise and Italy as a whole, representing more than EUR 2 billion of investment and employment of at least 1,800 jobs by 2030.</t>
    <phoneticPr fontId="1"/>
  </si>
  <si>
    <t>https://www.marklines.com/en/global/2145</t>
    <phoneticPr fontId="1"/>
  </si>
  <si>
    <t>On January 17, IG Metall, a dominant workers' union, launched strikes at the Ford Saarlouis plant in Germany. IG Metall demanded clarity and social security for all 5,000 employees at the plant, including the supply chain employees. The strikes were announced as still nothing is known about the reliable investor solution or the future of Ford's Saarlouis location. The workers union planned to strike at factory gates but due to bad weather, the strike moved inside the Ford factory, bringing production to a standstill. IG Metall has turned one planned rally into three, to build more pressure on the Ford management. The next warning strikes will take place on January 18, and January 19, 2024.</t>
    <phoneticPr fontId="1"/>
  </si>
  <si>
    <t>Kia</t>
    <phoneticPr fontId="1"/>
  </si>
  <si>
    <t>https://www.marklines.com/en/global/3145</t>
    <phoneticPr fontId="1"/>
  </si>
  <si>
    <t>Georgia</t>
  </si>
  <si>
    <t>On January 17, Kia presented its all-new 2024 EV9 three-row EV SUV. Arriving at dealerships now with limited availability, the EV9 is available in Light, Light Long Range RWD, Wind, Land, and GT-Line trim levels, offered in two battery sizes and rear-wheel drive or dual-motor AWD configurations. While initially imported from Korea with two powertrain options, the EV9 is expected to be assembled in Kia’s plant in West Point, Georgia later in 2024.</t>
    <phoneticPr fontId="1"/>
  </si>
  <si>
    <t>https://www.marklines.com/en/global/1741</t>
    <phoneticPr fontId="1"/>
  </si>
  <si>
    <t>Czech Republic</t>
    <phoneticPr fontId="1"/>
  </si>
  <si>
    <t>On January 17, Skoda Auto announced the beginning of production of the second generation of the Kodiaq SUV at Kvasiny, Czech Republic. For this, the Kvasiny plant invested EUR 49 million for modernizing the production line and welding shop. Some of the main arrangements made in the production line are updates to manipulators, chassis assembly, conveyor technologies, and the refinement of robot functions for applying window glue. This investment also includes arrangements for the manufacturing of the upcoming Kodiaq iV, equipped with a plug-in hybrid powertrain. The Kvasiny plant has relocated the Superb SUV production to the VW plant in Bratislava, freeing up capacity at Kvasiny to produce an additional 150,000 units annually of the Karoq and Kodiaq SUV models. As a result, the plant is now capable of manufacturing up to 410 Kodiaqs per day.</t>
    <phoneticPr fontId="1"/>
  </si>
  <si>
    <t>https://www.marklines.com/en/global/1771</t>
    <phoneticPr fontId="1"/>
  </si>
  <si>
    <t>Slovakia</t>
    <phoneticPr fontId="1"/>
  </si>
  <si>
    <t>https://www.marklines.com/en/global/3415</t>
    <phoneticPr fontId="1"/>
  </si>
  <si>
    <t>According to multiple press releases dated January 15, the Huawei-BAIC Group cooperative brand is likely to be named “Xiangjie”. Positioned as a mid-to-large-size sedan, the first Xiangjie model will be officially launched before the Auto China 2024 in April 2024. The Huawei-JAC Group cooperative brand is likely to be named “Aojie” and is currently developing three large vehicles that cover the sedan, SUV, and MPV categories. The launch of the first Aojie model will be advanced to Q4 2024.</t>
    <phoneticPr fontId="1"/>
  </si>
  <si>
    <t>https://www.marklines.com/en/global/3865</t>
    <phoneticPr fontId="1"/>
  </si>
  <si>
    <t>Stellantis (US)</t>
    <phoneticPr fontId="1"/>
  </si>
  <si>
    <t>Chrysler</t>
    <phoneticPr fontId="1"/>
  </si>
  <si>
    <t>https://www.marklines.com/en/global/2671</t>
    <phoneticPr fontId="1"/>
  </si>
  <si>
    <t>On January 15, Martinrea confirmed that it has closed its Martinrea Fabco Metallic plant in Dresden, Ontario after Stellantis’ decision to discontinue some vehicles. Its location was about halfway between a Jeep factory in Detroit and the Brampton Assembly Plant, and didn’t have enough work left when Stellantis ended production of the Chrysler 300, Dodge Charger and Dodge Challenger in December.</t>
    <phoneticPr fontId="1"/>
  </si>
  <si>
    <t>Dodge</t>
    <phoneticPr fontId="1"/>
  </si>
  <si>
    <t>Jeep</t>
    <phoneticPr fontId="1"/>
  </si>
  <si>
    <t>https://www.marklines.com/en/global/3633</t>
    <phoneticPr fontId="1"/>
  </si>
  <si>
    <t>On January 12, Volvo Cars and the ICBC Peony Credit Card Center held a strategic cooperation agreement signing ceremony in Beijing. Based on digital transformation, the two parties will innovate high-end and intelligent financial services. They will co-create an online-offline integrated ecosystem for auto finance.</t>
    <phoneticPr fontId="1"/>
  </si>
  <si>
    <t>https://www.marklines.com/en/global/10393</t>
    <phoneticPr fontId="1"/>
  </si>
  <si>
    <t>On January 11, Geely Auto officially launched the new Okavango Pro compact SUV. Equipped with a 1.5TD turbocharged engine (133kW/290Nm) and a next-generation 7-speed wet dual-clutch transmission, the Okavango Pro has a front-engine FWD layout and delivers a WLTC combined fuel consumption of 6.85L/100km.</t>
    <phoneticPr fontId="1"/>
  </si>
  <si>
    <t>On January 16, the Government of Udmurt Republic announced that AvtoVAZ's Izhevsk plant currently employs 1,502 people. In May 2024, according to the plant's plans, the number of personnel should increase to 3,000 people. In 2024, the mass production of the Lada Largus electric car will be launched, and the car plant will reach production volumes of up to 50,000 Lada Largus and e-Largus cars per year. This project provides investments in the economy of the region amounting to more than 2 billion rubles.</t>
    <phoneticPr fontId="1"/>
  </si>
  <si>
    <t>On January 16, the Ministry of Industry and Trade of the Russian Federation held a meeting on the prospects for localization of Chinese automobile brands in Russia in terms of auto electronics. The meeting took place on the territory of the AvtoVAZ plant in Tolyatti. The main issue was the discussion of the possibilities of introducing Russian deeply localized auto electronics into cars using Chinese platform solutions. During the meeting, it was also decided to formulate a localization schedule among Chinese automakers planning to organize production in the Russian Federation.</t>
    <phoneticPr fontId="1"/>
  </si>
  <si>
    <t>Valmet</t>
    <phoneticPr fontId="1"/>
  </si>
  <si>
    <t>https://www.marklines.com/en/global/2749</t>
    <phoneticPr fontId="1"/>
  </si>
  <si>
    <t>Finland</t>
    <phoneticPr fontId="1"/>
  </si>
  <si>
    <t>On January 16, Valmet Automotive announced that it had concluded the negotiations concerning the reduction of the workforce at the Uusikaupunki plant, resulting in 115 redundancies, of which 20 were dismissals and the rest were temporary layoffs until further notice. The measures will be implemented in January–February 2024. The change negotiations were initiated due to a decline in vehicle contract manufacturing services and a lower-than-expected number of new customer projects. After the negotiations, about 1,200 employees will work at Valmet Automotive's car plant in Uusikaupunki. The negotiations did not concern car plant production employees and the company's battery plants.</t>
    <phoneticPr fontId="1"/>
  </si>
  <si>
    <t>On January 15, Novikombank, the supporting bank of the Rostec State Corporation, announced that it will finance investment projects of industrial enterprises for the production of priority products. Novikombank will provide preferential financing to the largest passenger car manufacturer in Russia, JSC AvtoVAZ, for the development and launch into mass production of a modern family of LADA Iskra cars on a new localized platform. The automaker plans to begin sales of a new line of compact-class cars in 2025.</t>
    <phoneticPr fontId="1"/>
  </si>
  <si>
    <t>https://www.marklines.com/en/global/9893</t>
    <phoneticPr fontId="1"/>
  </si>
  <si>
    <t>On January 14, the Government organization Wilaya De Batna announced that the Minister of Industry and the Governor of Patna visited the Kia Patna plant and inspected it. The minister said that the public authorities will do their best to gradually open the factory before the holy month of Ramadan. In May 2020, Kia decided to shut down this plant due to supply disruptions after the Algerian government decided to impose a ban on the import of auto spare parts. Launched in 2018, the plant can assemble 50,000 vehicles per year.</t>
    <phoneticPr fontId="1"/>
  </si>
  <si>
    <t>FAW</t>
    <phoneticPr fontId="1"/>
  </si>
  <si>
    <t>https://www.marklines.com/en/global/3349</t>
    <phoneticPr fontId="1"/>
  </si>
  <si>
    <t>Jilin</t>
  </si>
  <si>
    <t>On January 14, FAW Jiefang signed a strategic cooperation framework agreement on a micro vehicle project with Jilin Jiqi Longshan Light Vehicle Co., Ltd.. The two parties will cooperate on new product development, vehicle manufacturing, and exploitation of overseas micro vehicle markets and China’s New Energy micro vehicle market. FAW Jiefang will deepen business connections with Jilin’s industries such as vehicle manufacturing, parts and components, automobiles, and new materials and further increase its investment distribution in the city.</t>
    <phoneticPr fontId="1"/>
  </si>
  <si>
    <t>On January 12, Toyota Motor Corporation (Toyota) held the world premiere of its evolved GR Yaris at Tokyo Auto Salon 2024, a customized car event which was held from January 12 to 14. Sales in Japan of the evolved GR Yaris are scheduled to start this spring. The newly developed 8-speed GAZOO Racing Direct Automatic Transmission (GR-DAT) has joined the GR Yaris lineup. The use of highly heat-resistant friction material in the automatic transmission's gear-shift clutch and enhancements to the transmission's control software have resulted in world-class gear-shifting speeds. In addition, the control panel and display have been tilted 15 degrees toward the driver for enhanced visibility and operability. </t>
    <phoneticPr fontId="1"/>
  </si>
  <si>
    <t>https://www.marklines.com/en/global/4125</t>
    <phoneticPr fontId="1"/>
  </si>
  <si>
    <t>On January 11, multiple sources reported that BYD is using a dedicated car carrier to export vehicles to Europe. The BYD Explorer No. 1 is the first Chinese-made ship designed to carry domestic electric vehicles overseas. It is capable of carrying 7,000 cars. The ship sailed from Shenzhen port to deliver vehicles to Europe.</t>
    <phoneticPr fontId="1"/>
  </si>
  <si>
    <t>https://www.marklines.com/en/global/4055</t>
    <phoneticPr fontId="1"/>
  </si>
  <si>
    <t>Hunan</t>
  </si>
  <si>
    <t>According to multiple press releases dated January 10, three sample Binyue PHEV SUVs manufactured at Hunan Geely Automobile Components Co., Ltd. (newly renamed Zhejiang Haoqing Automotive Manufacturing Co., Ltd.) recently arrived in Algeria, marking the first time Geely has exported finished vehicles to the country. At the end of 2023, Geely successfully obtained qualification to export finished vehicles to Algeria. A concerned Geely spokesperson said that the automaker will continue to increase exports to Algeria and strive to invest and build plants in the country.</t>
    <phoneticPr fontId="1"/>
  </si>
  <si>
    <t>https://www.marklines.com/en/global/10792</t>
    <phoneticPr fontId="1"/>
  </si>
  <si>
    <t>Henan</t>
  </si>
  <si>
    <t>According to multiple press releases dated January 9, a ceremony for the inauguration of SAIC Power Tech was held in Zhengzhou, Henan. SAIC Power Tech with an investment amount of around CNY 3 billion, aims at providing the latest powertrains for SAIC Motor finished vehicle projects. The company mainly manufactures engines and batteries, with an annual capacity of 600,000 units in two phases for the former and an initially planned annual capacity of 300,000 units for the latter.</t>
    <phoneticPr fontId="1"/>
  </si>
  <si>
    <t>https://www.marklines.com/en/global/2443</t>
    <phoneticPr fontId="1"/>
  </si>
  <si>
    <t>Korea</t>
    <phoneticPr fontId="1"/>
  </si>
  <si>
    <t>Kia Coprporation (Kia) has decided the name of its new PBV (Purpose Built Vehicle) plant, scheduled to start operations in 2025 at its Hwaseong Plant site. The name is EVO Plant, derived from the word evolution. The EVO Plant will function as a smart factory, applying digital and robotic technology and combining conveyor systems and cell production methods.</t>
    <phoneticPr fontId="1"/>
  </si>
  <si>
    <t>https://www.marklines.com/en/global/2435</t>
    <phoneticPr fontId="1"/>
  </si>
  <si>
    <t>According to multiple Korean media outlets, Hyundai Motor Co., Ltd. (Hyundai) will temporarily suspend production at  Plant 3 in Ulsan for two weeks, from February 4th to 18th. Facility construction will be carried out in preparation for production of the Kona HV and Tucson HV, which had been in production at Plant 1 and Plant 5 on the Ulsan Plant site. As a result, production of the Avante, AvanteN, and Avante Hybrid produced at Plant 3 will be suspended for two weeks. In addition, in line with the progress of electrification, operations at the Ulsan Forging Plants 1 and 2, which produce engine components for internal combustion engines on the Ulsan Plant site, will be suspended in January and October this year, respectively, and workers will be preferentially assigned to the new Hypercast plant.</t>
    <phoneticPr fontId="1"/>
  </si>
  <si>
    <t>https://www.marklines.com/en/global/2439</t>
    <phoneticPr fontId="1"/>
  </si>
  <si>
    <t>According to multiple South Korean media outlets on January 5, the Hyundai Motor Co., Ltd. (Hyundai) Jeonju Plant, which produces buses, began construction of production facilities on December 30th. The company will downsize the existing production lines that assemble diesel and CNG (compressed natural gas) buses and increase the production of electric and hydrogen buses. The construction period will be seven weeks, until February 16th. This construction work is a result of the decision to end production of internal combustion engine buses. In line with the shift to environmentally friendly vehicles, Hyundai has decided to stop production of buses that run on diesel fuel and CNG from 2024, and will significantly increase production of electric and hydrogen buses from 2023. In the future, Hyundai Motor's Commercial Vehicles Division aims to make all of its commercial vehicle models environmentally friendly.</t>
    <phoneticPr fontId="1"/>
  </si>
  <si>
    <t>https://www.marklines.com/en/global/10365</t>
    <phoneticPr fontId="1"/>
  </si>
  <si>
    <t>On January 16, Northvolt announced the signing of a USD 5 billion non-recourse project financing to enable the expansion of Northvolt Ett in northern Sweden. The deal represents the largest green loan raised in Europe to date. This financing package means that Northvolt has now secured more than USD 13 billion in equity and debt to enable its expansion in Europe and North America. The finance package will also enable the expansion of the adjacent recycling plant, Revolt Ett, which is approaching the conclusion of its commissioning and is processing its first materials.</t>
    <phoneticPr fontId="1"/>
  </si>
  <si>
    <t>On January 16, multiple sources reported that Hyundai Motor had committed an investment of INR 70 billion to revamp its recently acquired second plant from General Motors last year in Talegaon, Pune. The formal agreement is expected to be signed at the annual World Economic Forum summit in Davos, Switzerland. The facility had remained inactive for an extended period, owing to issues related to divestment after withdrawing from the Indian market.</t>
    <phoneticPr fontId="1"/>
  </si>
  <si>
    <t>On January 15, multiple sources reported that Stellantis will stop 500e and Maserati production lines in the Mirafiori plant from February 12 to March 3, 2024, to adapt production flows to temporary variations in market demand. The stop will impact 2,260 employees of the body shops. They will be on layoffs for three weeks.</t>
    <phoneticPr fontId="1"/>
  </si>
  <si>
    <t>https://www.marklines.com/en/global/10650</t>
    <phoneticPr fontId="1"/>
  </si>
  <si>
    <t>On January 15, PowerCo Spain announced that it has built new offices in the Sagunto site. The first employees from the construction team, as well as some of the health and safety managers, will be located here. However, the majority of the team will continue working from the office in the heart of Valencia. The preparatory work, such as the temporary office, electrical and water connections, etc., will be completed in a few weeks. Subsequently, PowerCo Spain will commence with the foundation works for the first phases of the gigafactory.</t>
    <phoneticPr fontId="1"/>
  </si>
  <si>
    <t>https://www.marklines.com/en/global/1793</t>
    <phoneticPr fontId="1"/>
  </si>
  <si>
    <t>Hungary</t>
    <phoneticPr fontId="1"/>
  </si>
  <si>
    <t>On January 15, multiple sources reported that Suzuki would stop production at its Hungary plant, from January 15, 2024, to January 21, 2024, due to supply shortages caused by the Red Sea conflict. The Esztergom plant plans to resume manufacturing operations from January 22, 2024. Suzuki's decision to suspend production follows other automakers, like Tesla and Volvo Cars, which have also announced factory closures due to the Red Sea conflict.</t>
    <phoneticPr fontId="1"/>
  </si>
  <si>
    <t>On January 15, KAMAZ PJSC completed the implementation of an automatic monitoring and control system for the production of PIFI in the forging and press building of the forging plant in Naberezhnye Chelny, Russia. The comprehensive MES-class IT solution was developed and implemented by KAMAZ Digital. The PIFI system enhances production efficiency through real-time monitoring of workshop conditions, and online control of the execution of production operations, ensuring full transparency of the production process. The system also provides real-time distribution of daily shift assignments, tracking of production progress, and information regarding ongoing production and work in progress. The PIFI system will also be deployed at the pilot production of KAMAZ PJSC from February 2024.</t>
    <phoneticPr fontId="1"/>
  </si>
  <si>
    <t>ORA</t>
    <phoneticPr fontId="1"/>
  </si>
  <si>
    <t>https://www.marklines.com/en/global/1995</t>
    <phoneticPr fontId="1"/>
  </si>
  <si>
    <t>Rayong</t>
  </si>
  <si>
    <t>On January 12, Great Wall Motor held “the first new Ora Good Cat line-off ceremony in Thailand for Thailand” at its smart factory in Rayong province. Deliveries will begin in January 2024. This BEV is available in 3 variants, namely the Pro, the Ultra, and the GT.</t>
    <phoneticPr fontId="1"/>
  </si>
  <si>
    <t>On January 11, Dongfeng Motor (DFM) announced that the world’s first Dongfeng Honda intelligent battery electric vehicle (BEV) plant in Wuhan is about to be completed and is expected to be commissioned in 2024, with an initial annual capacity of 120,000 units. Upon completion, the plant will manufacture the new e:N-series BEVs. In 2024, Dongfeng Honda will launch three BEVs including the e:NS2 on the market.</t>
    <phoneticPr fontId="1"/>
  </si>
  <si>
    <t>On January 11, during the morning press conference of the president of Mexico, the director of the Federal Electricity Commission (CFE), Manuel Bartlett, announced that the state company has enough energy to serve all companies that wish to establish themselves in the country due to the nearshoring phenomenon. In addition, Bartlett also commented that the CFE is working hand in hand with local governments on different projects, including the Bajío area with industrial corridors and Nuevo León with the processing of permits for the Tesla plant, among others.</t>
    <phoneticPr fontId="1"/>
  </si>
  <si>
    <t>https://www.marklines.com/en/global/9813</t>
    <phoneticPr fontId="1"/>
  </si>
  <si>
    <t>On January 8, the first locally produced vehicles of Foton Zhilan successfully rolled off the production line at a modern equipment manufacturing site in Shangqiu, Henan. It is expected that Foton Zhilan will achieve an annual New Energy Vehicle (NEV) production volume and output value of 30,000 units and CNY 4.5 billion, respectively, in 2024 and 60,000 units and CNY 8 billion, respectively, in 2025.</t>
    <phoneticPr fontId="1"/>
  </si>
  <si>
    <t>On January 8, Farizon signed a strategic cooperation agreement on the co-development of the New Energy industry with several Chinese institutions. According to the agreement, all parties will plan for, invest in, and build full-industrial-chain projects on photovoltaic power generation, wind power generation, energy storage, green hydrogen-ammonia-alcohol integration, manufacturing and application of New Energy Vehicles (NEVs) and their accessories, charging and refueling stations for NEVs, and more.</t>
    <phoneticPr fontId="1"/>
  </si>
  <si>
    <t>Hozon Auto</t>
    <phoneticPr fontId="1"/>
  </si>
  <si>
    <t>Neta</t>
    <phoneticPr fontId="1"/>
  </si>
  <si>
    <t>https://www.marklines.com/en/global/10768</t>
    <phoneticPr fontId="1"/>
  </si>
  <si>
    <t>On January 12, NexV Manufacturing held the groundbreaking ceremony for its new energy vehicles (NEVs) manufacturing plant in the Chembong Industrial Area in Rembau, Negeri Sembilan, Malaysia. Besides the Neta-branded models, other commercial vehicle brands that have already confirmed their CKD production of EVs at this upcoming plant are Higer and Yutong, which are locally distributed by GVT, a JV company between W&amp;R Resources and Careplus Group. Currently, both brands have their CKD models assembled at the Go Automobile Manufacturing plant in Gurun, Kedah.</t>
    <phoneticPr fontId="1"/>
  </si>
  <si>
    <t>On January 12, NexV Manufacturing held the groundbreaking ceremony for its new energy vehicles (NEVs) manufacturing plant, located in the Chembong Industrial Area in Rembau, Negeri Sembilan, Malaysia. According to its statement, the new green technology facility aims for operations to start in Q1/2025. The first phase of the project will involve the development of an assembly plant, expected to start in Q1/2024. Its phases 2 and 3 will start in 2026 and 2028, respectively. A larger annual production capacity of 50,000 units is also planned. The total investment for the development of this plant is MYR 600 million.</t>
    <phoneticPr fontId="1"/>
  </si>
  <si>
    <t>https://www.marklines.com/en/global/10563</t>
    <phoneticPr fontId="1"/>
  </si>
  <si>
    <t>On January 12, JSC MB RUS, part of the Avtodom group, signed a direct distribution agreement with the SERES Group, receiving exclusive rights to import and distribute serial hybrids SERES AITO M5 and M7 on the Russian market. In the second half of 2024, the presented model range will be supplemented by the flagship of the SERES Group, the SERES AITO M9 model. Thus, the vehicles will be offered in all premium SUV segments. All supplied models will be certified and received by OTTS for delivery of vehicles to the territory of the Customs Union.</t>
    <phoneticPr fontId="1"/>
  </si>
  <si>
    <t>https://www.marklines.com/en/global/1512</t>
    <phoneticPr fontId="1"/>
  </si>
  <si>
    <t>Belgium</t>
    <phoneticPr fontId="1"/>
  </si>
  <si>
    <t>On January 12, multiple sources reported that Volvo Cars would suspend production at its Ghent plant in Belgium for three days (between January 15, 2024, to January 19, 2024) due to delays caused by the security situation in the Red Sea, which has delayed the delivery of gearboxes. According to the automaker, car deliveries, production targets, and its other European plant in Gothenburg, Sweden, are not affected by the pause.</t>
    <phoneticPr fontId="1"/>
  </si>
  <si>
    <t>Lamborghini</t>
    <phoneticPr fontId="1"/>
  </si>
  <si>
    <t>https://www.marklines.com/en/global/1357</t>
    <phoneticPr fontId="1"/>
  </si>
  <si>
    <t>On January 12, Automobili Lamborghini announced that Invitalia, the National Agency for Inward Investment and Business Development, has approved the initial phase of the 'COR TAURI' Development Contract, Lamborghini's plan to electrify its future models and decarbonize the entire value chain. The proposal was sent to the Ministry of Enterprises and Made in Italy to secure more than EUR 100 million, adding to the already allocated investment. Invitalia has confirmed the completion of the access phase for the development contract, with approval from the Emilia-Romagna Region for entry into the second phase. The funding supports strategic investments for the full decarbonization of the company's vehicles. Lamborghini's Direzione Cor Tauri program aims for an expansion of approximately 500 employees and strengthens the Italian and regional automotive supply chain for electrification. The environmentally sustainable expansion of the production site will enable the creation of research infrastructure and will reinforce the production departments.</t>
    <phoneticPr fontId="1"/>
  </si>
  <si>
    <t>https://www.marklines.com/en/global/3533</t>
    <phoneticPr fontId="1"/>
  </si>
  <si>
    <t>Hebei</t>
  </si>
  <si>
    <t>On January 11, GWM and IBM Consulting officially formed a long-term strategic partnership on the road to digital transformation and globalization development by signing a strategic cooperation agreement on process and digital transformation in Baoding, Hebei. GWM is the first independent Chinese automaker to partner with IBM Consulting for the establishment of a process and digital management system. Fruits of this partnership will not only be applied within GWM, but will also play a role in a cross-chain high-integration system where information flow and capital flow are included and business areas such as the supply chain, marketing, strategy, and finance are covered.</t>
    <phoneticPr fontId="1"/>
  </si>
  <si>
    <t>https://www.marklines.com/en/global/285</t>
    <phoneticPr fontId="1"/>
  </si>
  <si>
    <t>On January 10, MG Motor Indonesia officially introduced the locally-assembled (CKD) version of its two models, the MG ZS EV and the MG 4 EV, priced from IDR 453 million and IDR 433 million, respectively. The new MG ZS EV is MG’s first line of BEVs to be assembled at MG's state-of-the-art factory in Cikarang, West Java.</t>
    <phoneticPr fontId="1"/>
  </si>
  <si>
    <t>On January 10, Foton Motor announced the upcoming launch of China’s first semi-solid-state battery-powered light-duty truck. Capable of fast charging, the semi-solid-state battery in this truck, customized cells and the CTP (Cell to Pack) design, and has a system thermal management solution. Furthermore, higher battery energy density and a longer battery service life.</t>
    <phoneticPr fontId="1"/>
  </si>
  <si>
    <t>Leapmotor</t>
    <phoneticPr fontId="1"/>
  </si>
  <si>
    <t>https://www.marklines.com/en/global/9553</t>
    <phoneticPr fontId="1"/>
  </si>
  <si>
    <t>On January 10, Leapmotor started accepting pre-orders for the C10 mid-to-large-size 5-door 5-seater SUV, its first global model. The C10 has an RWD layout. The battery electric variants are equipped with a permanent magnet synchronous motor (total power 170kW and total torque 320Nm) and a 69.9kWh battery, delivering a CLTC electric-mode range of 530km and a 0 to 100km/h acceleration time of 7.29 seconds. Powered by a permanent magnet synchronous motor (total power 170kW and total torque 320Nm), a 1.5L range extender (peak power 60kW), and a 28.4kWh battery, the range-extended variants deliver a CLTC electric-mode range of 210km, a CLTC combined range of over 1,190km when fully fueled and charged, and a 0 to 100km/h acceleration time of 7.68 seconds. The C10 is equipped with a Qualcomm Snapdragon 8155 or 8295 intelligent chip-powered healthy.</t>
    <phoneticPr fontId="1"/>
  </si>
  <si>
    <t>https://www.marklines.com/en/global/3187</t>
    <phoneticPr fontId="1"/>
  </si>
  <si>
    <t>Mississippi</t>
  </si>
  <si>
    <t>Nissan is delaying the launch of two U.S.-made EVs slated for production at its Canton, Mississippi assembly plant, now for the second time, according to supplier memos. Production of the Nissan sedan, codenamed LZ1F, will begin in November 2026, while the Infiniti EV, codenamed LZ1E, starts in April 2027. While Nissan had planned to end production of the Altima at the Canton plant in late 2025, it is now considering extending output by a year, according to a separate memo to suppliers.</t>
    <phoneticPr fontId="1"/>
  </si>
  <si>
    <t>Mercedes-Benz Group</t>
    <phoneticPr fontId="1"/>
  </si>
  <si>
    <t>Mercedes-Benz</t>
    <phoneticPr fontId="1"/>
  </si>
  <si>
    <t>https://www.marklines.com/en/global/3049</t>
    <phoneticPr fontId="1"/>
  </si>
  <si>
    <t>Alabama</t>
  </si>
  <si>
    <t>On January 10, the United Auto Workers announced that Mercedes-Benz workers in Alabama have publicly announced a campaign to join the union, with more than 30% of the Tuscaloosa plant’s workforce signing union authorization cards.The Tuscaloosa plant has about 6,300 employees.</t>
    <phoneticPr fontId="1"/>
  </si>
  <si>
    <t>Mullen Automotive</t>
    <phoneticPr fontId="1"/>
  </si>
  <si>
    <t>https://www.marklines.com/en/global/10703</t>
    <phoneticPr fontId="1"/>
  </si>
  <si>
    <t>On January 10, Mullen Automotive announced it submitted a pre-application to the U.S. Department of Energy for a USD 50 million loan to support its planned production of 150,000 battery packs through calendar year 2032 to support its EVs, including those assembled at its Tunica, Mississippi plant. The funding would also support investment for plant equipment and tooling for Mullen’s 122,000-square-foot high-energy facility in Fullerton, California.</t>
    <phoneticPr fontId="1"/>
  </si>
  <si>
    <t>Tata Motors</t>
    <phoneticPr fontId="1"/>
  </si>
  <si>
    <t>Tata</t>
    <phoneticPr fontId="1"/>
  </si>
  <si>
    <t>https://www.marklines.com/en/global/1156</t>
    <phoneticPr fontId="1"/>
  </si>
  <si>
    <t>On January 12, Tata Passenger Electric Mobility Ltd. (TPEM), a subsidiary of Tata Motors commenced the production of passenger vehicles from its new factory in Sanand, Gujarat. It has retooled the factory in 12 months, taking it to a new level to accommodate a wide range of existing products and future new models to come. The plant houses four main shops i.e. stamping, body construction, paint, and final assembly shop. With existing capacities near saturation, this new facility will unlock an additional state-of-the-art manufacturing capacity of 300,000 units per annum which is scalable to 420,000 units per annum. The plant currently has more than 1,000 employees (including staff and technicians) and will create 1,000 additional jobs in the next 3 to 4 months.</t>
    <phoneticPr fontId="1"/>
  </si>
  <si>
    <t>Peugeot</t>
    <phoneticPr fontId="1"/>
  </si>
  <si>
    <t>On January 11, Automotive Cells Company (ACC) announced that its first batteries were arriving on the Peugeot 3008 electric SUV. Indeed, the first battery modules "Made in France" were delivered to Stellantis at the end of December. ACC stated that soon it will be able to compete with the Asian giants and offer a more sustainable and reliable solution.</t>
    <phoneticPr fontId="1"/>
  </si>
  <si>
    <t>https://www.marklines.com/en/global/143</t>
    <phoneticPr fontId="1"/>
  </si>
  <si>
    <t>On January 11, Avtovaz announced that it will launch LADA Vesta with a new power unit (1.8 EVO and automatic transmission); resume production of the LADA Largus; and begin production of the e-Largus in Izhevsk in 2024. It will develop the production of special modifications, including sports, bi-fuel, and manual cars. Work will continue on new models, including the LADA Iskra, the start of production which is scheduled for early 2025.</t>
    <phoneticPr fontId="1"/>
  </si>
  <si>
    <t>https://www.marklines.com/en/global/10715</t>
    <phoneticPr fontId="1"/>
  </si>
  <si>
    <t>Africa</t>
    <phoneticPr fontId="1"/>
  </si>
  <si>
    <t>Egypt</t>
    <phoneticPr fontId="1"/>
  </si>
  <si>
    <t>On January 11, AvtoVAZ announced that several SKD LADA assembly projects are being implemented abroad, and one of them may be the resumption of the Granta assembly in Egypt.</t>
    <phoneticPr fontId="1"/>
  </si>
  <si>
    <t>https://www.marklines.com/en/global/9895</t>
    <phoneticPr fontId="1"/>
  </si>
  <si>
    <t>On January 11, multiple sources reported that Tesla would shut down its Berlin gigafactory for two weeks, from January 29 to February 11, due to a lack of components because of a Red Sea blockade. The Red Sea conflict has extended shipping times for parts from China, which has resulted in a gap in their supply chains. The company believes that it will be corrected through the two-week shutdown.</t>
    <phoneticPr fontId="1"/>
  </si>
  <si>
    <t>Lucid Motors</t>
    <phoneticPr fontId="1"/>
  </si>
  <si>
    <t>https://www.marklines.com/en/global/10762</t>
    <phoneticPr fontId="1"/>
  </si>
  <si>
    <t>Saudi Arabia</t>
    <phoneticPr fontId="1"/>
  </si>
  <si>
    <t>On January 11, Lucid announced that it produced 2,391 vehicles during Q4 2023 and delivered 1,734 vehicles during the same period.  For full-year 2023, it produced 8,428 vehicles and delivered 6,001 vehicles. Lucid produces the Lucid Air EV sedan in Casa Grande, Arizona, as well as fully-constructed and partially-dismantled cars sent to its AMP-2 plant in King Abdullah Economic City, Saudi Arabia for training and finish assembly. </t>
    <phoneticPr fontId="1"/>
  </si>
  <si>
    <t>https://www.marklines.com/en/global/9873</t>
    <phoneticPr fontId="1"/>
  </si>
  <si>
    <t>Citroen</t>
    <phoneticPr fontId="1"/>
  </si>
  <si>
    <t>https://www.marklines.com/en/global/10155</t>
    <phoneticPr fontId="1"/>
  </si>
  <si>
    <t>On January 10, Stellantis announced an additional INR 20 billion investment under its Citroën brand in Tiruvallur district. This investment will be made over the next six years. It is in addition to the INR 12.5 billion investment already executed within the state. The investment encompasses both capital expenditure and research and development activities at the Chennai Tech Center. The company signed a non-binding MoU during the Global Investors Meet in Chennai, Tamil Nadu.</t>
    <phoneticPr fontId="1"/>
  </si>
  <si>
    <t>https://www.marklines.com/en/global/1165</t>
    <phoneticPr fontId="1"/>
  </si>
  <si>
    <t>https://www.marklines.com/en/global/1901</t>
    <phoneticPr fontId="1"/>
  </si>
  <si>
    <t>On January 10, multiple sources reported that Ford has reduced production at its Valencia plant (Almussafes) in Spain. The daily vehicle production has decreased to 950 from 1,150 last year, with a slight reduction in Kuga cars contributing to the decline. This week and in the following weeks, the facility is producing 250 Transit units per day for Europe, along with approximately 700 Kugas in various versions. The engine plant remains unchanged and continues assembling engines for the United States and the Kuga hybrid. The workers union, UGT, insists on clarity regarding Ford's commitment to electrification before considering employment flexibility measures. UGT expects information on workload and adherence to the Electrification Agreement by March.</t>
    <phoneticPr fontId="1"/>
  </si>
  <si>
    <t>https://www.marklines.com/en/global/2233</t>
    <phoneticPr fontId="1"/>
  </si>
  <si>
    <t>On January 10, Primobius GmbH, the battery recycling incorporated joint venture company owned 50:50 by Neometals and SMS group GmbH, received a purchase order from Mercedes-Benz for the hydrometallurgical refinery plant (Stage 2) for its lithium-ion battery recycling facility. In the collaboration, Primobius is responsible for the engineering, equipment supply, and installation of a 2,500 tpa fully integrated, 2-stage recycling plant for Mercedes-Benz. Both the parties will also conduct joint R&amp;D activities. Stage 2 is designed to match the capacity required to process intermediate feed material generated from the front-end stage (Stage 1).</t>
    <phoneticPr fontId="1"/>
  </si>
  <si>
    <t>https://www.marklines.com/en/global/3113</t>
    <phoneticPr fontId="1"/>
  </si>
  <si>
    <t>Ohio</t>
  </si>
  <si>
    <t>On January 10, Honda announced that all of its plants in the U.S. and Canada have earned the 2023 U.S. Environmental Protection Agency (EPA) ENERGY STAR Certificate for Outstanding Energy Efficiency, working toward Honda’s Triple Action to Zero approach to achieve carbon neutrality for all products and corporate activities by 2050. Honda per-vehicle CO2 emissions from auto production have been reduced by 39% over the last 10 years.</t>
    <phoneticPr fontId="1"/>
  </si>
  <si>
    <t>https://www.marklines.com/en/global/3109</t>
    <phoneticPr fontId="1"/>
  </si>
  <si>
    <t>https://www.marklines.com/en/global/3111</t>
    <phoneticPr fontId="1"/>
  </si>
  <si>
    <t>https://www.marklines.com/en/global/3121</t>
    <phoneticPr fontId="1"/>
  </si>
  <si>
    <t>https://www.marklines.com/en/global/3133</t>
    <phoneticPr fontId="1"/>
  </si>
  <si>
    <t>https://www.marklines.com/en/global/3137</t>
    <phoneticPr fontId="1"/>
  </si>
  <si>
    <t>https://www.marklines.com/en/global/3117</t>
    <phoneticPr fontId="1"/>
  </si>
  <si>
    <t>Indiana</t>
  </si>
  <si>
    <t>https://www.marklines.com/en/global/1777</t>
    <phoneticPr fontId="1"/>
  </si>
  <si>
    <t>On January 8, AMAG Austria Metall AG announced the signing of the largest contract to date in AMAG's company history. This contract secures Audi's procurement of premium aluminum from Ranshofen. As part of this major order, AMAG is supplying ASI-certified aluminum in strips, which are used for the production of the outer skin components and interior structural components. The first processing of the components takes place at the Audi factory in Györ, Hungary.</t>
    <phoneticPr fontId="1"/>
  </si>
  <si>
    <t>Lion Electric</t>
    <phoneticPr fontId="1"/>
  </si>
  <si>
    <t>https://www.marklines.com/en/global/10596</t>
    <phoneticPr fontId="1"/>
  </si>
  <si>
    <t>On January 25, Lion Electric, a manufacturer of EV school buses, announced they have launched customer deliveries of its new LionD, a full-size school bus with a seating capacity of 85 passengers and that can travel up to 155 miles on a single charge.Federal, state and local incentives can be applied toward the purchase of a LionD bus, although these vary widely depending on the location and municipality. The vehicles, especially popular on the US West Coast, are built at Lion’s plant in Joliet, Illinois.</t>
    <phoneticPr fontId="1"/>
  </si>
  <si>
    <t>https://www.marklines.com/en/global/2453</t>
    <phoneticPr fontId="1"/>
  </si>
  <si>
    <t>Michigan</t>
  </si>
  <si>
    <t>On January 25, Honda reported that their 50-50 joint venture fuel cell plant with GM has launched production of fuel cells for both automotive and non-road use. This facility, located at the site of GM’s Brownstown, Michigan battery plant, was established in January 2017 with an investment of USD 85 million. The two companies are focused on lowering R&amp;D and manufacturing costs by leveraging economies of scale, improving cell designs, utilizing common sourcing, and reducing the use of expensive, precious metals. This will make the new fuel cell systems 33% less expensive when compared to the FCV system in the 2019 Honda Clarity FCV.</t>
    <phoneticPr fontId="1"/>
  </si>
  <si>
    <t>On January 24, on the earnings call after the Q4 and full-year 2023 report, Elon Musk said of the new-generation platform to be built first at Gigafactory Texas, that the current schedule shows that the company will start production towards the end of 2025, but there's “a tremendous amount of new revolutionary manufacturing technology here.” Musk would make no prediction on unit volume “but it does seem quite likely that we will start production next year”. The company wants to first demonstrate success with the next-generation platform in Texas before start construction of Gigafactory Mexico, citing the Model 3 and Model Y, which were difficult to build at first, though leading to improved versions of their production lines in Shanghai and Berlin. Tesla recently broke ground for the next phase of Gigafactory Nevada expansion to incorporate Semi production.</t>
    <phoneticPr fontId="1"/>
  </si>
  <si>
    <t>https://www.marklines.com/en/global/10321</t>
    <phoneticPr fontId="1"/>
  </si>
  <si>
    <t>Texas</t>
  </si>
  <si>
    <t>https://www.marklines.com/en/global/4512</t>
    <phoneticPr fontId="1"/>
  </si>
  <si>
    <t>Nevada</t>
  </si>
  <si>
    <t>Daihatsu</t>
    <phoneticPr fontId="1"/>
  </si>
  <si>
    <t>https://www.marklines.com/en/global/543</t>
    <phoneticPr fontId="1"/>
  </si>
  <si>
    <t>Shiga</t>
  </si>
  <si>
    <t>On January 23, Daihatsu Motor Co., Ltd. (Daihatsu) announced the schedule of its Japanese vehicle assembly plants from February onwards. Following the discovery of fraud in certification applications, the company suspended production at all of its vehicle assembly plants in Japan from December 26, 2023. In December, it had been decided to halt production at all vehicle assembly plants until the end of January 2024, but the decision for operation after February had not been made. According to the January 23 announcement, the company has decided to extend the suspension of production at the Shiga (Ryuo) Plant (2nd District), Daihatsu Motor Kyushu Co., Ltd.'s Oita (Nakatsu) Plant (Plant No.1 and No.2), and the Copen Factory at the Head (Ikeda) Plant until February 16. Since the Japanese Ministry of Land, Infrastructure, Transport and Tourism (MLIT) has not yet completed its verification of compliance with the standards for production models, there is no timetable for resumption of production after February 17. At the Kyoto (Oyamazaki) plant, production of three models, the Daihatsu Thor, and the Toyota Roomy and Subaru Justy (both the Roomy and Justy supplied on OEM basis based on the Thor) will also be suspended until February 16. There is no timetable for the resumption of production after February 17. The company is considering resuming production of the Toyota Probox and Mazda Familia Van (supplied on an OEM basis based on the Probox), for which MLIT has lifted the order suspending shipments.</t>
    <phoneticPr fontId="1"/>
  </si>
  <si>
    <t>https://www.marklines.com/en/global/539</t>
    <phoneticPr fontId="1"/>
  </si>
  <si>
    <t>Osaka</t>
  </si>
  <si>
    <t>https://www.marklines.com/en/global/541</t>
    <phoneticPr fontId="1"/>
  </si>
  <si>
    <t>Kyoto</t>
  </si>
  <si>
    <t>https://www.marklines.com/en/global/547</t>
    <phoneticPr fontId="1"/>
  </si>
  <si>
    <t>Ohita</t>
  </si>
  <si>
    <t>https://www.marklines.com/en/global/595</t>
    <phoneticPr fontId="1"/>
  </si>
  <si>
    <t>Tochigi</t>
  </si>
  <si>
    <t>On January 22, Isuzu Motors Limited (Isuzu) announced that on January 19 it had joined the "Collaboration Agreement on DX Promotion of Regional Public Transport Centered on Autonomous Mobility Services" concluded in April 2023 by Hiratsuka City (Kanagawa Prefecture), Kanagawa Chuo Kotsu Co., Ltd., Mitsubishi Corporation, AISAN Technology Co., Ltd., and A-Drive Inc. Based on the agreement, the six parties, including Isuzu, will conduct an automated driving demonstration test (Level 2) of a route bus in Hiratsuka City from January 22 to February 2. The test will use Isuzu's Erga large bus (autonomous type) and will run about six services a day on the same routes as existing bus routes. The distance travelled is approximately 4.3 km. A driver who has learned how to operate a self-driving bus will be aboard the bus and switch to manual operation as necessary depending on the situation. General passengers are not allowed on board.</t>
    <phoneticPr fontId="1"/>
  </si>
  <si>
    <t>Isuzu Motors Limited (Isuzu) added the Elf Space Cab to its Elf light-duty truck lineup, commencing sales in Japan on January 22. The Space Cab features a space behind the seats expanded by 300 mm more than the standard cabin for improved comfort and convenience. The driver's seat can recline up to 40 degrees and the passenger seat up to 30 degrees. The space behind the seats can be used as luggage space for precision tools, clothing and foodstuffs. In addition to the flatbody, the lineup includes van and dump truck chassis. The flat-body model has a cargo bed extending to the bottom of the enlarged cabin, ensuring a cargo bed floor length of 3,115 mm, which is equivalent to the standard cab model. The Space Cab meets a wide range of customer needs, from agriculture to construction and delivery.</t>
    <phoneticPr fontId="1"/>
  </si>
  <si>
    <t>According to research by MarkLines and several media reports, Toyota Motor Corporation (Toyota) suspended operations at two vehicle plants at its subsidiary Toyota Motor East Japan, Inc. from the second shift on January 19. The two plants are the Iwate plant, which produces the Lexus LBX, Aqua and other models, and the Miyagi Ohira plant, which produces the Sienta, Corolla Axio and other models. According to Toyota, the plants were shut down to perform checks on some production processes and will remain shut down until the second shift on January 24. The decision on whether to start operations on January 25 or later will be made in the afternoon of January 24.</t>
    <phoneticPr fontId="1"/>
  </si>
  <si>
    <t>https://www.marklines.com/en/global/505</t>
    <phoneticPr fontId="1"/>
  </si>
  <si>
    <t>Yamaguchi</t>
  </si>
  <si>
    <t>On January 19, Mazda Motor Corporation (Mazda) announced that production of the Mazda6 (vehicle types: sedan/station wagon) for the Japanese market will end in mid-April. Orders will also cease when the number of units produced by mid-April is reached. The first generation Mazda6, the Atenza (former Japanese name of Mazda6), was launched in May 2002. It has undergone two full model changes to date, with cumulative sales in Japan reaching 226,437 units (as of the end of December 2023). The Hofu Plant in Yamaguchi Prefecture, which produces the Mazda6, will continue production for some markets, including Australia, after vehicle production has ended  for the Japanese market. Outside Japan, local assembly will continue in Vietnam. </t>
    <phoneticPr fontId="1"/>
  </si>
  <si>
    <t>https://www.marklines.com/en/global/10796</t>
    <phoneticPr fontId="1"/>
  </si>
  <si>
    <t>Jiangsu</t>
  </si>
  <si>
    <t>On January 3, Xingji Meizu Group (Xingji Meizu), a smartphone manufacturer subordinate to Geely, officially signed an agreement with the Jiangning Economic and Technological Development Zone (JNDZ) to co-build the Polestar Technology China Headquarters that integrates an R&amp;D center, an operation center, a procurement center, a sales center, and a delivery center in the JNDZ.</t>
    <phoneticPr fontId="1"/>
  </si>
  <si>
    <t>Geometry</t>
    <phoneticPr fontId="1"/>
  </si>
  <si>
    <t>On April 21, Geely Holding Group issued the Geely 2022 Environmental, Social and Governance Report. According to the report, Geely Holding Group has adpoted recycled materials in its mainstream models.  For example, the Geometry E uses recycled PET fiber, which has passed the GRS global recycling standard certification, in its cowl insulation, while plastic material filled with plant stalk is used to make the door fender; the body of the Zeekr 001 consists of 15% renewable steel sheet materials and 25% renewable aluminum alloy materials.</t>
    <phoneticPr fontId="1"/>
  </si>
  <si>
    <t>https://www.marklines.com/en/global/10387</t>
    <phoneticPr fontId="1"/>
  </si>
  <si>
    <t>On April 21, Zhejiang Geely Holding Group released the 2022 Environmental, Social and Governance Report. According to the ESG report, Geely has cooperated with the industrial Internet platform "Geega" to develop an energy management system platform (EMS 2.0) that is suitable for advanced manufacturing and meets the EMS requirements of the automotive industry. The EMS 2.0 platform will enable Geely to manage the energy consumption data of each plant efficiently and further curb the application of boilers, air compressors, water pumps and other equipment with high energy consumption. The automaker has completed the deployment of the EMS 2.0 platform at four plants. </t>
    <phoneticPr fontId="1"/>
  </si>
  <si>
    <t>https://www.marklines.com/en/global/10390</t>
    <phoneticPr fontId="1"/>
  </si>
  <si>
    <t>On April 21, Zhejiang Geely Holding Group released the 2022 Environmental, Social and Governance Report. According to the ESG report, Geely will use alternative clean energy to save energy and reduce consumption in its manufacturing operations. The automaker will set up a special working group to speed up the construction of photovoltaic projects. In 2022, the installed photovoltaic capacity totaled 307MW, and the renewable electricity (including photovoltaic energy and the green energy acquired via purchasing the I-REC certificates) accounted for 35.91% of the total electricity consumed by Geely's vehicle manufacturing bases. Additionally, Geely has built energy storage power stations at the Yuyao plant, the second Hangzhou Bay plant and the ZEEKR plant, respectively. The installed capacity of the three plants  totaled 27.82MW. Furthermore, the automaker required some key Tier-1 suppliers to use clean energy in manufacturing. A total of 18 core Tier-1 suppliers are currently using 100% renewable electricity.</t>
    <phoneticPr fontId="1"/>
  </si>
  <si>
    <t>https://www.marklines.com/en/global/10388</t>
    <phoneticPr fontId="1"/>
  </si>
  <si>
    <t>On April 21, Zhejiang Geely Holding Group released the 2022 Environmental, Social and Governance Report. According to the ESG report, Geely will implement the following measures to save energy and reduce consumption in its manufacturing operations: 1) set up annual energy consumption management goals, split them for application at each manufacturing base, monitor and analyze energy data, and evaluate the benefits generated by energy conservation and emission reduction projects; 2) efficiently manage carbon emissions of plants and formulate emission reduction plans accordingly, relying on the "G Carbon Cloud" platform launched by Geely Digital Technology, a Geely subsidiary; 3) continue to promote the deployment and upgrade of the energy management system (EMS). As of 2022, the EMS has covered 70% of Geely's vehicle manufacturing bases.</t>
    <phoneticPr fontId="1"/>
  </si>
  <si>
    <t>On April 21, Geely Holding Group issued the Geely 2022 Environmental, Social and Governance Report. According to the report, Geely Holding Group builds a closed recycling ecological framework throughout the life cycle of products by incorporating the remanufactured products into the after-sales service system, introducing the recycled material supplier accreditation system and establishing the remanufacturing processes. Geely Holding Group plans to complete 2 scrapped car recycling outlets in Ningbo and Xuancheng and 12 recycling contact points in 6 pilot cities in 2023 to form a grid recycling system centering around 3 recycling and disassembling outlets (in Ningbo, Xuancheng and Quzhou) and 12 recycling contact points jointly with the external partners. Geely Auto aims to achieve the goal that the composite utilisation ratio of vehicle recycling and disassembling resources in the recycling system should reach 75% by 2024.</t>
    <phoneticPr fontId="1"/>
  </si>
  <si>
    <t>On April 21, Geely Holding Group issued the Geely 2022 Environmental, Social and Governance Report. According to the report, Geely Holding Group has made the following progress. Prototype vehicle model has verified 22 advanced lightweight materials and processes for the first time. 25 advanced lightweight materials and processes were applied to the models already in the market as of 2022, and 15 models which were launched in 2022 have adopted lightweight materials for aluminium alloy front anti-collision beam steering knuckles. The weights of the ultrafine fiber soundproof pad and high-pressure vacuum die casting aluminum alloy damping tower are reduced by 45% and 30%, respectively. The Zeekr 009 adopts several advanced lightweight materials and processes, including the mass-produced integrated die casting rear floor. On the body of the Zeekr 009, aluminum alloy accounts for 23.9%, while high-strength steel and thermal-forming steel account for 42.7%. Tailor rolled blank console and plastic spare tire container are used in the structure for the first time. The Zeekr 009 also uses environmentally-friendly materials for the whole body.</t>
    <phoneticPr fontId="1"/>
  </si>
  <si>
    <t>On April 21, Geely Holding Group issued the Geely 2022 Environmental, Social and Governance Report. According to the report, Geely Holding Group is pushing major EV battery suppliers to implement the following carbon reduction schemes for carbon emission management during the battery life cycle: building the capability of collecting and computing the product carbon footprints; using low-carbon aluminum, recycled aluminum and steel to reduce emission; using ternary cathode materials from recycled cells; recycling the metal and non-metallic materials of battery cases; and continuously increasing the proportion of non-fossil energy used in cell production.</t>
    <phoneticPr fontId="1"/>
  </si>
  <si>
    <t>In June 2022, Zeekr, a premium electric vehicle sub-brand of Geely, launched its Z-Green carbon inclusive platform. It encourages customers to join a ranking list on which participants will be ranked based on their carbon reduction practices. The Geely sub-brand also shares the low-carbon knowledge with customers weekly. Additionally, Zeekr holds various carbon neutrality themed seminars as well as exhibitions of low-carbon solutions. It also organizes activities that offer customers the opportunity to engage in everyday items recycling and mountain waste collection. Zeekr calls customers to join its carbon inclusive scheme and contribute to the achievement of China's "dual carbon" goals, thereby promoting the creation of a green society.</t>
    <phoneticPr fontId="1"/>
  </si>
  <si>
    <t>Mercedes-Benz Truck</t>
    <phoneticPr fontId="1"/>
  </si>
  <si>
    <t>https://www.marklines.com/en/global/2243</t>
    <phoneticPr fontId="1"/>
  </si>
  <si>
    <t>On January 25, Daimler Truck announced that building materials producer Holcim plans to add a total of 1,000 units of the battery-electric truck Mercedes-Benz eActros 600 to its European fleet. Both companies signed a joint letter of intent for this purpose. The volume represents the largest planned single order to date for the eActros 600. Mercedes-Benz eActros 600 was launched in October 2023. The start of series production is planned for the end of 2024. It has a battery capacity of more than 600 kilowatt hours with a range of 500 kilometers.</t>
    <phoneticPr fontId="1"/>
  </si>
  <si>
    <t>On January 24, a delegation of the Government of Navarra met with representatives of Volkswagen Navarra. They discussed the factory's electrification and the launch of two electric vehicles in 2026. Volkswagen Navarra has to carry out adaptation and expansion works on the factory infrastructure and investments to update and adapt its production to assemble electric vehicles starting in June 2026. They also discussed a new railway line between the Landaben and Arazuri-Orkoien industrial estates. It will improve the transportation of components and vehicles by train.</t>
    <phoneticPr fontId="1"/>
  </si>
  <si>
    <t>On January 24, Sollers Group implemented a project to migrate the Data Processing Center to the site of the Ulyanovsk Automobile Plant (UAZ) with the support of technology partner PROF-IT GROUP. It will help in business expansion, increasing the level of automation and import substitution of the IT landscape. It will allow, together with the data center in Elabuga, to develop a cluster of high-load digital IT solutions for the group of enterprises. A new high-speed structured cabling system has been laid throughout the plant, which ensures fault-tolerant operation of the network in the plant's workshops.</t>
    <phoneticPr fontId="1"/>
  </si>
  <si>
    <t>UAZ</t>
    <phoneticPr fontId="1"/>
  </si>
  <si>
    <t>https://www.marklines.com/en/global/8739</t>
    <phoneticPr fontId="1"/>
  </si>
  <si>
    <t>On January 24, a strike will begin by workers at the Audi factory in San José Chiapa, Puebla. The Independent Union of Audi Mexico Workers (Sitaudi) and the company's directors have been negotiating for 11 weeks. On January 23, the company offered a 6.5% increase, a proposal that was rejected by 93.4% of the workers in a vote, starting a strike involving 4,159 workers. It is strictly prohibited to participate or start any fight, vandalism, attempted theft, and any damage to the property of the company or its representatives since a situation like that could be taken advantage of to declare the strike as non-existent, by the labor authorities.</t>
    <phoneticPr fontId="1"/>
  </si>
  <si>
    <t>https://www.marklines.com/en/global/10286</t>
    <phoneticPr fontId="1"/>
  </si>
  <si>
    <t>On January 24, Stellantis announced that the new electric Alfa Romeo Milano is undergoing development tests at the Balocco testing site in Italy. The vehicle is planned and designed at the Alfa Romeo Centro Stile. The sports car is set to be unveiled on April 10, 2024, at an event in Milan, Italy. The development strategies are coordinated by the Italian team of Alfa Romeo engineers at the Balocco Proving Ground, where drivers can test out on the track the requirements and targets set by Alfa Romeo's dynamic engineers, who are responsible for validating the project.</t>
    <phoneticPr fontId="1"/>
  </si>
  <si>
    <t>https://www.marklines.com/en/global/10285</t>
    <phoneticPr fontId="1"/>
  </si>
  <si>
    <t>https://www.marklines.com/en/global/1655</t>
    <phoneticPr fontId="1"/>
  </si>
  <si>
    <t>On January 24, Automobili Lamborghini signed the renewal of its corporate supplementary contract. Lamborghini and the unitary trade union representative, together with FIOM CGIL and FIM CISL ratified the agreement after an internal company referendum agreement introduced significant changes, which includes a comprehensive revision of working hours and plans for 500 permanent hires by 2026.  In production, a customized shift pattern will be introduced, alternating between four-day and five-day work weeks, which will grant employees one Friday off every two weeks (for two-shift departments) and two Fridays off every three weeks (for three-shift departments). Non-production staff will see improved flexible working hours, with added paid leave options, as well as existing company policy which allows up to 12 days of remote work per month. The changes to working hours will take effect between late 2024 and early 2025 in a pilot project.</t>
    <phoneticPr fontId="1"/>
  </si>
  <si>
    <t>Opel</t>
    <phoneticPr fontId="1"/>
  </si>
  <si>
    <t>On January 24, Opel announced the launch of a new all-electric SUV which will be named Frontera, later in 2024. The new Opel Frontera will come with a range of functional features and will be rugged with Opel's new design philosophy. The Frontera will be its Opel's first production car to bear the new 'Blitz' emblem. The debut of a battery-electric variant of the new Frontera will be accompanied by the planned release of the all-electric version of the upcoming Grandland, which is also scheduled for 2024. Opel will reveal the first images and detailed information about the new Frontera in the upcoming weeks.</t>
    <phoneticPr fontId="1"/>
  </si>
  <si>
    <t>Exeed</t>
    <phoneticPr fontId="1"/>
  </si>
  <si>
    <t>On January 23, Chery Auto announced the recent launch of Chery Holding Group’s 2024 strategy. The specific plans are as follows: The Chery brand will develop the ICE and New Energy technology paths in parallel by launching eight upgraded and iterated ICE and five new hybrid models covering all market segments. The Exeed brand will fully implement New Energy transition. Based on the M3X super hybrid and E0X high-performance electric platforms, it plans to launch a comprehensive product matrix consisting of three iterated ICE, three C-DM hybrid, two battery electric, and two range-extended models. The Jetour brand will continuously advance its ICE-hybrid parallel product strategy, planning to launch seven new ICE and eight new hybrid models and striving. The iCAR brand will develop a differentiated new market in the CNY 100,000 to CNY 300,000 range at two new products per year.</t>
    <phoneticPr fontId="1"/>
  </si>
  <si>
    <t>https://www.marklines.com/en/global/9390</t>
    <phoneticPr fontId="1"/>
  </si>
  <si>
    <t>Jetour</t>
    <phoneticPr fontId="1"/>
  </si>
  <si>
    <t>https://www.marklines.com/en/global/3969</t>
    <phoneticPr fontId="1"/>
  </si>
  <si>
    <t>https://www.marklines.com/en/global/3883</t>
    <phoneticPr fontId="1"/>
  </si>
  <si>
    <t>iCAR</t>
    <phoneticPr fontId="1"/>
  </si>
  <si>
    <t>On January 22, Invest in Spain announced that Stellantis Spain has been the group with the most projects approved in the second call for aid for battery production projects for electric vehicles (PERTE VEC II). The aid that Stellantis Spain will receive will reach EUR 66.3 million, on investments that in total are close to EUR 333 million. A second assembly and production line for electric vehicle batteries will be located at the Stellantis Spain plant in Vigo (Pontevedra). In this case, it will receive public aid of EUR 6.7 million on a budget of nearly EUR 34 million. The fourth project with which Stellantis Spain has been selected in the second call of the plan is a third line of batteries, in this case only for assembly, in the plant that the company has in Madrid. The budget exceeds EUR 2.3 million and will receive a subsidy of EUR 354,000.</t>
    <phoneticPr fontId="1"/>
  </si>
  <si>
    <t>On January 22, Invest in Spain announced that Stellantis Spain has been the group with the most projects approved in the second call for aid for battery production projects for electric vehicles (PERTE VEC II). The aid that Stellantis Spain will receive will reach EUR 66.3 million, on investments that in total are close to EUR 333 million. Its most important project will be the battery gigafactory in Figueruelas (Zaragoza), with a budget of around EUR 280 million, of which it will receive EUR 56 million. The so-called Antares project will also create about three thousand jobs. An assembly and production line for batteries for electric vehicles will also be installed in Figueruelas. It has a budget of EUR 16.6 million, of which EUR 3.3 million will be subsidized.</t>
    <phoneticPr fontId="1"/>
  </si>
  <si>
    <t>https://www.marklines.com/en/global/4093</t>
    <phoneticPr fontId="1"/>
  </si>
  <si>
    <t>On January 22, GDG New Energy Co., Ltd. (GDG New Energy) announced the recent establishment of a partnership with GAC Toyota Motor Co., Ltd. (GAC Toyota) for a distributed photovoltaics project through the official signing of an agreement. With a construction area of around 175,000 square meters and a planned total installed capacity of around 18.86MW. So far, the total installed capacity of photovoltaics projects the two parties co-built has reached 194MW, and that of projects under construction and signed projects between them has reached 88MW.</t>
    <phoneticPr fontId="1"/>
  </si>
  <si>
    <t>GAC</t>
    <phoneticPr fontId="1"/>
  </si>
  <si>
    <t>https://www.marklines.com/en/global/4073</t>
    <phoneticPr fontId="1"/>
  </si>
  <si>
    <t>KAMA</t>
    <phoneticPr fontId="1"/>
  </si>
  <si>
    <t>On January 21, multiple sources reported that Kama JSC is planning to export Atom electric cars to Indonesia, Iran, and Uzbekistan. Negotiations are already underway. The countries are showing great interest in both the car and operating system - Atom OS. Kama JSC is considering countries where the electric vehicle market is actively developing.</t>
    <phoneticPr fontId="1"/>
  </si>
  <si>
    <t>https://www.marklines.com/en/global/9536</t>
    <phoneticPr fontId="1"/>
  </si>
  <si>
    <t>On January 19, Leapmotor announced that it received a strategic investment worth HKD 659 million from Jinhua Industrial Fund and Wuyi County Financial Investment. According to the announcement, the proceeds will be allocated as follows: around 40% for expanding and upgrading the intelligent electric vehicle portfolio, expanding the R&amp;D team, improving electrification technology, and strengthening the development of advanced automotive intelligent technologies such as autonomous driving and intelligent cockpit systems; around 15% for enhancing production capacity, automation capabilities, vertical integration, and operation efficiency.</t>
    <phoneticPr fontId="1"/>
  </si>
  <si>
    <t>Iveco</t>
    <phoneticPr fontId="1"/>
  </si>
  <si>
    <t>https://www.marklines.com/en/global/1349</t>
    <phoneticPr fontId="1"/>
  </si>
  <si>
    <t>On January 23, Iveco Group announced BASF, as its first partner to provide a recycling solution for the lithium-ion batteries of its electric vehicles. The decision is a part of Iveco's circular economy strategy, following the 4R Framework to extend battery lifetimes and reduce environmental impact. BASF's battery material production and recycling center in Schwarzheide, Germany, will organize and manage the entire recycling process for the lithium-ion batteries used on Iveco Group electric vans, buses, and trucks. The agreement involves collecting and recycling batteries in European countries like France, Germany, and the UK. BASF will mechanically process batteries into black mass, extracting critical raw materials like nickel, cobalt, and lithium for new battery manufacturing, creating a complete battery recycling value chain in Europe to locally provide recycled metals with a low-carbon footprint for the battery industry.</t>
    <phoneticPr fontId="1"/>
  </si>
  <si>
    <t>https://www.marklines.com/en/global/1345</t>
    <phoneticPr fontId="1"/>
  </si>
  <si>
    <t>Nissan will cut 6% of U.S. output in Q1 2024, or about 10,200 vehicles, according to a planning document sent to U.S. suppliers. The Rogue makes up more than half the planned output reduction in Q1, partially because of parts shortages for certain trims, but it will also reduce production of the Pathfinder, built at the Smyrna plant with the Rogue, and Frontier, built at the Canton plant in the January-to-March period. Nissan will build13,441 fewer vehicles in January and February than forecasted, but in March begin building an additional 3,243 vehicles. Nissan also is lowering its longer-term U.S. production forecast, with fiscal 2024 U.S. factory output dropping 1.7% from the current fiscal year, ending March 31, with U.S.-made Rogue output dropping 8.5% compared with fiscal 2023.</t>
    <phoneticPr fontId="1"/>
  </si>
  <si>
    <t>Volvo</t>
    <phoneticPr fontId="1"/>
  </si>
  <si>
    <t>https://www.marklines.com/en/global/3287</t>
    <phoneticPr fontId="1"/>
  </si>
  <si>
    <t>Virginia</t>
  </si>
  <si>
    <t>On January 23, Volvo Trucks North America announced it has launched a reimagined Volvo VNL featuring next-gen enhancements. Designed to meet the challenges and demands of the North American market, sales of new Volvo VNL will begin in the coming months with production at the Volvo Trucks New River Valley Plant in Dublin, Virginia. The new Volvo VNL will be the platform for battery-electric, fuel cell and internal combustion engines running on renewable fuels including hydrogen.</t>
    <phoneticPr fontId="1"/>
  </si>
  <si>
    <t>https://www.marklines.com/en/global/735</t>
    <phoneticPr fontId="1"/>
  </si>
  <si>
    <t>On January 22, KAMAZ Digital completed a pilot project to implement a computer vision system to control the quality of paint coatings of body parts in the production of KAMAZ vehicles. The pilot project aims to reduce errors in evaluating primer quality before painting, minimizing unexpected costs. In the pilot project, the computer model was trained on a limited set of parts, achieving a 90 - 95% accuracy in counting parts and 87 - 94% accuracy in assessing the product primer quality, minimizing defects by mitigating the human factors in detecting soil defects. The computer model identifies part types, quantities, and defects, maintaining an archive of records.</t>
    <phoneticPr fontId="1"/>
  </si>
  <si>
    <t>https://www.marklines.com/en/global/3735</t>
    <phoneticPr fontId="1"/>
  </si>
  <si>
    <t>On January 21, NAC held a groundbreaking ceremony for its battery and New Energy power technology plant. For this project, the main body of the plant buildings will be completed in August 2024, and stable mass production is expected to be realized at the end of the year. Upon completion of the first phase, an annual production capacity of over 240,000 batteries and an estimated annual capacity of installed batteries of over 10-13GWh are expected to be achieved.</t>
    <phoneticPr fontId="1"/>
  </si>
  <si>
    <t>On January 20, Farizon announced that the first V6E electric vans for export to Turkey were officially shipped. This marks the first time for Farizon to deliver the V6E model to a market outside China and to enter the Turkish market. The V6E employs a direct-drive axle with a permanent magnet synchronous motor. It comes standard with a first-tier Chinese brand or Farizon in-house developed battery, delivers a maximum range of 285km.</t>
    <phoneticPr fontId="1"/>
  </si>
  <si>
    <t>On January 20, Exeed, a Chery high-end sub-brand, saw the first mass-produced Sterra ET mid-to-large-size battery electric SUVs officially roll off the production line at Chery New Energy Automobile Co., Ltd.</t>
    <phoneticPr fontId="1"/>
  </si>
  <si>
    <t>On January 19, National Automotive Company 'NATCO' signed a distribution agreement with Exeed to strengthen the strategic cooperation between the two companies. This strategic collaboration demonstrates positive interaction between the key leaders of both companies, reflecting their commitment to achieving success and delivering exceptional services in the Egyptian market.</t>
    <phoneticPr fontId="1"/>
  </si>
  <si>
    <t>On January 19, AvtoVAZ held a meeting with AvtoVAZ JSC ASM Trade Union, for discussion regarding working with personnel and fulfilling mutual production and economic obligations. AvtoVAZ proposed advancing the indexation date from July 1, 2024, to February 1, 2024, to facilitate further team recruitment to increase car production to 500 thousand units. The 9% increase in tariff rates and salaries for employees of AvtoVAZ JSC and subsidiaries in Togliatti and Izhevsk will be implemented from February 1, 2024.</t>
    <phoneticPr fontId="1"/>
  </si>
  <si>
    <t>https://www.marklines.com/en/global/10713</t>
    <phoneticPr fontId="1"/>
  </si>
  <si>
    <t>On January 18, GB Corp announced that its subsidiary Ghabbour Egypt secured a medium-term financing facility of EGP 1.2 billion. It will support the establishment and development of an assembly plant in Sadat City. This joint financing covers 60% of the total projected investment, worth approximately EGP 1.9 billion. The project aims to significantly boost the production capacity of Ghabbour Egypt, as the Sadat plant is expected to reach an annual production capacity of 50,000 vehicles. Consequently, the local production capacity across GB Corp's factories could exceed 100,000 vehicles annually, including passenger cars, microbuses, and various types of vehicles.</t>
    <phoneticPr fontId="1"/>
  </si>
  <si>
    <t>Haval</t>
    <phoneticPr fontId="1"/>
  </si>
  <si>
    <t>https://www.marklines.com/en/global/8904</t>
    <phoneticPr fontId="1"/>
  </si>
  <si>
    <t>https://www.marklines.com/en/global/3977</t>
    <phoneticPr fontId="1"/>
  </si>
  <si>
    <t>On January 18, Dongfeng eπ, a Dongfeng Motor sub-brand, officially started accepting pre-orders for the eπ 007, its first 5-seater electric coupe. The eπ 007 rides on the Quantum architecture and the Mach E system. A 28.39kWh lithium-iron phosphate battery completes the powertrain of the range-extended variant, which has an RWD layout and delivers a maximum motor power of 160kW, a peak motor torque of 310Nm, a CLTC electric-mode range of 200km, and a CLTC total range of 1,200km. The battery electric variants total three and are available with CLTC ranges of 530km, 620km, and 540km, respectively. The 530km- and 620km-range variants have an RWD layout and are equipped with respective 56.83kWh and 70.26kWh lithium-iron phosphate batteries. The former delivers a maximum motor power of 160kW, a peak motor torque of 310Nm, and a power consumption of 11.9kWh/100km, while the latter a maximum motor power of 200kW and a peak motor torque of 320Nm. It comes standard with configurations such as a Qualcomm Snapdragon 8155 chip and the eπ Pilot intelligent driver assistance system.</t>
    <phoneticPr fontId="1"/>
  </si>
  <si>
    <t>https://www.marklines.com/en/global/3333</t>
    <phoneticPr fontId="1"/>
  </si>
  <si>
    <t>On January 14, FAW Group and Baoshan Iron &amp; Steel Co., Ltd. held a ceremony in Shanghai for the signing and inauguration of the Joint Innovation Lab for Automotive Steel (the Lab). With the Lab as a new starting point, they will conduct further in-depth cooperation in areas such as materials for New Energy Vehicles, low-carbon automotive steel sheets, and intelligent mobility to jointly promote technology innovation.</t>
    <phoneticPr fontId="1"/>
  </si>
  <si>
    <t>https://www.marklines.com/en/global/267</t>
    <phoneticPr fontId="1"/>
  </si>
  <si>
    <t>On January 19, the Ministry of Land, Infrastructure, Transport and Tourism (MLIT) announced that it has lifted the suspension order of shipments for five of the 45 models that were found to have committed fraud in their certification applications. The five models are the Daihatsu Gran Max Cargo, the Toyota Town Ace Van (an OEM consignment vehicle of the Gran Max Cargo), the Mazda Bongo Van (same as on the left), the Toyota Probox (consignment production), and the Mazda Familia Van (an OEM consignment vehicle of the Probox). The ministry is sequentially verifying the compliance with the standards of the Road Transport Vehicle Act for the 45 models (incl. models that is no longer in production / excl. one model currently under development) in which fraudulent activity was confirmed. As a result of verification, it has been confirmed that the five vehicle models mentioned above comply with the standards. Of the five models, the Gran Max Cargo, Town Ace Van, and Bongo Van are imported vehicles manufactured by P.T. Astra Daihatsu Motor, an Indonesian subsidiary. The Probox and Familia Van are produced in Japan at the Kyoto (Oyamazaki) Plant. Daihatsu will communicate closely with dealers and suppliers to prepare for the resumption of shipments and production of the five models so that there will be no confusion.</t>
    <phoneticPr fontId="1"/>
  </si>
  <si>
    <t>https://www.marklines.com/en/global/2861</t>
    <phoneticPr fontId="1"/>
  </si>
  <si>
    <t>On January 19 the beginning of operations for the recently expanded second shift at the Caoa plant in Anápolis, Brazil, was announced. The surge in demand for Caoa Chery models, particularly the base version of the Tiggo 5X Sport SUV, prompted the expansion. Initially the company announced the hiring of 800 people but ultimately employed 1,357. Carlos Alberto de Oliveira, General Director of CAOA, explained: "With the previous staff and in a single shift, we were able to deliver an average of 3,000 units per month. With the opening of new positions (809) announced last year, we increased our production to an average of over 4,000 vehicles per month. Now, with the expansion of the second shift and the addition of more than 500 new employees, the automaker will be able to deliver around 6,000 vehicles per month."</t>
    <phoneticPr fontId="1"/>
  </si>
  <si>
    <t>On January 18, Lotus NYO, a Geely sub-brand, officially launched the Emeya, its first battery electric coupe, in China. Named “Fanhua” in Chinese pinyin. Based on the Lotus 800V EPA (Electric Premium Architecture), the Emeya is powered by dual permanent magnet synchronous motors, an intelligent 4WD system, and a CATL 102kWh Qilin battery. The 650km-range variants deliver a maximum total motor power of 450kW, a peak total motor torque of 710Nm, and a top speed of 250km/h. The Emeya employs the Lotus Hyper OS next-generation cockpit operating system (powered by dual Qualcomm Snapdragon 8155 chips). The Emeya will go into production at Zhejiang Geely Automobile Company Limited Wuhan Branch in the WEDZ in 2024.</t>
    <phoneticPr fontId="1"/>
  </si>
  <si>
    <t>https://www.marklines.com/en/global/9485</t>
    <phoneticPr fontId="1"/>
  </si>
  <si>
    <t>According to a January 18 press release from TÜV Rheinland, XPeng recently signed a strategic cooperation agreement with TÜV Rheinland Greater China. The two parties will conduct long-term cooperation in areas such as testing and certification, safety assessment, and core quality tools for finished vehicles, automotive systems, automotive components, and extended industries. These cover total solutions for services such as interpretation of regulations for market access, support for the R&amp;D and innovation of key components and materials for new products, and support for the R&amp;D of information security technologies for intelligent connected vehicles.</t>
    <phoneticPr fontId="1"/>
  </si>
  <si>
    <t>https://www.marklines.com/en/global/4001</t>
    <phoneticPr fontId="1"/>
  </si>
  <si>
    <t>On January 18, Dongfeng Nissan started accepting pre-orders for the new Pathfinder flagship large 6-seater SUV. Equipped with a KR20 2.0L turbocharged engine (185kW/376Nm) and a 9-speed automatic transmission, the Pathfinder has an FWD or intelligent 4WD layout and delivers a top speed of 190km/h and a minimum combined fuel consumption of 8.65L/100km..</t>
    <phoneticPr fontId="1"/>
  </si>
  <si>
    <t>https://www.marklines.com/en/global/9900</t>
    <phoneticPr fontId="1"/>
  </si>
  <si>
    <t>On January 18, vice president of global Cadillac, John Roth, told reporters during a media briefing that production has started on the first Celestiq electric sedan, hand-built at GM's Global Technical Center in Warren, Michigan, with customer deliveries expected to start later in 2024. Roth said the electric Escalade IQ is expected to reach dealerships in the Q3.</t>
    <phoneticPr fontId="1"/>
  </si>
  <si>
    <t>On January 16, the Ministry of Land, Infrastructure, Transport and Tourism (MLIT) announced that it had initiated procedures to revoke the type designations of three vehicle models that were particularly egregious in their fraudulent application for certification by Daihatsu. The three models are the Daihatsu "Gran Max", the Toyota "Town Ace" (an OEM consignment vehicle of the "Gran Max"), and the Mazda "Bongo" (same as on the left), which are produced by P.T. Astra Daihatsu Motor, a local subsidiary in Indonesia, and imported to Japan, all of which are trucks. According to the Ministry's announcement, in crash tests of the three models, Daihatsu used a timer to trigger airbags that are normally activated when a collision is detected by sensors. MLIT also instructed Daihatsu to promptly submit a notification if a recall is necessary for two vehicle models that may be non-compliant with standards. The two models are the Daihatsu "Cast" and the Toyota "Pixis Joy" (an OEM consignment vehicle of the "Cast"), both of which ceased production at the Oita (Nakatsu) Plant (Daihatsu Kyushu) in June 2023. Additionally, the Ministry confirmed 14 new cases of misconduct during on-site inspections of Daihatsu conducted from December 21, 2023 to January 9, 2023. On January 16, the Ministry issued a corrective action order requiring fundamental reform of the organizational structure, to which Daihatsu will submit preventive measures within one month and report on the implementation status every quarter thereafter.</t>
    <phoneticPr fontId="1"/>
  </si>
  <si>
    <t>On January 15, Toyota announced that it will discontinue production of its ultra-compact BEV (battery electric vehicle) "C+pod" around the summer of 2024. The "C+pod" is a two-seater BEV that was launched in Japan in December 2020 for some corporate users and local governments, etc. In December 2021, the sales target was expanded to all corporate users and local governments as well as individual users. The vehicle is for lease only and is manufactured at the Motomachi Plant. With an overall length of less than 2.5m, an overall width of less than 1.3m, and a minimum turning radius of 3.9m, it is powered by a 9.06kWh lithium-ion battery and can travel 150km on a single charge.</t>
    <phoneticPr fontId="1"/>
  </si>
  <si>
    <t>On January 8, Kia announced at CES 2024 that it will launch the PV5, a mid-size Platform Beyond Vehicle (PBV) model in 2025 and will fully develop its PBV business. The PV5 is Kia's first PBV model and will be produced at the EVO Plant, which is scheduled to begin operations in 2025 at the Hwaseong plant. The PV5 will feature a conversion function that allows drivers to swap modules to suit their purposes, such as vehicle dispatch, delivery, and utility. Kia also announced at CES on January 10 that it has entered into a partnership with Uber to develop and supply PBVs. The PBV to be supplied to Uber will be based on the PV5.</t>
    <phoneticPr fontId="1"/>
  </si>
  <si>
    <t>https://www.marklines.com/en/global/2445</t>
    <phoneticPr fontId="1"/>
  </si>
  <si>
    <t>On December 13, Kia signed a Power Purchase Agreement (PPA) with Hyundai Engineering and Construction Co., Ltd. (Hyundai E&amp;C), a contract to purchase power derived from renewable energy sources, in a full-scale effort to achieve RE100 (100% renewable energy use), an international environmental initiative. Through the PPA, Kia plans to procure 250GWh of renewable energy annually from a total of 219MW of solar power generation facilities. This will mean that approximately 31% of the total electricity used by Kia's plants in Korea will be converted to renewable energy. Kia plans to build an environmentally friendly production system by prioritizing the supply of renewable energy to its dedicated EV plants in Gwangmyung and Hwaseong. Currently, the Hwaseong plant is operating a 4.2MW solar power generation facility.</t>
    <phoneticPr fontId="1"/>
  </si>
  <si>
    <t>https://www.marklines.com/en/global/9476</t>
    <phoneticPr fontId="1"/>
  </si>
  <si>
    <t>Bangkok</t>
  </si>
  <si>
    <t>On January 16, the Board of Investment (BoI) of Thailand approved project for Neta Auto (Thailand) Co., Ltd. to manufacture EVs locally.</t>
    <phoneticPr fontId="1"/>
  </si>
  <si>
    <t>https://www.marklines.com/en/global/3449</t>
    <phoneticPr fontId="1"/>
  </si>
  <si>
    <t>On January 16, the 2024 Changan Auto Global Partner Conference was held in Chongqing, where Changan Auto sub-brands’ product plans and sales targets were unveiled. In 2024, Changan Auto plans to achieve a sales target of 2.8 million vehicles. The 2030 overall sales target is set to 5 million vehicles. Furthermore, the automaker promised to launch eight new NEVs for 2024 as scheduled.</t>
    <phoneticPr fontId="1"/>
  </si>
  <si>
    <t>https://www.marklines.com/en/global/2569</t>
    <phoneticPr fontId="1"/>
  </si>
  <si>
    <t>On January 19, Ford said it will decrease its staff by 1,400 workers at the Rouge Electric Vehicle Center in Dearborn, which will become a one-shift operation effective April 1 building F-150 Lightning pickups, with approximately 700 affected employees transferring to the Michigan Assembly Plant, which will begin producing new Ranger and off-road Ranger Raptor pickups seven days a week instead of five days with three crews working two shifts. Ford will hire nearly 900 people as part of the added 1,600-person third crew at Michigan Assembly.</t>
    <phoneticPr fontId="1"/>
  </si>
  <si>
    <t>https://www.marklines.com/en/global/10376</t>
    <phoneticPr fontId="1"/>
  </si>
  <si>
    <t>https://www.marklines.com/en/global/3045</t>
    <phoneticPr fontId="1"/>
  </si>
  <si>
    <t>South Carolina</t>
  </si>
  <si>
    <t>On January 18, Figure, a California-based company developing autonomous humanoid robots, announced that it has signed an agreement to deploy general purpose robots at BMW's manufacturing facility in Spartanburg, South Carolina. With them, BMW Manufacturing and Figure will explore artificial intelligence, robot control, manufacturing virtualization, and robot integration.</t>
    <phoneticPr fontId="1"/>
  </si>
  <si>
    <t>Cadillac</t>
    <phoneticPr fontId="1"/>
  </si>
  <si>
    <t>https://www.marklines.com/en/global/2523</t>
    <phoneticPr fontId="1"/>
  </si>
  <si>
    <t>On January 18, GM said it is increasing production of its Cadillac Lyriq electric SUV this year after resolving battery module production problems that hindered sales in the past two years. The Spring Hill Assembly Plant began 2023 Cadillac Lyriq production on March 21, 2022, delivering just 122 Lyriqs that first year, though increasing it to 9,154 in 2023. The Lyriq made up about 12% of Cadillac's Q4 2023 retail sales and in January it’s tracking to be around 25% of retail sales. Cadillac also added new dealerships in 2023, following 2020 when approximately 20% of Cadillac dealerships took buyouts rather than make the investment to sell and service EVs.</t>
    <phoneticPr fontId="1"/>
  </si>
  <si>
    <t>https://www.marklines.com/en/global/867</t>
    <phoneticPr fontId="1"/>
  </si>
  <si>
    <t>On January 16, a photograph of the possible first unit produced of the 2024 Honda Prologue EV at the Ramos Arizpe plant in Mexico, was published on social media. This model is equipped with GM Ultium drive motors and GM Ultium batteries with an expected range of 300 miles. For the U.S., it will be offered in EX, Touring and Elite trim levels. Its standard configuration will be a single-motor FWD variant with the option of a dual-motor AWD transmission. This is the first fully electric crossover that Honda produces in Ramos Arizpe thanks to its alliance with GM.</t>
    <phoneticPr fontId="1"/>
  </si>
  <si>
    <t>https://www.marklines.com/en/global/2595</t>
    <phoneticPr fontId="1"/>
  </si>
  <si>
    <t>On February 1, Ford announced the 2025 Ford Explorer with an updated lineup of models and new styling, built at Ford’s Chicago assembly Plant and will begin arriving at dealerships in Q2. All models feature a 3-liter EcoBoost engine. For now, Ford is dropping the hybrid variant introduced on the last redesign, though the company says it will continue to offer a hybrid powertrain on the Police Interceptor Utility variant. Officials said another model designed for off-roading to replace the Timberline would be revealed later in 2024.</t>
    <phoneticPr fontId="1"/>
  </si>
  <si>
    <t>https://www.marklines.com/en/global/1801</t>
    <phoneticPr fontId="1"/>
  </si>
  <si>
    <t>Austria</t>
    <phoneticPr fontId="1"/>
  </si>
  <si>
    <t>On February 1, BMW Group announced the completion of the new halls for future e-drive production at Steyr plant, which has around 60,000 square meters of production space. The pre-series production is planned for starting in July. Around 300 items of plant and equipment worth EUR 500 million will be installed. The plant will manufacture over 600,000 e-drives annually as well as diesel and petrol engines. By 2030, the BMW Group will invest some EUR 1 billion in e-drive production at Steyr plant.</t>
    <phoneticPr fontId="1"/>
  </si>
  <si>
    <t>DRB-Hicom</t>
    <phoneticPr fontId="1"/>
  </si>
  <si>
    <t>Proton</t>
    <phoneticPr fontId="1"/>
  </si>
  <si>
    <t>https://www.marklines.com/en/global/997</t>
    <phoneticPr fontId="1"/>
  </si>
  <si>
    <t>Reported on February 1, Proton has admitted that the S70 sedan’s customer deliveries in Malaysia were yet to start. The model was officially launched in late November 2023. Proton confirmed that its production is not slow. Reasons behind the delay are to ensure quality and to have the cars registered in 2024 for resale value reasons. Proton added that for February, the company is gradually increasing deliveries. Production has been quite stable, but it needs thorough checking, in order to ensure the quality of the process and parts, as some of the unique parts are newly produced by its local vendors.</t>
    <phoneticPr fontId="1"/>
  </si>
  <si>
    <t>Wuling</t>
    <phoneticPr fontId="1"/>
  </si>
  <si>
    <t>https://www.marklines.com/en/global/3687</t>
    <phoneticPr fontId="1"/>
  </si>
  <si>
    <t>On January 31, Wuling Motors officially launched the Wuling Yangguang next-generation New Energy commercial vehicle (NECV), which makes the debut of the Wuling Red 1 battery and is the first Wuling NECV to be based on a new native New Energy architecture.</t>
    <phoneticPr fontId="1"/>
  </si>
  <si>
    <t>Chevrolet</t>
    <phoneticPr fontId="1"/>
  </si>
  <si>
    <t>During the GM Q4 2023 earnings presentation, GM CEO Mary Barra acknowledged that the Chevrolet Blazer EV software issue has disappointed consumers, while also continuing the stop-sale order for new vehicles. The software issues are related to stability problems with in-car screens and the charging experience, and not safety-related, nor related to the Ultium platform or Google built-in operating system, but thus far, no timeline has been released on when sales of the Blazer EV will resume. Production of the 2024 Chevrolet Blazer EV began in June 2023 at the GM Ramos Arizpe plant, and production of the 2025 model year is currently scheduled to commence in June 2024, while the electric Honda Prologue is currently in pre-production at the plant.</t>
    <phoneticPr fontId="1"/>
  </si>
  <si>
    <t>Tank</t>
    <phoneticPr fontId="1"/>
  </si>
  <si>
    <t>https://www.marklines.com/en/global/9836</t>
    <phoneticPr fontId="1"/>
  </si>
  <si>
    <t>On January 30, GWM officially started accepting pre-orders for the new Tank 700 Hi4-T full-size off-road SUV. The Tank 700 Hi4-T is equipped with 3.0T V6 turbocharged engine (385kW/800Nm), a P2 motor, a next-generation intelligent 4WD system with an Mlock.</t>
    <phoneticPr fontId="1"/>
  </si>
  <si>
    <t>According to a GWM press release dated January 30, the automaker recently signed a memorandum of strategic cooperation on New Energy and hydrogen energy with North China Electric Power University (NCEPU). The two parties will conduct cooperation in areas such as establishment of centers for research of New Energy strategy, joint R&amp;D of hydrogen energy and fuel cells, and testing of key hydrogen energy parts; scientific research; cultivation of talented personnel; and establishment of new R&amp;D institutions in Hebei. They will build an industry-education integration site with demonstration effect.</t>
    <phoneticPr fontId="1"/>
  </si>
  <si>
    <t>Aion</t>
    <phoneticPr fontId="1"/>
  </si>
  <si>
    <t>https://www.marklines.com/en/global/9824</t>
    <phoneticPr fontId="1"/>
  </si>
  <si>
    <t>On January 30, the GAC Aion Ruipai Electric Drive System Plant was officially completed and commissioned, and the M25 super electric drive came off the production line. The M25 super electric drive, the 900V electric drive, delivers a motor power density of 12kW/kg, a motor speed of 22,000rpm, and an operating efficiency of 92.5%. It will be equipped in Hyper models first.</t>
    <phoneticPr fontId="1"/>
  </si>
  <si>
    <t>https://www.marklines.com/en/global/10659</t>
    <phoneticPr fontId="1"/>
  </si>
  <si>
    <t>https://www.marklines.com/en/global/1287</t>
    <phoneticPr fontId="1"/>
  </si>
  <si>
    <t>Karnataka</t>
  </si>
  <si>
    <t>On January 29, Toyota Industries Corporation (TICO), a company affiliated with Toyota Motor Corporation (TMC) announced that it would be temporarily suspending despatches of the Innova Crysta, Fortuner, and Hilux utility vehicles in India, amid the discovery of irregularities in horsepower output certification tests on the diesel engines in these models. According to the Toyota Kirloskar Motor (TKM), the irregularities concern the 'smoothing' of power and torque curves but did not lead to any over-stating or over-claims on horsepower, or torque and do not have any impact on the emissions or safety of the affected vehicles. TKM is said to be working with the respective authorities to re-confirm the data used for the certification of the affected vehicles. While the dispatch of the affected vehicles will be temporarily suspended, the brand will continue to accept fresh orders.</t>
    <phoneticPr fontId="1"/>
  </si>
  <si>
    <t>Hanma</t>
    <phoneticPr fontId="1"/>
  </si>
  <si>
    <t>https://www.marklines.com/en/global/3895</t>
    <phoneticPr fontId="1"/>
  </si>
  <si>
    <t>On January 27, Hanma Technology released on the Shanghai Stock Exchange (SSE) the “Announcement on Proposed Filing for Reorganization and Pre-reorganization with a Court”, intending to file for reorganization and pre-reorganization with a People’s Court with jurisdiction on the grounds that it is likely to be demonstrably insolvent but still has value for reorganization. According to the company’s “Announcement on Estimated Loss of 2023 Annual Performance” released on the same day, the end-2023 net asset value attributable to shareholders of listed companies is estimated at negative CNY 928 million to negative CNY 728 million. If the court ultimately rules that Hanma Technology’s reorganization is unsuccessful, the company will be at risk of being declared bankrupt by the court. If the company is declared bankrupt, its stock will be at risk of being delisted.</t>
    <phoneticPr fontId="1"/>
  </si>
  <si>
    <t>On March 29, BYD released the 2022 BYD Corporate Social Responsibility Report. According to the report, the automaker announced in August that it would build the first headquarters (HQ) with a zero-carbon campus in China under the guidance of its core concept "eco-friendliness, development and sustainability". The zero-carbon campus at BYD's global HQ has integrated a full range of green solutions, including photovoltaic batteries, energy storage, New Energy Vehicles, SkyRail and SkyShuttle. In 2022, with the assistance and support of SGS, an internationally recognized and authoritative testing, inspection and certification organization, BYD passed the ISO 14064 Certification and PAS 2060 Carbon Neutralization Certification, indicating its brilliant success in building China's first HQ with a zero-carbon campus.</t>
    <phoneticPr fontId="1"/>
  </si>
  <si>
    <t>On March 29, BYD released the 2022 BYD Corporate Social Responsibility Report. According to the report, the automaker has invested nearly CNY 600 million at its car paint plant for technical renovation and equipment upgrade. The 3C2B painting process has been transformed into the B1B2 painting process, which can notably reduce solid waste and pollutant emissions.</t>
    <phoneticPr fontId="1"/>
  </si>
  <si>
    <t>On March 29, BYD released the 2022 BYD Corporate Social Responsibility Report. According to the report, the automaker optimizes the process at its motor plant, such as upgrading the existing dip-painting process to the drip-painting process, replacing the original insulation paint and thinner material with eco-friendly mixed insulation paint, as well as replacing high-temperature baking process with medium and low-temperature baking process. By doing so, BYD effectively saves energy,  reduces use and waste of insulating paint in a single product by 20-50%, thus significantly reducing VOC emissions.</t>
    <phoneticPr fontId="1"/>
  </si>
  <si>
    <t>Denza</t>
    <phoneticPr fontId="1"/>
  </si>
  <si>
    <t>https://www.marklines.com/en/global/4307</t>
    <phoneticPr fontId="1"/>
  </si>
  <si>
    <t>On December 16, Denza, a BYD sub-brand, signed a strategic partnership agreement with Tencent's Sustainable Social Value (SSV) organization. The two parties will focus on New Energy Vehicle mobility, carbon inclusion, carbon neutrality knowledge popularization, environmental protection, and public welfare. The car manufacturer and the Internet company will leverage their respective strengths to cooperate in innovative projects, disseminating and promoting carbon neutrality projects.</t>
    <phoneticPr fontId="1"/>
  </si>
  <si>
    <t>On February 1, Mitsubishi Motors Corporation announced that new 7-seater HEV models of the Xpander and Xpander Cross crossover MPVs have made their global debut and already went on sale in Thailand. Locally produced at the Laem Chabang Plant, the MPV’ newly developed HEV system features EV driving, hybrid driving, and regenerative braking. High fuel efficiency and a powerful, exhilarating motor drive are achieved by having the system automatically switch to the optimal driving mode according to the driving conditions and remaining drive battery. The generator and an electric motor are combined with a dedicated drive battery and the newly developed 1.6 L DOHC 16-valve MIVEC4 gasoline engine. EV Priority and Charge drive modes allow drivers to choose EV driving at will. The other 5 drive modes deliver optimal handling and driving force according to road conditions. </t>
    <phoneticPr fontId="1"/>
  </si>
  <si>
    <t>https://www.marklines.com/en/global/10785</t>
    <phoneticPr fontId="1"/>
  </si>
  <si>
    <t>On January 30, BYD signed a Preliminary Sales and Purchase Agreement, starting the initial stage of its advanced NEV production facility in Hungary. The construction of the plant will be done in different stages and is expected to open and be operational within 3 years.</t>
    <phoneticPr fontId="1"/>
  </si>
  <si>
    <t>https://www.marklines.com/en/global/2201</t>
    <phoneticPr fontId="1"/>
  </si>
  <si>
    <t>On January 31 Audi announced that its plant in Ingolstadt started net carbon-neutral production after Brussels and Gyor. The Ingolstadt plant photovoltaic modules were installed on an area of 23,000 square meters and 41,000 square meters extra are already under construction to increase the share of energy produced on-site. Audi plans to achieve net carbon neutrality worldwide by 2025. By then, the final steps will have been taken in Neckarsulm and San José Chiapa in Mexico.</t>
    <phoneticPr fontId="1"/>
  </si>
  <si>
    <t>https://www.marklines.com/en/global/2199</t>
    <phoneticPr fontId="1"/>
  </si>
  <si>
    <t>Fisker</t>
    <phoneticPr fontId="1"/>
  </si>
  <si>
    <t>https://www.marklines.com/en/global/1809</t>
    <phoneticPr fontId="1"/>
  </si>
  <si>
    <t>On January 31, Fisker Inc. welcomed dealers to the company’s California headquarters for the company’s first Open House. Mills Auto Group signed up to become Fisker’s first dealer partner in the U.S. and will open three locations, where they will accept deliveries of the all-electric Ocean SUV, built in Graz, Austria at Magna Steyr, beginning in February. Fisker will attend the National Automobile Dealers Association show in Las Vegas. On January 4, Fisker announced that it would make a strategic shift from direct sales in North America to a Dealer Partnership model.</t>
    <phoneticPr fontId="1"/>
  </si>
  <si>
    <t>https://www.marklines.com/en/global/2459</t>
    <phoneticPr fontId="1"/>
  </si>
  <si>
    <t>A well-publicized fire at GM’s Factory Zero in December 2023, believed to be sparked by a forklift accidentally puncturing a battery materials container, has caused some USD 1 million in damages. The volatile chemistry of the lithium-ion batteries poses an ongoing safety and fire concern. Toxic fumes are also released when batteries overheat and/or catch on fire. Factory Zero, previously known as Detroit-Hamtramck assembly (DHAM) is GM’s first EV-centric plant, and the only such plant in the city of Detroit proper.  Other, ICE-centric plants in the area have not experienced any increase in fires or similar incidents in this time period. GM and Detroit emergency agencies are developing plans to better address future incidents.</t>
    <phoneticPr fontId="1"/>
  </si>
  <si>
    <t>GMC</t>
    <phoneticPr fontId="1"/>
  </si>
  <si>
    <t>The Japanese Ministry of Land, Infrastructure, Transport and Tourism (MLIT) announced on January 30 that it has lifted the suspension of shipments of 10 mini-vehicle models among the models sold in Japan for which certification fraud by Daihatsu Motor Co., Ltd. (Daihatsu) was discovered because it has been confirmed that the products conform to the standards of the Road Transport Vehicle Act. The 10 models include Daihatsu's Mira e:S, Hijet Cargo, Atrai, and Hijet Truck; the Pixis Epoch, Pixis Van, and Pixis Truck, which are supplied to Toyota Motor Corporation (Toyota) on an OEM basis; and the Pleo Plus, Sambar Van, and Sambar Truck, which are supplied to Subaru Corporation on an OEM basis. Together with the five models for which the suspension of shipments has already been lifted, including Daihatsu's Gran Max Cargo and Toyota's Probox, a total of 15 models can now resume shipments. All 10 models in the January 30 announcement are manufactured in Japan at Daihatsu Motor Kyushu Co., Ltd.'s Oita (Nakatsu) plant. Daihatsu will continue to closely communicate with sales companies and related suppliers regarding the resumption of production and shipment of the 10 models, and will proceed with preparations to avoid any confusion.</t>
    <phoneticPr fontId="1"/>
  </si>
  <si>
    <t>https://www.marklines.com/en/global/1711</t>
    <phoneticPr fontId="1"/>
  </si>
  <si>
    <t>On January 30, Ford Pro revealed the new generation Transit Connect PHEV, a compact van, for Europe. The new Transit Connect will come with a PHEV powertrain, for the first time, with a 1.5-liter EcoBoost gasoline engine, a high-voltage battery, and an electric motor, delivering 110 kW of power and 350 Nm of maximum torque. The vehicle will be able to charge using DC fast chargers with 50 kW or using an 11 kW AC onboard charger. In pure electric mode, the Transit Connect PHEV has a range of up to 110 km. In addition to the new PHEV drivetrain, the Transit Connect is also available with a 2.0L EcoBlue turbodiesel (90kW) engines.</t>
    <phoneticPr fontId="1"/>
  </si>
  <si>
    <t>On January 30, Automobili Lamborghini announced extending its "Direzione Cor Tauri" strategy, to reduce emissions across the entire value chain. The company has set a new ambitious goal to achieve a 40% reduction in CO2 emissions per car throughout the entire value chain by 2030. The "Direzione Cor Tauri" program, started in 2021, will result in a significant reduction in CO2 emissions compared with 2021 for the fleet in circulation, with the aim of a 50% reduction by 2025 and 80% by 2030. The transportation of vehicles and spare parts to and from Sant’Agata Bolognese and various markets also falls within this process. The main goal is to prioritize environmentally friendly transportation, reducing suppliers' carbon footprint. Lamborghini will introduce the first hybrid Urus Super SUV and the second hybrid high-performance electric vehicle (HPEV), which will replace the Huracán in 2024. The launch of the first fully electric model, following the Lanzador concept car, is scheduled for launch in 2028. Additionally, Lamborghini plans to release its first fully electric Super SUV in 2029.</t>
    <phoneticPr fontId="1"/>
  </si>
  <si>
    <t>Hino</t>
    <phoneticPr fontId="1"/>
  </si>
  <si>
    <t>https://www.marklines.com/en/global/567</t>
    <phoneticPr fontId="1"/>
  </si>
  <si>
    <t>Tokyo</t>
  </si>
  <si>
    <t>On January 29, Hino Motors, Ltd. (Hino) suspended operations of Production Line #2 at its Hamura Plant from the second shift due to the suspension of shipments of 1GD engines manufactured by Toyota Industries Corporation (Toyota Industries). Toyota Industries had committed fraud in the output tests of three models of automotive diesel engines, including the 1GD, by adjusting the amount of fuel injected during the test to make the data look better. The models produced on Production Line #2 are the light-duty trucks Dutro, HINO 200 series, HINO 300 series, and the Toyota Dyna. Production was halted not only for vehicles equipped with the 1GD engine, but also for vehicles equipped with Hino's N04C/HC-SCR engine. The suspension of operations is set to continue until the second shift on February 1; a decision on operations after February 2 will be made on February 1.</t>
    <phoneticPr fontId="1"/>
  </si>
  <si>
    <t>On January 29, Toyota Motor Corporation (Toyota) suspended operations of six production lines at four Japanese domestic plants from the second shift due to the certification fraud by Toyota Industries Corporation (Toyota Industries). Toyota Industries had committed fraud in the power output tests of three automotive diesel engine models by adjusting the amount of fuel injected to make the data look better. The shutdowns occurred at Toyota Auto Body Co., Ltd.'s Fujimatsu Plant Production Line #1, Inabe Plant Production Line #1, and Yoshiwara Plant Production Lines #1 and #2, as well as at Toyota Auto Body’s subsidiary Gifu Auto Body Co., Ltd.’s Production Lines #1 and #2. The models equipped with these engines are the Hiace, Granace, Land Cruiser 300, and Lexus LX500d, but production of other models such as the Alphard and Land Cruiser 70 will also be affected. The suspension of operations is set to continue until the second shift on February 1; a decision on operations after February 2 will be made on February 1.</t>
    <phoneticPr fontId="1"/>
  </si>
  <si>
    <t>https://www.marklines.com/en/global/2095</t>
    <phoneticPr fontId="1"/>
  </si>
  <si>
    <t>Samut Prakan</t>
  </si>
  <si>
    <t>Following the revelation that Toyota Industries Corporation (Toyota Industries) had committed fraud in the output testing of automotive engines, Toyota Motor Corporation (Toyota) decided to temporarily suspend shipments of vehicles equipped with the affected engines on January 29. In March 2023, Toyota Industries publicly announced that it had committed fraud in the certification of forklift truck engines, and a special investigation committee consisting of outside experts had been conducting an investigation. The latest fraudulent behavior in automotive engines was newly discovered in the course of the committee's investigation. There are three diesel engines involved, the 1GD, 2GD, and F33A diesel engines developed by Toyota Industries under contract from Toyota. The fraud by Toyota Industries involved improper adjustment of the amount of fuel injected during output tests for the certification procedures to make the output values and torque curves look better. The 1GD engine is used in the Toyota Land Cruiser Prado (discontinued model), Hiace, Gran Ace, Dyna, Hilux, and Fortuner; the Mazda Bongo Brawny Van (supplied on an OEM basis based on the Hiace); and the Hino Dutro and Hino 200 Series. The 2GD engine is installed in the Toyota Hilux and Innova models, and the F33A engine in the Toyota Land Cruiser 300 and Lexus LX500d models. Toyota Industries announced the suspension of shipments of the engines on January 29, and Toyota and Hino Motors, Ltd. have also decided to temporarily suspend shipments of vehicles equipped with the affected engines. The production of vehicles equipped with the affected engines takes place not only in Japan, but also in Thailand, India, and other countries.</t>
    <phoneticPr fontId="1"/>
  </si>
  <si>
    <t>https://www.marklines.com/en/global/651</t>
    <phoneticPr fontId="1"/>
  </si>
  <si>
    <t>South Africa</t>
    <phoneticPr fontId="1"/>
  </si>
  <si>
    <t>https://www.marklines.com/en/global/2091</t>
    <phoneticPr fontId="1"/>
  </si>
  <si>
    <t>Chachoengsao</t>
  </si>
  <si>
    <t>According to a JAC Group press release dated January 29, the automaker recently signed a strategic cooperation framework agreement with BMC Sanayi Ve Ticaret AS (BMC), a Turkish manufacturer of commercial and military vehicles. The two parties will conduct in-depth cooperation in the electric truck field to lay a solid foundation for the joint exploration of electric truck technologies and the electric truck market.</t>
    <phoneticPr fontId="1"/>
  </si>
  <si>
    <t>BMC</t>
    <phoneticPr fontId="1"/>
  </si>
  <si>
    <t>https://www.marklines.com/en/global/1414</t>
    <phoneticPr fontId="1"/>
  </si>
  <si>
    <t>On January 29, Geely Technology Group signed a strategic cooperation agreement with Ningguo City to accelerate the implementation and commissioning of cooperative projects in the city. The group signed cooperation agreements on a New Energy Vehicle industrial fund with the People’s Government of Ningguo City of Anhui Province and on the headquarters of Zhejiang Ruike Resource Recycling Co., Ltd., a Geely subsidiary, with two local state-owned enterprises.</t>
    <phoneticPr fontId="1"/>
  </si>
  <si>
    <t>On January 29, DFM signed a special agreement on deepening strategic cooperation with the Wuhan Economic &amp; Technological Development Zone (WEDZ) of Hubei Province to co-build the Dongfeng Motor Group Global Innovation Center in the WEDZ. The center will gather R&amp;D institutions such as the DFM R&amp;D Institute and its subordinate advanced material and technology research center, software engineering research center, and technology exhibition center for the establishment of a “1+n” R&amp;D system.</t>
    <phoneticPr fontId="1"/>
  </si>
  <si>
    <t>On January 28, GAC Aion held a launch event for the Aion Y Plus SUV in Kowloon Bay, Hong Kong. Taking Hong Kong as a key fulcrum for its global strategy, GAC Aion will strengthen cooperation with local technology enterprises and conduct intermediary trade with the region as a base area, with more New Energy models such as battery electric and plug-in hybrid models to be introduced in the future.</t>
    <phoneticPr fontId="1"/>
  </si>
  <si>
    <t>https://www.marklines.com/en/global/581</t>
    <phoneticPr fontId="1"/>
  </si>
  <si>
    <t>Mitsubishi Fuso Truck and Bus Corporation (MFTBC) announced that the all-electric eCanter light-duty truck has officially begun sales in Hong Kong in January 2024. It marks the first overseas release of the eCanter in the Asian market outside of Japan. The eCanter is available in 3 models with 7 variants, covering gross vehicle weights (GVW) from 5 to 8.55 tons in Hong Kong. The vehicles will be exported out of the Kawasaki Plant in Japan as BU (built-up) trucks.</t>
    <phoneticPr fontId="1"/>
  </si>
  <si>
    <t>https://www.marklines.com/en/global/9486</t>
    <phoneticPr fontId="1"/>
  </si>
  <si>
    <t>According to a Zhaoqing Hi-Tech Industrial Development Zone (ZQHTZ) press release dated January 26, XPeng recently held a ceremony for the launch of an intelligent New Energy Vehicle production line renovation project at its Zhaoqing Plant. Aimed at making preparations to put new models into production within 2024 through a production line upgrade, this project will accelerate the ramp-up of XPeng’s capacity and sales.</t>
    <phoneticPr fontId="1"/>
  </si>
  <si>
    <t>https://www.marklines.com/en/global/2425</t>
    <phoneticPr fontId="1"/>
  </si>
  <si>
    <t>On January 25 Renault Korea announced that, Renault Brand CEO Fabrice Cambolive visited South Korea to inspect the Aurora project, a Renault Korea Motors-led initiative to develop three new vehicles.Renault has announced its International Game Plan for 2027; it plans to release eight new models outside Europe by 2027. Korea will serve as a hub for the development and production of A Compact Modular Architecture (CMA) platform dedicated to the D and E-segments vehicles. Renault Korea is developing three new vehicles under the name Aurora Project.The first model to be introduced will be “Aurora1” mid-size SUV equipped with the company's latest E-TECH hybrid system and Compact Modular Architecture (CMA) platform, which is set to roll out in the second half of this year.</t>
    <phoneticPr fontId="1"/>
  </si>
  <si>
    <t>Kia’s Gwangmyeong 2 plant will resume operation in February, after an eight-month refurbishment to prepare the plant for electric vehicle production. Kia will produce EV models at Autoland Gwangmyeong’s second factory, including a compact electric SUV EV3 and a compact electric sedan EV4 this year with an annual capacity of 150,000 units. Kia's Gwangmyeong 2 plant, Hyundai Motor Group's first dedicated to Electric Vehicles, will apply innovative manufacturing technologies developed by the Hyundai Motor Group Innovation Center in Singapore (HMGICS), such as automation processes driven by artificial intelligence and robotics, digital twin-connected systems, data-based operating systems, and low-carbon manufacturing.</t>
    <phoneticPr fontId="1"/>
  </si>
  <si>
    <t>https://www.marklines.com/en/global/9814</t>
    <phoneticPr fontId="1"/>
  </si>
  <si>
    <t>Fujian</t>
  </si>
  <si>
    <t>On April 29, SAIC Motor released the 2022 SAIC Motor Corporate Social Responsibility Report. According to the report, SAIC Motor Passenger Vehicle Co., Ltd., driven by the KPIs for hazardous waste generated by each vehicle in manufacturing, studied and analyzed how the waste is produced and treated during the report period. It took dual focuses on manufacturing operations and environmental management, and developed a self-driven and self-optimized system that supports low-carbon operations. The PV maker was prized as a "top-runner" company in China for its achievements in industrial carbon peaking in 2022. Its manufacturing base in Ningde, Fujian Province was recognized as a national-level green plant in the same year.</t>
    <phoneticPr fontId="1"/>
  </si>
  <si>
    <t>https://www.marklines.com/en/global/3611</t>
    <phoneticPr fontId="1"/>
  </si>
  <si>
    <t>https://www.marklines.com/en/global/4153</t>
    <phoneticPr fontId="1"/>
  </si>
  <si>
    <t>On April 29, SAIC Motor released the 2022 SAIC Motor Corporate Social Responsibility Report. According to the report, SGMW increased the usage of packaging platforms and the reutilization rate of packaging materials. In addition, the automaker promoted the adoption of environment-friendly, recyclable and sharable packaging materials. By using lightweight packaging, reducing the packaging used and controlling the usage of disposable packaging, SGMW managed to develop a new packaging ecosystem with standardization and environment protection as its core principles. Moreover, SGMW required its suppliers to use linings for the external packaging of chemicals in order to make the packaging clean enough for reutilization.</t>
    <phoneticPr fontId="1"/>
  </si>
  <si>
    <t>On January 30, multiple sources reported that Avtozavod St. Petersburg has started production of passenger cars under the XCITE brand at the former Nissan plant in St. Petersburg. The sale of the car will be started in the first half of 2024. Production of several models will be launched at its facilities in close cooperation with international partners. The plant is a subsidiary of AvtoVAZ. The plant will reveal details about the first model under the XCITE brand at the end of February 2024.</t>
    <phoneticPr fontId="1"/>
  </si>
  <si>
    <t>DFSK</t>
    <phoneticPr fontId="1"/>
  </si>
  <si>
    <t>https://www.marklines.com/en/global/671</t>
    <phoneticPr fontId="1"/>
  </si>
  <si>
    <t>On January 30, multiple sources reported that Motorinvest company and AvtoTOR are partnering to produce Dongfeng Sokon crossovers in Kaliningrad. They will assemble two Dongfeng Sokon models - the DFSK ix5 coupe crossover and the seven-seat all-wheel drive DFSK ix7 crossover. Motorinvest LLC undertakes to distribute, sell, and provide after-sales, technical, and warranty service for manufactured vehicles.</t>
    <phoneticPr fontId="1"/>
  </si>
  <si>
    <t>Arrival</t>
    <phoneticPr fontId="1"/>
  </si>
  <si>
    <t>https://www.marklines.com/en/global/10552</t>
    <phoneticPr fontId="1"/>
  </si>
  <si>
    <t>On January 26, Arrival received a letter from The Nasdaq Stock Market LLC (NASDAQ), notifying it that NASDAQ will suspend trading in the company's securities at the opening of business on January 30, 2024, and a Form 25 Notification of Delisting will be filed with the U.S. Securities and Exchange Commission which will remove the company's securities from listing on NASDAQ. The foregoing decision was the result of the company not complying with NASDAQ's continued listing standards.</t>
    <phoneticPr fontId="1"/>
  </si>
  <si>
    <t>Shaanxi Automobile</t>
    <phoneticPr fontId="1"/>
  </si>
  <si>
    <t>https://www.marklines.com/en/global/4271</t>
    <phoneticPr fontId="1"/>
  </si>
  <si>
    <t>Shaanxi</t>
  </si>
  <si>
    <t>On January 28, Shaanxi Automobile Group Commercial Vehicle Co., Ltd. (Shacman CV) held the 2024 Global Strategic Partners Conference in Yan’an, Shaanxi. At the conference, Shacman CV unveiled the Yan’an brand and debuted the Yan’an S700 super heavy-duty truck. The truck delivers a CCVC combined fuel consumption of only 26.97L/100km. Shacman CV and representatives from companies such as Xi’an Cummins Engine Co., Ltd. and Eaton Cummins Automated Transmission Technologies Co., Ltd. jointly launched an "integrated power chain exclusively for Yan’an heavy-duty trucks". Also launched was the new Zhiyun S300 New Energy light-duty truck. Furthermore, Shacman CV announced the 2024 sales target of 35,000 units.</t>
    <phoneticPr fontId="1"/>
  </si>
  <si>
    <t>https://www.marklines.com/en/global/10797</t>
    <phoneticPr fontId="1"/>
  </si>
  <si>
    <t>On January 28, Farizon signed a strategic cooperation agreement with China National Chemical Construction Investment Group Co., Ltd. in Beijing. The two parties will co-build a full-industrial-chain methanol ecosystem covering green methanol preparation, storage, transportation, refueling, and trade.</t>
    <phoneticPr fontId="1"/>
  </si>
  <si>
    <t>On January 27, Cavan Auto, a New Energy commercial vehicle (NECV) brand jointly established by Foton Motor, Boyuan Capital, Beijing SinoHytec Co., Ltd., and BAIC Capital, was officially launched. It will focus on sustainable development, promising to realize full-value-chain carbon neutrality by 2040. Cavan Auto will develop battery electric and hydrogen fuel cell technology paths and create an NEV-dedicated platform. Its product portfolio will mainly be composed of heavy-duty trucks, light-duty trucks, and vans. The first product will be launched in 2024.</t>
    <phoneticPr fontId="1"/>
  </si>
  <si>
    <t>On January 26, the Japanese Ministry of Land, Infrastructure, Transport and Tourism (MLIT) revoked the Vehicle Type Approval of the three models in which the conduct was particularly egregious in relation to fraudulent certification applications by Daihatsu Motor Co., Ltd. (Daihatsu): the Daihatsu Gran Max, the Toyota Town Ace (OEM-supplied model based on the Gran Max) and the Mazda Bongo (also OEM-supplied based on the Gran Max), all of which are truck types only. In collision tests of three models, Daihatsu used a timer to deploy airbags that would normally deploy upon collision detection by a sensor. MLIT issued a rectification order on January 16 urging fundamental reform of the organization, and Daihatsu will report on measures to prevent recurrence within one month of receiving the order, as well as quarterly reports on the status of implementation thereafter. The three models were manufactured at PT Astra Daihatsu Motor, an Indonesian subsidiary, and imported to Japan.</t>
    <phoneticPr fontId="1"/>
  </si>
  <si>
    <t>https://www.marklines.com/en/global/9872</t>
    <phoneticPr fontId="1"/>
  </si>
  <si>
    <t>On January 26, Chery Auto signed a strategic cooperation agreement with Fosun Trade. Agreeing on market promotion and product supply, the two parties will cooperate in areas such as model customization, auto finance, and auto trade, with all models from Chery Auto sub-brands such as Jetour, Exeed, iCAR, and Chery covered.</t>
    <phoneticPr fontId="1"/>
  </si>
  <si>
    <t>https://www.marklines.com/en/global/10485</t>
    <phoneticPr fontId="1"/>
  </si>
  <si>
    <t>On January 26, the first Q6 e-tron trial production SUV came off the production line at Audi FAW NEV, marking the company’s official start of trial production.</t>
    <phoneticPr fontId="1"/>
  </si>
  <si>
    <t>According to a Wenzhou City press release dated January 26, Geely Holding Group recently signed a project cooperation agreement with the city to jointly promote the integrated development of the New Energy Vehicle (NEV) industrial and innovation chains and cooperate in areas such as demonstration, promotion, and application of methanol vehicles, construction of a regional New Energy commercial vehicle (NECV) plant. At the signing ceremony, Geely Holding Group and its three subsidiaries including Farizon signed a project cooperation framework agreement.</t>
    <phoneticPr fontId="1"/>
  </si>
  <si>
    <t>According to a MarkLines Co., Ltd. survey, Toyota Motor Corporation (Toyota)  resumed operations on the first shift, January 25, at two Toyota Motor East Japan, Inc. assembly plants that had been suspended. The two plants where opeations resumed are the Iwate Plant, which produces the Aqua, Lexus LBX and other models, and the Miyagi Ohira Plant, which produces the Sienta, Corolla Axio and other models. Operations were suspended from the second shift on January 19  to the second shift on January 24 due to checks on some production processes.</t>
    <phoneticPr fontId="1"/>
  </si>
  <si>
    <t>https://www.marklines.com/en/global/10605</t>
    <phoneticPr fontId="1"/>
  </si>
  <si>
    <t>On January 25, at a media communication session, VW China elaborated on VW Group’s work on Chinese strategy, local R&amp;D, and software and product development. Strategy-wise, VW Group proposed goals for 2030, including continuing to strengthen the advantages of its ICE vehicles, accelerating its e-offensive, and strengthening R&amp;D under its “In China, For China” strategy. In terms of R&amp;D, Volkswagen (China) Technology Co., Ltd. is developing its first electric vehicle platform exclusively for the Chinese market. As for software, CARIAD, a VW Group software unit, will establish the “C Family” with Horizon Robotics, Thunder Software Technology Co., Ltd., and Shanghai ARK Industrial Design Co., Ltd. to rapidly apply new technologies to VW Group products. Regarding products, by 2027, VW Group will offer 30 locally manufactured ICE and hybrid models in China and cover all market segments with models manufactured in the country. By 2030, at least 30 battery electric models will be available.</t>
    <phoneticPr fontId="1"/>
  </si>
  <si>
    <t>https://www.marklines.com/en/global/10714</t>
    <phoneticPr fontId="1"/>
  </si>
  <si>
    <t>https://www.marklines.com/en/global/3481</t>
    <phoneticPr fontId="1"/>
  </si>
  <si>
    <t>Voyah</t>
    <phoneticPr fontId="1"/>
  </si>
  <si>
    <t>https://www.marklines.com/en/global/10795</t>
    <phoneticPr fontId="1"/>
  </si>
  <si>
    <t>On January 25, China Dongfeng Motor Industry Import and Export Co., Ltd. and Salvador Caetano Group signed a cooperation agreement in Wuhan, Hubei. The two parties jointly announced that electric vehicles (EVs) from Dongfeng Motor (DFM) sub-brands such as Voyah and M-Hero will be successively launched on the Spanish and Portuguese markets in 2024. In 2024, Voyah will enter the Spanish and Portuguese markets with the launch of the Free SUV and the Dreamer MPV. Specifically, it will enter the Spanish market in the first half of the year, and enter the Portuguese market in the second half.</t>
    <phoneticPr fontId="1"/>
  </si>
  <si>
    <t>https://www.marklines.com/en/global/9165</t>
    <phoneticPr fontId="1"/>
  </si>
  <si>
    <t>Mhero</t>
    <phoneticPr fontId="1"/>
  </si>
  <si>
    <t>https://www.marklines.com/en/global/10504</t>
    <phoneticPr fontId="1"/>
  </si>
  <si>
    <t>https://www.marklines.com/en/global/4017</t>
    <phoneticPr fontId="1"/>
  </si>
  <si>
    <t>Daihatsu Motor Co., Ltd. (Daihatsu) notified the Japanese Ministry of Land, Infrastructure, Transport and Tourism (MLIT) on January 24 of a recall of two minicar models whose certification was fraudulently applied for. The affected two models are Daihatsu's Cast and Toyota's Pixis Joy (OEM-supplied model based on the Cast), and the recall applies to a total of 322,740 vehicles produced between August 31, 2015 and June 9, 2023. For the two models, there was insufficient verification of the driver's side door lock in the event of a side collision, with the possibility of the power door lock activating as a result. It was feared that this may have caused the locking of all doors, thus delaying occupant rescue time. As a remedial measure, the driver’s side door lock of all vehicles will be replaced with corrective parts. Production of the Cast and Pixis Joy models ended at the Daihatsu Motor Kyushu Co., Ltd. Oita ( Nakatsu ) Plant in June 2023.</t>
    <phoneticPr fontId="1"/>
  </si>
  <si>
    <t>UD Trucks</t>
    <phoneticPr fontId="1"/>
  </si>
  <si>
    <t>UD Trucks Corporation launched the fully remodelled Condor medium-duty truck in Japan on January 24. The exterior of the new model features a dynamic cab design and a front grille with an integrated UD emblem. The interior features an enlarged storage space and an optimised arrangement of devices and switches for high operability. A large 7-inch color LCD instrument display (located in the center of the instrument panel) and a 7-inch center display with touch panel operation are also installed. The powertrain is powered by the 4HK1 engine (maximum output: 190/210/240 hp). The Condor is an OEM-supplied model based on Isuzu Motors Limited's Forward medium-duty truck. The base model Forward has been on sale since August 2023 as a fully-remodelled all-new model.</t>
    <phoneticPr fontId="1"/>
  </si>
  <si>
    <t>On January 22, Mullen Automotive announced that with another 130 additional Class 1 EV cargo van deliveries to Randy Marion Automotive Group in Charlotte, North Carolina, Mullen has now delivered 230 Mullen ONE, Class 1 cargo vans as part of the initial 1,000 vehicle purchase order from RMA. Mullen ONE production is based out of Tunica, Mississippi, which is also home to the Mullen ONE, Class 1 EV cargo van, and the Mullen THREE, Class 3 EV cab chassis truck.</t>
    <phoneticPr fontId="1"/>
  </si>
  <si>
    <t>https://www.marklines.com/en/global/9481</t>
    <phoneticPr fontId="1"/>
  </si>
  <si>
    <t>On April 29, SAIC Motor released the 2022 SAIC Motor Corporate Social Responsibility Report. According to the report, SAIC Motor Passenger Vehicle Co., Ltd. has adopted a box-type system for the dry separation of paint particles at the second-phase site of its Zhengzhou plant and the Ningde plant. The company managed to concentrate the air with high recirculation rates for energy recovery purpose when it designed the air-conditioners for spray booths. The exhaust gas from air with high recirculation rates will thus enter the regenerative thermal oxidizer (RTO) system for direct combustion so as to cut the emissions of volatile organic compounds (VOCs).</t>
    <phoneticPr fontId="1"/>
  </si>
  <si>
    <t>On March 29, BYD released the 2022 BYD Corporate Social Responsibility Report. According to the report, the automaker has upgraded its organic exhaust gas treatment facilities to further reduce the emissions of volatile organic compounds (VOCs). BYD previously used activated carbon to absorb and desorb VOCs, and also applied regenerative catalytic oxidizers (RCOs) for VOC treatment purpose. Now it upgraded the treatment process by using zeolite rotors and regenerative thermal oxidizers (RTOs). Meanwhile, BYD has added new treatment facilities for enhanced effect.</t>
    <phoneticPr fontId="1"/>
  </si>
  <si>
    <t>On March 29, BYD released the 2022 BYD Corporate Social Responsibility Report. According to the report, the automaker launched 48 major projects that were aimed at energy conservation by optimizing manufacturing technologies and process management. Here are examples of key energy-saving projects: 1) the automated production line project at BYD's stamping plant in Shenzhen; 2) the project of replacing gears in air compressor gearboxes; and 3) the renovation project for steam pipelines.</t>
    <phoneticPr fontId="1"/>
  </si>
  <si>
    <t>On March 29, BYD released the 2022 BYD Corporate Social Responsibility Report. According to the report, the automaker has gradually replaced the cartons, wooden packaging boxes and iron frames used in the transportation of battery packs with recyclable blister boxes, which have a service life cycle of more than three years and an annual recycling cycle of over 900 times.</t>
    <phoneticPr fontId="1"/>
  </si>
  <si>
    <t>On March 29, BYD released the 2022 BYD Corporate Social Responsibility Report. According to the report, the automaker is actively promoting low-carbon marine transportation. By using new carbon neutral fuels (e.g. methanol) instead of fossil fuels, the automaker will be able to reduce the carbon dioxide emissions per container by 46% in marine transportation.</t>
    <phoneticPr fontId="1"/>
  </si>
  <si>
    <t>Announced on January 29, Toyota Thailand will temporarily suspend shipments of Toyota Hiace and Fortuner equipped with the 1GD engine, along with the Toyota Hilux that is equipped with both 1GD and 2GD engines. This followed Toyota Industries Corporation (TICO)’s announcement on the investigation of potential irregularities of certification regulations. Shipments of both the affected engines and vehicles equipped with affected engines will be suspended. Toyota confirmed that the affected engines and vehicles meet engine performance output standards. Therefore, there is no need to stop using them.</t>
    <phoneticPr fontId="1"/>
  </si>
  <si>
    <t>https://www.marklines.com/en/global/2087</t>
    <phoneticPr fontId="1"/>
  </si>
  <si>
    <t>Announced on January 29, Toyota Indonesia will temporarily suspend shipments of Toyota Fortuner equipped with the 1GD engine. This followed Toyota Industries Corporation (TICO)’s announcement on the investigation of potential irregularities of certification regulations. Shipments of both the affected engines and vehicles equipped with affected engines will be suspended. Toyota confirmed that the affected engines and vehicles meet engine performance output standards. Therefore, there is no need to stop using them.</t>
    <phoneticPr fontId="1"/>
  </si>
  <si>
    <t>https://www.marklines.com/en/global/2617</t>
    <phoneticPr fontId="1"/>
  </si>
  <si>
    <t>The workforce at the Oakville Assembly Complex in Canada was notified on January 20 that current Ford Edge production is scheduled to end April 26. Retooling for EVs is expected to start in Q2 2024 run through the end of 2024. Ford plans to add a new battery pack assembly facility to the 487-acre manufacturing complex, as well as consolidate the plant’s three body shops into one. Pre-production for the next-generation BEVs, model names still not announced, will start in late 2024, followed by full production in early 2025, according to Ford in April 2023.</t>
    <phoneticPr fontId="1"/>
  </si>
  <si>
    <t>https://www.marklines.com/en/global/10587</t>
    <phoneticPr fontId="1"/>
  </si>
  <si>
    <t>On January 29, the Hyundai Motor Group announced its plans to break ground on its 89,000-square-foot Georgia Quick Start training center near its upcoming electric vehicle (EV) plant on February 8.The new Metaplant factory is slated to start commercial production by the first half of 2025, and reach an annual capacity of 300,000 units when fully operational, produce a range of Hyundai, Genesis, and Kia EVs. </t>
    <phoneticPr fontId="1"/>
  </si>
  <si>
    <t>https://www.marklines.com/en/global/10564</t>
    <phoneticPr fontId="1"/>
  </si>
  <si>
    <t>On January 31, GM’s Ultium Cells plant in Lansing, Michigan will be hosting a job fair event as it prepares for limited production of Ultium batteries is slated to begin in Q4 2024. The plant will be totally completed and begin operating at full capacity by December 31, 2025, at which time, it will be staffed by approximately 1,700 employees capable of building 41 GWh of EV batteries per year. The Ultium Cells Lansing plant will be in close proximity to supply the GM Lansing Grand River, Lansing Delta Township and GM Factory Zero plants with EV batteries to produce models including the GMC Hummer EV Pickup, GMC Hummer EV SUV, GMC Sierra EV, and Chevrolet Silverado EV.</t>
    <phoneticPr fontId="1"/>
  </si>
  <si>
    <t>https://www.marklines.com/en/global/9497</t>
    <phoneticPr fontId="1"/>
  </si>
  <si>
    <t>Uzbekistan</t>
    <phoneticPr fontId="1"/>
  </si>
  <si>
    <t>On January 26, BYD announced the commencement of production operations of its plant in Jizzakh, Uzbekistan, at a ceremony held at BYD headquarters in Shenzhen, China. The car plant, a joint venture between BYD and Uzavtosanoat JSC (UzAuto), initially aims to assemble 50,000 hybrid and electric cars per year. The President of the Republic of Uzbekistan also attended the ceremony as a part of the business program and emphasized the need to expand the model range and enhance production capacity to 300,000 units annually, based on the market demands in the future. The BYD Song Plus DM-i was the first vehicle that was rolled off the assembly line. Additionally, BYD announced that it plans to start assembly of its electric buses, localization of spare parts, and establishment of engineering service centers, in Uzbekistan. BYD also delivered the Yangwang U8, BYD's 10,000th new energy vehicle (NEV) to the President of Uzbekistan, as a part of the delivery ceremony.</t>
    <phoneticPr fontId="1"/>
  </si>
  <si>
    <t>UzAvtosanoat</t>
    <phoneticPr fontId="1"/>
  </si>
  <si>
    <t>https://www.marklines.com/en/global/10665</t>
    <phoneticPr fontId="1"/>
  </si>
  <si>
    <t>New York</t>
  </si>
  <si>
    <t>On January 26, New York Governor Kathy Hochul announced Tesla will invest USD 500 million over the next five years for its Dojo supercomputer at its Gigafactory Buffalo. Tesla plans to use the supercomputer to process video data that comes from its electric vehicles in order to train the AI that now powers its Full Self-Driving feature. Musk disclosed that its estimated figure would only buy around 10,000 of NVIDIA's H100 AI GPUs, and that Tesla will spend much more than this, potentially reaching "several billion dollars", including on AMD chips.</t>
    <phoneticPr fontId="1"/>
  </si>
  <si>
    <t>https://www.marklines.com/en/global/4149</t>
    <phoneticPr fontId="1"/>
  </si>
  <si>
    <t>On January 25, Wuling Motors officially launched the Wuling Red 1 battery specifically developed for New Energy commercial vehicles (NECVs). Having reached mass production and came off the production line, the battery will make its debut in a Wuling NECV about to be launched. The Wuling Red 1 battery innovatively adopts the MUST (Multifunctional Unitized Structure Technology).</t>
    <phoneticPr fontId="1"/>
  </si>
  <si>
    <t>London Taxis</t>
    <phoneticPr fontId="1"/>
  </si>
  <si>
    <t>https://www.marklines.com/en/global/9815</t>
    <phoneticPr fontId="1"/>
  </si>
  <si>
    <t>On January 25, a prototype of the L380, the world’s first space-oriented flagship battery electric MPV, rolled off the production line at Zhejiang LEVC Automobile Co., Ltd., a Geely subsidiary. Based on the SOA, the large space-oriented electric architecture.</t>
    <phoneticPr fontId="1"/>
  </si>
  <si>
    <t>On January 25, BMW China officially launched the next-generation 5 Series and i5 mid-to-large-size luxury sedans in China. For the i5 battery electric model, the eDrive35L variants are equipped with a 210kW/410Nm motor and deliver a CLTC power consumption of 14.8kWh/100km or 15.6kWh/100km, a CLTC range of 536km or 567km, and a top speed of 190km/h. For the 5 Series ICE model, the 525Li long-wheelbase and 525i M standard-wheelbase variants are both equipped with a 140kW/310Nm 2.0L engine, delivering a combined fuel consumption of 6.5L/100km.</t>
    <phoneticPr fontId="1"/>
  </si>
  <si>
    <t>https://www.marklines.com/en/global/2479</t>
    <phoneticPr fontId="1"/>
  </si>
  <si>
    <t>GM is currently expanding its Lake Orion plant in Michigan, with an enormous new structure being added on the plant’s south side facing Brown Road to support the production of the Chevrolet Silverado EV and GMC Sierra EV, which was originally expected to begin late in 2024, but is now expected to begin late in 2025. While the Lake Orion facility was originally slated to receive a new battery assembly line, new details are yet to be confirmed.</t>
    <phoneticPr fontId="1"/>
  </si>
  <si>
    <t>https://www.marklines.com/en/global/4105</t>
    <phoneticPr fontId="1"/>
  </si>
  <si>
    <t>On January 24, GAC Group announced that to keep up with the rapid development of the New Energy Vehicle (NEV) industry and realize the transition of GAC Hino Motors Co., Ltd. (GAC Hino) to a New Energy commercial vehicle (NECV) company, the Board considered and adopted the “Proposal on a Shareholding Structure Adjustment to GAC Hino” (the Proposal). Upon implementation of the Proposal, GAC Hino will be 89.72%, 4.83%, and 5.45% held by GAC Group, Hino Motors, and Guangzhou Qingyun New Energy Technology Investment Partnership (Limited Partnership), respectively, and the three shareholders will jointly increase capital by nearly CNY 700 million based on the new shareholding ratios. GAC Hino will focus on continuously enhancing its R&amp;D capabilities of core technologies such as NEV batteries, motors, and electronic control systems, hydrogen fuel cells, and autonomous driving to become a mid-to-high-end NECV company mainly manufacturing electric vehicles and fuel cell electric vehicles. It will strive to achieve a production and sales volume of over 200,000 units after the future introduction of light-duty commercial vehicles.</t>
    <phoneticPr fontId="1"/>
  </si>
  <si>
    <t>https://www.marklines.com/en/global/3929</t>
    <phoneticPr fontId="1"/>
  </si>
  <si>
    <t>On January 24, FJMG announced that Fujian Motor Galaxy (Fuzhou) Industrial Investment Partnership (Limited Partnership), a fund jointly established with Galaxy Capital Management Co., Ltd. and Zhushan Equity Investment Fund Management (Shanghai) Co., Ltd., successfully completed its filing with the Asset Management Association of China. The joint fund has a total scale of CNY 500 million, to which FJMG contributed CNY 400 million, accounting for 80%. This move is aimed at perfecting FJMG’s investment distribution in the New Energy Vehicle and intelligent connected vehicle industries.</t>
    <phoneticPr fontId="1"/>
  </si>
  <si>
    <t>According to multiple press releases dated January 22, Yancheng Jidian New Energy Technology Co., Ltd. was recently established in Yancheng, Jiangsu. The new company has a registered capital of CNY 30 million and is jointly owned by Quzhou Jidian Electric Vehicle Technology Co., Ltd. and Hangzhou Geely Intelligent Innovation Enterprise Management Co., Ltd., Geely Holding Group subsidiaries. Its business scope includes R&amp;D of emerging energy technologies and manufacturing of batteries.</t>
    <phoneticPr fontId="1"/>
  </si>
  <si>
    <t>https://www.marklines.com/en/global/1392</t>
    <phoneticPr fontId="1"/>
  </si>
  <si>
    <t>Portugal</t>
    <phoneticPr fontId="1"/>
  </si>
  <si>
    <t>On January 26, multiple sources reported that the CEO of Stellantis stated that the Mangualde plant will start production of electric cars in 2024. Earlier, it was planned for 2025.</t>
    <phoneticPr fontId="1"/>
  </si>
  <si>
    <t>On January 26, multiple sources reported that Art-Finance LLC, the parent company of Russia's AGR Automotive Group auto holding has completed a transaction to purchase the assets of Hyundai Motor in Russia. Art-Finance took over two production sites in St. Petersburg: a plant in the Kamenka industrial zone and a former GM plant in Shushary. The Russian government's Foreign Investment Oversight Commission and the Federal Anti-monopoly Service (FAS) approved the deal.</t>
    <phoneticPr fontId="1"/>
  </si>
  <si>
    <t>https://www.marklines.com/en/global/705</t>
    <phoneticPr fontId="1"/>
  </si>
  <si>
    <t>On January 26, Kamaz announced that it will continue investing in the development of bus production capacities in 2024, which is facilitated by state support programs for the acquisition of public transport implemented on behalf of the President of the Russian Federation. In 2024, it is planned to launch mass production and start sales of new products: a middle-class bus, an extra-large class bus, a trolleybus, an electric bus with night charging, and an extra-large class electric bus with night and fast charging.</t>
    <phoneticPr fontId="1"/>
  </si>
  <si>
    <t>https://www.marklines.com/en/global/1941</t>
    <phoneticPr fontId="1"/>
  </si>
  <si>
    <t>On January 26, the Ministry of Industry and Tourism, Spain met with the president and general director of Renault Spain. They reviewed the set of projects that the Group is developing in Spain, especially its investments in electrified models and the circular economy Refactory project. The Renault Group has obtained aid from PERTE for Electric and Connected Vehicles in its first call as in line A of batteries. It has also received aid from the line of projects related to models, systems, and components of hybrid, electric, and hydrogen fuel cell vehicles to advance the decarbonization process.</t>
    <phoneticPr fontId="1"/>
  </si>
  <si>
    <t>https://www.marklines.com/en/global/1945</t>
    <phoneticPr fontId="1"/>
  </si>
  <si>
    <t>https://www.marklines.com/en/global/1943</t>
    <phoneticPr fontId="1"/>
  </si>
  <si>
    <t>https://www.marklines.com/en/global/10777</t>
    <phoneticPr fontId="1"/>
  </si>
  <si>
    <t>https://www.marklines.com/en/global/1947</t>
    <phoneticPr fontId="1"/>
  </si>
  <si>
    <t>https://www.marklines.com/en/global/2075</t>
    <phoneticPr fontId="1"/>
  </si>
  <si>
    <t>Reported on January 26, Mercedes-Benz’s plant in Thailand has recently seen its 200,000th car roll off production line. This milestone also jointly celebrated by the German President who visited the factory in Samut Prakan on January 25. The 200,000th car was the Mercedes-Benz EQS, the company’s first BEV model assembled in Thailand.</t>
    <phoneticPr fontId="1"/>
  </si>
  <si>
    <t>Porsche</t>
    <phoneticPr fontId="1"/>
  </si>
  <si>
    <t>https://www.marklines.com/en/global/2191</t>
    <phoneticPr fontId="1"/>
  </si>
  <si>
    <t>On January 26, Porsche unveiled its fully electric SUVs, Macan 4, and Macan Turbo, in Singapore. The all-electric SUVs are produced in a carbon-neutral manner at the Porsche plant in Leipzig and will be delivered to the first customers in H2 2024. The electric Macan 4 delivers up to 300 kW of maximum power and 650 Nm of maximum torque. The electric Macan Turbo delivers up to 470 kW of power and 1,130 Nm of maximum torque. The new Macan models are based on 800-volt Premium Platform Electric (PPE) architecture, featuring all-wheel drive, and permanently excited PSM electric motors on the front and rear axles.</t>
    <phoneticPr fontId="1"/>
  </si>
  <si>
    <t>On January 25, Northvolt announced that the local municipalities of Lohe-Rickelshof and Norderwöhrden in Schleswig-Holstein, have approved the construction of the Northvolt Drei gigafactory for lithium-ion battery cells in Heide, Germany. Coming off the heels of a EUR 902 million funding approval from the EU commission under the TCTF framework earlier this month, this has been a great start to the year for the German gigafactory.</t>
    <phoneticPr fontId="1"/>
  </si>
  <si>
    <t>https://www.marklines.com/en/global/9012</t>
    <phoneticPr fontId="1"/>
  </si>
  <si>
    <t>On January 25, UzAuto Motors JSC announced that Uzbekistan became Chevrolet's second-largest market in the world after the USA. According to the latest data, with sales of about 370,000 cars in the Uzbekistan market in 2023, Chevrolet took second place in the global sales ranking. The launch of the new Chevrolet Tracker and Onix cars based on the unified GEM platform helped to increase sales.</t>
    <phoneticPr fontId="1"/>
  </si>
  <si>
    <t>https://www.marklines.com/en/global/139</t>
    <phoneticPr fontId="1"/>
  </si>
  <si>
    <t>On January 25, multiple sources reported that Stellantis will be eliminating the night shift at the Mulhouse plant from 4 March 2024. This decision will affect approximately 600 people at this site, which has a total of 4,250 employees and 1,700 temporary workers. The Stellantis site in Mulhouse will reduce daily production from 1,030 to 830 vehicles, including Peugeot 408, 508, and 308 sedans and station wagon with combustion engines, plug-in hybrid and electric, and DS7 thermal and hybrid. According to the unions, this decrease in the group's activity is the result of the accumulation of several factors, which include the geopolitical situation, the upcoming elections, and the reduction or cessation of financial aid in Europe for electric and hybrid vehicles.</t>
    <phoneticPr fontId="1"/>
  </si>
  <si>
    <t>DS</t>
    <phoneticPr fontId="1"/>
  </si>
  <si>
    <t>On January 24, SERMA Group and Automotive Cells Company (ACC) announced the conclusion of a six-year strategic partnership. SERMA will carry out the tests for Automotive Cells Company the electrical and abusive testing of batteries developed by the R&amp;D Expertise Center in Bruges. The new test center, installed in Martillac in the Bordeaux region, on a platform of more than 6,500 square meters, will welcome 45 new employees and will be operational from the end of 2024. The first tests of this new center will begin in 2025.</t>
    <phoneticPr fontId="1"/>
  </si>
  <si>
    <t>On January 24, the Competition Commission of India (CCI) approved the acquisition of up to approximately 38% of the share capital of MG Motor India Private Limited by JSW Ventures Singapore Pte. Limited. The acquirer is a newly incorporated entity and is not engaged in any activities as of date. It is a wholly-owned subsidiary of JSW International Tradecorp Pte. Limited and belongs to JSW Group.</t>
    <phoneticPr fontId="1"/>
  </si>
  <si>
    <t>NEVS</t>
    <phoneticPr fontId="1"/>
  </si>
  <si>
    <t>https://www.marklines.com/en/global/2685</t>
    <phoneticPr fontId="1"/>
  </si>
  <si>
    <t>On January 22, EV Electra LTD announced that it is establishing a new subsidiary in Sweden. This subsidiary will play a pivotal role in the evolution of EV Electra with the production of the Emily GT and PONS product lines at the Trollhättan plant. EV Electra LTD acquired the Emily and PONS product lines and related assets from NEVS (National Electric Vehicle Sweden) on December 1, 2023.  The acquisition team from EV Electra and NEVS worked tirelessly to achieve a shared goal of a new chapter for the Emily and PONS projects, including efforts in securing their future production at the plant in Sweden.</t>
    <phoneticPr fontId="1"/>
  </si>
  <si>
    <t>https://www.marklines.com/en/global/2687</t>
    <phoneticPr fontId="1"/>
  </si>
  <si>
    <t>On April 21, Geely Holding Group issued the "2022 Environmental, Social and Governance Report", where it is mentioned that the Lynk&amp;Co 01 is the first vehicle in the world to feature ECONYL® sustainable nylon seats, a recycled nylon material made from recycled fishing nets and other waste materials, which we use instead of using traditional animal leather. Lynk&amp;Co prepared Chemical Restrictions and Ethical Precautions to ensure that people, planet and animals are considered in its products.</t>
    <phoneticPr fontId="1"/>
  </si>
  <si>
    <t>On April 21, Geely Holding Group issued the "2022 Environmental, Social and Governance Report", where it is mentioned that its Hangzhou Bay factory 1 and Hangzhou Bay factory 2 conducted a series of specific hazardous waste reduction actions, including in view of the high proportion of sewage solvent in the spraying process and the high treatment cost, utilize the biological section of the industrial wastewater treatment station of the factory to degrade the water based solvent and reduce the treatment cost of sewage solvent; in view of the high water content of the paint slag in the painting process, the water filtering tool shall be made to filter the water in the paint slag, press out the water in the paint slag, keep the water content of the paint slag reduced, and reduce the treatment cost; add inner liner in sealant and PVC rubber barrel to reduce the amount of hazardous waste generated.</t>
    <phoneticPr fontId="1"/>
  </si>
  <si>
    <t>On April 21, Geely Holding Group issued the "2022 Environmental, Social and Governance Report", where it is mentioned that 100% of Geely's cars have used recycled packaging. The group encourages suppliers to use recycled packaging materials and put forward two green routes – "All packaging materials used within a transportation range of 1,000 kilometers will be recyclable, and shared packaging will be used for transportation beyond the 1,000 kilometer range" – to reduce the use of disposable packaging materials.</t>
    <phoneticPr fontId="1"/>
  </si>
  <si>
    <t>On April 21, Zhejiang Geely Holding Group released the 2022 Environmental, Social and Governance Report. According to the ESG report, Geely has assisted its suppliers in identifying feasible carbon reduction methods and help them improve their carbon management capability through multiple measures, including the establishment of a green production system, special training on carbon peaking and carbon neutrality, and greenhouse gas (GHG) accounting. The automaker held seminars for suppliers to acquire the expertise on green electricity and the theoretical knowledge of carbon accounting system and carbon neutrality. In the future, Geely will conduct sustainability risk assessment on suppliers using more rigorous standards. It will help suppliers enhance their GHG accounting capabilities and utilize the digital carbon management platform "G Carbon Cloud" to improve the accuracy and transparency of carbon emissions data in the supply chain. Moreover, Geely can also use the "G Carbon Cloud" platform to calculate the carbon emissions of suppliers and extend its application to upstream companies in the supply chain. It will further require suppliers to disclose the proportion of recycled materials applied in their manufacturing process.</t>
    <phoneticPr fontId="1"/>
  </si>
  <si>
    <t>https://www.marklines.com/en/global/9568</t>
    <phoneticPr fontId="1"/>
  </si>
  <si>
    <t>On April 21, Zhejiang Geely Holding Group released the 2022 Environmental, Social and Governance Report. According to the ESG report, in November 2022, Geely's Xi'an plant obtained the 5-star certification (the highest being 6-star) according to the world's first quantifiable evaluation standard for "Zero Carbon Factory", thus becoming the first zero carbon plant in the Chinese automotive industry. The Xi'an plant is equipped with a 52MW super photovoltaic power station. With the G Carbon Cloud platform, the plant has established an energy and "dual carbon" management system. In the first half of 2022, the energy consumption per vehicle produced was reduced by 12.6% compared with the second half of 2021.</t>
    <phoneticPr fontId="1"/>
  </si>
  <si>
    <t>On April 21, Zhejiang Geely Holding Group released the 2022 Environmental, Social and Governance Report. According to the ESG report, Geely's Hangzhou Bay plant has used an energy management system to monitor the operating conditions of the coating drying system so that it will be able to make improvements accordingly. For example, by changing the heating rate of each heating system (the heating rate of the incinerator is increased from 0.150°C/s to 0.245°C/s) and optimizing the startup and shutdown time, the plant will reduce the natural gas consumption by 104,800 normal cubic meters.</t>
    <phoneticPr fontId="1"/>
  </si>
  <si>
    <t>https://www.marklines.com/en/global/3112</t>
    <phoneticPr fontId="1"/>
  </si>
  <si>
    <t>On January 25, Honda outlined key strategies as it begins mass production of the new Honda fuel cell (FC) system at Fuel Cell System Manufacturing LLC (FCSM) joint venture with GM in Brownstown, Michigan, with a goal to begin external deliveries of 2,000 units per year and then expanding sales in stages. In 2024, Honda will launch an all-new CR-V FCEV built at the Honda Performance Manufacturing Center in Marysville, Ohio.</t>
    <phoneticPr fontId="1"/>
  </si>
  <si>
    <t>Scania (TRATON)</t>
    <phoneticPr fontId="1"/>
  </si>
  <si>
    <t>https://www.marklines.com/en/global/2911</t>
    <phoneticPr fontId="1"/>
  </si>
  <si>
    <t>On January 24, it was announced that Scania restarted the operation of the second shift at its Sao Bernardo do Campo plant after suspending it for 10 months due to the decrease in truck sales caused by mandatory adoption of the Euro 6 engine, which is more expensive and less polluting. The ABC Metallurgical Union estimates that Scania has hired around 380 people between October and January. The plant, which also produces chassis and engines for buses, could produce in 3 shifts in some sectors by the middle of the year.</t>
    <phoneticPr fontId="1"/>
  </si>
  <si>
    <t>On January 24, the Lucid Group announced the 3-million-square-foot expansion of its U.S. Advanced Manufacturing Plant (AMP-1) in Casa Grande, Arizona to bolster capabilities ahead of production of the Lucid Gravity SUV, where it will bring together a new General Assembly line; new Quality and Semi-Knock Down (SKD) center to prepare kits for units assembled at the King Abdullah Economic City (KAEC) in Saudi Arabia; expanded Body and Paint shops; relocated Logistics center; and relocated and expanded Powertrain facility, where Lucid’s proprietary powertrain technology will be built. In addition, AMP-1 now includes a new vertically integrated stamping facility that will commence operations later in 2024.</t>
    <phoneticPr fontId="1"/>
  </si>
  <si>
    <t>On February 8, Rivian introduced two new entry-level battery and range options for its R1T truck and the R1S SUV, built in Normal, Illinois, referred to as Standard and Standard+. The new Standard range option, available only with the dual-motor variants, reduces the price of the entry-level R1T and R1S by approximately USD 3,100, and.will deliver a Rivian-estimated 270-mile range from a 106 kWh battery pack. The Standard+ pack, which can be had with both the dual-motor and performance variants, will deliver an estimated 315 miles of range from a 121 kWh battery pack.</t>
    <phoneticPr fontId="1"/>
  </si>
  <si>
    <t>https://www.marklines.com/en/global/3309</t>
    <phoneticPr fontId="1"/>
  </si>
  <si>
    <t>On February 8, Pablo Di Si confirmed VWoA is remaining on course to launch 25 EVs in North America across its group brands by 2030, but is ready to adjust as the market shifts. The ID.Buzz electric minibus and the ID.7 sedan are scheduled to launch in the U.S. later in 2024, but not in high sales volumes. VW is developing midsize and larger electric SUVs to capture 10% of the U.S. market across all the group's brands by 2030. In 2022, VW launched the ID.4 compact electric SUV, currently built at its Chattanooga, Tennessee plant. For 2024, the VW brand has a revamped version of the ID.4 eligible for USD 7,500 in U.S. tax credits.</t>
    <phoneticPr fontId="1"/>
  </si>
  <si>
    <t>https://www.marklines.com/en/global/8604</t>
    <phoneticPr fontId="1"/>
  </si>
  <si>
    <t>On January 30 it was announced that the Nissan plant in Resende, Brazil, installed eight new robots in the paint and plastic areas, four of them working on the underbody protection, applying sealing and a protective mask against noise and small impacts on the chassis. The other four robots apply the primer to the bumpers, leaving the bumper painting process 100% automated. This strategy is part of Nissan's estimated BRL 2.8 billion investment until 2025.</t>
    <phoneticPr fontId="1"/>
  </si>
  <si>
    <t>On February 9, Lotus Cars announced that its Emeya hyper-GT, the all-electric grand tourer has completed the final stage of the global test and development programme. The car went through both controlled and real-time testing during its development programme. The three-year test and development programme was performed across 15 countries and two continents, supported by Lotus' global engineering teams. The vehicle was tested under the most extreme conditions, from temperatures as high as 40 degrees to -40 degrees Celsius north of the Finnish Arctic Circle. The car will also undergo in-market testing in the Middle East, United States, and Australia ahead of deliveries in these markets. Lotus' engineers focused on chassis systems, tyre testing, driver assistance functions, and charging and discharging as well, as the air-conditioning and thermal management systems, during the Arctic testing programme.</t>
    <phoneticPr fontId="1"/>
  </si>
  <si>
    <t>On February 8, multiple sources reported that Renault's new compact C-Segment SUV, the Symbioz, will be manufactured at the Valladolid plant in Spain using the CMF-B platform. Production will commence in March 2024, with the vehicle expected to be available at dealerships around May 2024.</t>
    <phoneticPr fontId="1"/>
  </si>
  <si>
    <t>On February 7, Polytechnic University of Valencia (UPV) signed an agreement with PowerCo to establish a Chair focusing on the development and advancement of knowledge in battery cell production and technological innovation for electric vehicles (EVs). The collaboration will enhance UPV's training activities, offering additional content through joint efforts in master's degrees, continuing education programs, conferences, seminars, and industry visits. The partnership aims to foster expertise in battery cell technology by offering collaboration scholarships, funding final-year projects and idea competitions, and supporting the preparation of scientific publications to promote technical advancements in sustainable mobility.</t>
    <phoneticPr fontId="1"/>
  </si>
  <si>
    <t>Toyota Motor Corporation (Toyota) temporarily suspended operations of 11 lines at seven plants in Japan because of snowfall on February 5. This was due to expressway and other road closures, which hampered parts delivery. A total of eight lines (Toyota's Takaoka Plant Production Lines #1 and #2, Toyota’s Tsutsumi Plant Production Lines #1 and #2, Toyota Auto Body Co., Ltd.’s Fujimatsu Plant Production Line #2, and Toyota Motor East Japan, Inc.'s (TMEJ) Iwate Plant Production Lines #1 and #2, and TMEJ’s Miyagi Ohira Plant) suspended operations for the first shift on February 6 and resumed operations for the second shift on the same day. Production Line #1 at Toyota's Tahara Plant was shut down for the first and second shifts on February 6, but operations will resume for the first shift of February 7. Operations on Hino Motors Ltd.'s Hamura Plant Production Line #1 was suspended from the second shift of February 5 to the first shift of February 6, and resumed operation from the second shift of February 6. The Hamura Plant Production Line #4, which has a one-shift operation system, was shut down only on February 6 (one-shift).</t>
    <phoneticPr fontId="1"/>
  </si>
  <si>
    <t>Gestamp is investing USD 42.5 million to build a 460,000-square-foot plant in Chesterfield Township, Michigan that will employ 390 workers in early 2025 to weld steel blanks to make assemblies for General Motors' Orion Assembly factory. GM has delayed production of the Chevrolet Silverado EV and GMC Sierra EV at the Orion Assembly Plant to late 2025.</t>
    <phoneticPr fontId="1"/>
  </si>
  <si>
    <t>On February 6, the United Auto Workers (UAW) announced it has signed up a majority of workers at VW’s Chattanooga plant to join the union, marking the first time at a currently non-union auto plant, saying "’a clear majority" of about 4,100 hourly employees at the plant have signed cards to join the UAW. While the threshold for an election is only 30%, the UAW has not yet asked VW to recognize it and has not filed to have an election.</t>
    <phoneticPr fontId="1"/>
  </si>
  <si>
    <t>https://www.marklines.com/en/global/569</t>
    <phoneticPr fontId="1"/>
  </si>
  <si>
    <t>Gunma</t>
  </si>
  <si>
    <t>On February 5, Hino Motors, Ltd. (Hino) announced that Production Line #2 at its Hamura Plant will continue to be shut down on February 6. Affected by the suspension of shipments of the 1GD engine manufactured by Toyota Industries Corporation (Toyota Industries), operations on Production Line #2 continue to be suspended since the second shift on January 29. This is the third time the suspension period has been extended. On January 29, Toyota Industries announced that it had committed fraud in engine output tests and suspended shipments of three affected engine models, including the 1GD engine. The 1GD engine is installed in the Dutro and other light-duty trucks produced on the Hamura Plant's Production Line #2. Hino also suspended operations of the second shift on February 5 and the first shift on February 6 at the Koga Plant, Nitta Plant, and Hino Plant, as well as Production Line #1 at the Hamura Plant, due to heavy snowfall on February 5.  The Hamura Plant's Production Line #4, which has a one-shift operation system, was shut down only on February 6 (one-shift).</t>
    <phoneticPr fontId="1"/>
  </si>
  <si>
    <t>https://www.marklines.com/en/global/570</t>
    <phoneticPr fontId="1"/>
  </si>
  <si>
    <t>Ibaraki</t>
  </si>
  <si>
    <t>https://www.marklines.com/en/global/565</t>
    <phoneticPr fontId="1"/>
  </si>
  <si>
    <t>On February 5, Toyota Motor Corporation (Toyota) decided to extend the shutdown of six lines at four of its plants in Japan until February 9, and canceled a workday scheduled for Saturday, February 10. A decision on operation from Monday the 12th will be made by the 8th.The six lines at the four plants are: Toyota Auto Body Co., Ltd.’s Fujimatsu Plant Production Line #1, Inabe Plant Production Lines #1, and Yoshiwara Plant Production Lines #1 and #2; and Gifu Auto Body Co., Ltd.’s Production Lines #1 and #2. Following the discovery of improper conduct in engine output tests by Toyota Industries Corporation, Toyota has suspended operations of the six lines since the second shift on January 29.</t>
    <phoneticPr fontId="1"/>
  </si>
  <si>
    <t>On February 3, Audi Mexico announced that it reached an agreement with the Independent Union of Audi Mexico Workers (Sitaudi) on the labor contract for 2024. The agreement consists of a 7% global increase, divided into a 5% increase in salary and 2% in benefits. If approved by the workers, the strike will end, otherwise the plant will remain without operations, mainly affecting the production of the Audi Q5 since the Puebla plant is the only one in the world that assembles this model.</t>
    <phoneticPr fontId="1"/>
  </si>
  <si>
    <t>https://www.marklines.com/en/global/2931</t>
    <phoneticPr fontId="1"/>
  </si>
  <si>
    <t>On February 2, VW Brazil announced an investment of BRL 9 billion from 2026 to 2028 in addition to the BRL 7 billion it had forecast from 2022 to 2026. The investment covers the launch of 16 new models until 2028 between fully electric and total flex. Two of the planned new vehicles will be produced at the Anchieta factory, in São Bernardo do Campo while the São José dos Pinhais factory will produce an all-new pick-up. The Taubaté factory will manufacture an all-new automobile, 100% developed in Brazil and finally the engine factory in São Carlos will produce a new engine for hybrid vehicles, even more innovative and efficient.</t>
    <phoneticPr fontId="1"/>
  </si>
  <si>
    <t>https://www.marklines.com/en/global/2933</t>
    <phoneticPr fontId="1"/>
  </si>
  <si>
    <t>https://www.marklines.com/en/global/2935</t>
    <phoneticPr fontId="1"/>
  </si>
  <si>
    <t>https://www.marklines.com/en/global/2937</t>
    <phoneticPr fontId="1"/>
  </si>
  <si>
    <t>On January 24, Horse announced that its Valladolid factory in Spain achieved a milestone with the production of its 35 millionth engine. The 35 millionth engine was 1.2 liter HR12 hybrid turbo gasoline engine which has the lowest approved emissions on the market for its range.</t>
    <phoneticPr fontId="1"/>
  </si>
  <si>
    <t>On February 8, NEFAZ PJSC, a subsidiary of Kamaz in Bashkiria, announced that in 2024, it will work on two large-scale projects: "Development of production capacity for the production of K5 dump trucks" and "production capacity of passenger buses at PJSC NEFAZ up to 3 thousand units per year." The projects provide for automation and robotization of production processes, as well as equipment modernization. In the first quarter of 2025, it is planned to complete a set of works to modernize the painting line of dump trucks.</t>
    <phoneticPr fontId="1"/>
  </si>
  <si>
    <t>On February 8, NEFAZ PJSC, a subsidiary of Kamaz in Bashkiria, announced its business plan for 2024. It provides for the production of a total of 2.3 thousand units of passenger vehicles (buses, electric vehicles), more than 7.1 thousand units of special superstructures (dump trucks, shift vehicles), and 1.8 thousand units of trailed equipment. In 2024, it will plan the KAMAZ-6250 all-wheel drive bus, the KAMAZ-6299 extra-large class bus, the KAMAZ-4290 medium semi-low-floor bus, the KAMAZ-62825 autonomous trolleybus, as well as the 3-axle dump semi-trailer NEFAZ-9509 with a body volume of 33 cubic meters.</t>
    <phoneticPr fontId="1"/>
  </si>
  <si>
    <t>https://www.marklines.com/en/global/2253</t>
    <phoneticPr fontId="1"/>
  </si>
  <si>
    <t>On February 7, multiple sources reported that the Opel plant in Eisenach, Germany is implementing short-time work in February 2024 due to reduced demand for the Grandland model. The short-time work is temporary, expecting it to conclude in the second half of the year when a new model generation is introduced. The plant is currently operating in single-shift mode, with a total of eight short-time work days planned for February 2024 and the possibility of additional days in the first half of the year.</t>
    <phoneticPr fontId="1"/>
  </si>
  <si>
    <t>https://www.marklines.com/en/global/1329</t>
    <phoneticPr fontId="1"/>
  </si>
  <si>
    <t>On February 7, Fiom-Cgil announced that the campaign meetings are underway with Stellantis, focusing on the at-risk Pomigliano and Mirafiori factories. The workers expressed their concern over Stellantis CEO's statements, with the president's remarks providing no assurances. Multiple sources also reported that amidst an additional month of layoffs, about 300 Mirafiori plant workers staged a spontaneous strike. The recent automotive sector roundtable at Ministry of Business and Made in Italy (MIMIT) failed to produce the desired outcomes, with Stellantis questioning factories and employment despite government initiatives. In collaboration with national Fim and Uilm, a meeting request has been sent to the Prime Minister and Stellantis CEO. Workers emphasize the importance of investment in research, development, central body valorization, employment protection, generational turnover, and new models across all assembly plants for securing the sector's future and urging collective action to halt the company's decline in Italy.</t>
    <phoneticPr fontId="1"/>
  </si>
  <si>
    <t>https://www.marklines.com/en/global/655</t>
    <phoneticPr fontId="1"/>
  </si>
  <si>
    <t>On February 7, Volkswagen Group South Africa announced that it has invested ZAR 34 million in solar photovoltaic panels capable of generating 4,488 MWh of electricity annually. Additional solar panels, with a ZAR 55 million investment, will be added in September 2024, providing another 4,500 MWh. The company aims to make its Kariega plant a carbon-neutral production facility by 2030. The company addresses water consumption by installing rainwater harvesting tanks storing 1.2 million liters and a wastewater recycling facility, reducing freshwater use by 26%. Waste reduction initiatives in 2023 resulted in a 5% reduction in landfill waste, with cardboard reduced by 17 tonnes and plastic by 46 tonnes in 2022 and 2023. Environmental impact has already seen a 57% reduction from the 2010 baseline. Notable reductions include 56% in energy usage, 53% in carbon dioxide emissions, 73% in freshwater usage, and 76% in waste.</t>
    <phoneticPr fontId="1"/>
  </si>
  <si>
    <t>On February 7, IG Metall, a dominant metalworkers' union in Germany, signed a social collective agreement with Ford. Under the agreement, Ford will continue to retain 1,000 jobs, even after the Focus is phased out in 2025, at the Saarlouis plant, which currently employs around 4,500 workers. The jobs will adhere to collective bargaining standards and will be excluded from operational redundancies until 2032. Moreover, the production timeline for the Ford Focus has also been prolonged until November 30, 2025.</t>
    <phoneticPr fontId="1"/>
  </si>
  <si>
    <t>On February 7, multiple sources reported that the management of the Ford Almussafes (Valencia) plant has proposed a new Temporary Employment Regulation File (ERTE), from February 12, 2024, to April 30, 2024, due to a decrease in vehicle production and the inability of suppliers in the engine sector to meet demand. The ERTE includes a rotating partial halt of 750 daily workers for up to 15 days in the vehicle manufacturing plants, and a stoppage equivalent to four production days in the engine plant. According to the UGT, the majority union in Ford Almussafes has scheduled a meeting on February 9, 2024, with the Labor Relations management to negotiate an ERTE that does not go beyond March 28, 2024.</t>
    <phoneticPr fontId="1"/>
  </si>
  <si>
    <t>On February 7, Ford announced that it will unveil the fully electric Puma Gen-E, the first Puma model to offer emission-free driving, later in 2024. Additionally, Ford unveiled the new Puma, equipped with a 1.0-liter EcoBoost hybrid engine and a 48-volt mild hybrid electric technology, offering 155 PS of power. Ford has also developed the Puma ST Powershift, boasting sportier performance with up to 170 PS peak power. The new Puma will be available in Titanium, ST-Line, and ST-Line X models. The vehicle also comes with Intelligent Adaptive Cruise Control, Lane Centring, Predictive Speed Assist, and a 360-degree surround-view camera system.</t>
    <phoneticPr fontId="1"/>
  </si>
  <si>
    <t>Tesla's Gigafactory Berlin produced 6,000 cars in a week for the first time, shortly before it halted production in late January because of missing components because of attacks by Houthi militants on ships in the Red Sea, the plant's director, Andre Thierig, told German local media while confirming that production will resume on February 12 with the same ramped up speed, saying supply chains were once again "intact". Gigafactory Berlin now has12,500 employees, and is awaiting approval on an application for an expansion to double the plant's capacity to 1 million cars annually.</t>
    <phoneticPr fontId="1"/>
  </si>
  <si>
    <t>Karsan</t>
    <phoneticPr fontId="1"/>
  </si>
  <si>
    <t>https://www.marklines.com/en/global/1428</t>
    <phoneticPr fontId="1"/>
  </si>
  <si>
    <t>On February 6, Karsan announced that Autonomous e-ATAK has become the first and only driverless public transportation vehicle that can pass through a tunnel in Europe. The vehicle comes with LiDAR sensors located in different parts of the vehicle, as well as many innovative technologies such as advanced radar technology at the front, high-resolution image processing with RGB cameras, and thermal cameras, which offer all these technologies as Level 4 Autonomous, can move driverless on a planned route. The vehicle can accelerate to 50 km/h regardless of weather conditions, whether it be day or night, and carry out all operations such as approaching the stops on the route, managing the alighting and boarding processes, providing dispatch and management at intersections, crossings, and traffic lights.</t>
    <phoneticPr fontId="1"/>
  </si>
  <si>
    <t>Kaiyi</t>
    <phoneticPr fontId="1"/>
  </si>
  <si>
    <t>https://www.marklines.com/en/global/9273</t>
    <phoneticPr fontId="1"/>
  </si>
  <si>
    <t>On February 6, Kaiyi Auto displayed its vehicles, including the Kaiyi X7, Kaiyi X3 Pro, Kaiyi E5, etc., at the Chinese New Year event hosted by the Chinese Embassy and the Consulate General at the Burj Khalifa Park, in Dubai. During the event, a signing ceremony also took place between Dubai Taxi Company and Kaiyi Auto for 1,000 Kaiyi cars. Kaiyi reportedly received numerous orders for the Kaiyi X7 at the event.</t>
    <phoneticPr fontId="1"/>
  </si>
  <si>
    <t>https://www.marklines.com/en/global/2653</t>
    <phoneticPr fontId="1"/>
  </si>
  <si>
    <t>On February 6, Jeep announced that production of the restyled 2024 Gladiator is underway at the Toledo (Ohio) Assembly Complex, the home it shares with the Jeep Wrangler. With more than 3 million square feet of floor space, the Toledo Assembly Complex is comprised of the North plant that builds the Wrangler and the South plant (Supplier Park) that received USD 1 billion to retool and build more than 345,000 Jeep Gladiators since April 2019.</t>
    <phoneticPr fontId="1"/>
  </si>
  <si>
    <t>https://www.marklines.com/en/global/2655</t>
    <phoneticPr fontId="1"/>
  </si>
  <si>
    <t>https://www.marklines.com/en/global/10508</t>
    <phoneticPr fontId="1"/>
  </si>
  <si>
    <t>Andhra Pradesh</t>
  </si>
  <si>
    <t>On February 6, Omega Seiki Private Limited (OSPL) and Attero signed an MoU for lithium-ion battery recycling. As per the MoU, Omega Seiki plans to deploy EV batteries totaling over 1 GWh in the next 5 years, accompanied by a collective target with Attero to recycle over 100 MWh of batteries in the next 3-4 years. With over 10,000 electric vehicles already deployed by Omega Seiki, Attero will focus on repurposing those batteries for energy storage.</t>
    <phoneticPr fontId="1"/>
  </si>
  <si>
    <t>According to multiple press releases dated February 5, the manufacturing of a new cooperative VW model between VW China and XPeng will start in Hefei, Anhui in 2026. Previously, VW Group announced a partnership with XPeng for the R&amp;D of new models, for which Volkswagen (China) Technology Co., Ltd. will be specifically responsible. The group has now specified Hefei as the manufacturing location for these models to further strengthen its R&amp;D and manufacturing layouts in the city.</t>
    <phoneticPr fontId="1"/>
  </si>
  <si>
    <t>https://www.marklines.com/en/global/9509</t>
    <phoneticPr fontId="1"/>
  </si>
  <si>
    <t>On February 5, an event for the completion and commissioning of the Seres Super Plant and the delivery of the first M9 SUVs to their owners was held in Chongqing. The M9, a premium model co-designed and co-developed by Seres Group and Huawei, is positioned as a flagship full-size electric SUV and is manufactured at the Seres Super Plant.</t>
    <phoneticPr fontId="1"/>
  </si>
  <si>
    <t>https://www.marklines.com/en/global/3685</t>
    <phoneticPr fontId="1"/>
  </si>
  <si>
    <t>According to a press release dated February 4, the next-generation Foton Ollin V Truck recently rolled off the production line at the Shandong Ollin Super Truck Plant. The Foton Ollin V Truck, a crossover vehicle between a micro truck and a small light-duty truck, is equipped with a DAAE 1.6L gasoline engine delivering a maximum power of 122PS.</t>
    <phoneticPr fontId="1"/>
  </si>
  <si>
    <t>https://www.marklines.com/en/global/2207</t>
    <phoneticPr fontId="1"/>
  </si>
  <si>
    <t>On February 7, BMW announced that its Dingolfing plant anticipates growth in 2024, producing over 300,000 vehicles with the new BMW 5 Series Touring and BMW M models. In 2023, the plant achieved record volumes, manufacturing approximately 292,000 BMWs, with 30% being fully electric models. Employee numbers slightly increased to over 18,500. Dingolfing is undergoing a comprehensive transformation into e-mobility and a smart factory, the BMW iFactory. The competence center for electric drive production played a significant role, producing over 560,000 electric motors and around 400,000 high-voltage batteries. Initiatives in Dingolfing include projects like transforming into a university location, establishing the Innovation Hub in collaboration with Microsoft, INTEL, and NTT, and partnering with Bayernwerk Natur and Dingolfing municipal utilities. A biomass heating plant planned for 2025 aims to reduce CO2 emissions by 10% to 15%.</t>
    <phoneticPr fontId="1"/>
  </si>
  <si>
    <t>On February 7, AvtoVAZ announced that in 2024, the production of full-function versions of all LADA models will be restored. All LADA Vesta leaving the AvtoVAZ assembly line will be equipped with two airbags. The disruptions in the supply of airbags arose in mid-autumn 2023 when a foreign supplier refused to ship products due to direct sanctions imposed against AvtoVAZ. Upon completion of the necessary tests and calibrations of airbags from an alternative supplier, full-function versions of LADA Granta with the driver's airbag will roll out by the end of February 2024, and the front passenger's airbag in March 2024.</t>
    <phoneticPr fontId="1"/>
  </si>
  <si>
    <t>On February 6, BMW announced that its Steyr facility in Austria is undergoing a significant transformation to produce next-gen electric drives alongside combustion engines. The InnoLab serves as a digital skills hub, where around 200 diverse projects are underway, ranging from simple data visualizations to complex AI solutions across multiple production lines. These scalable digital solutions, aligned with BMW iFACTORY principles, prioritize flexibility, processes, and integrability. Employee training is a focal point in BMW Group's transformation, featuring initiatives such as plant-wide interactive data visualization weeks and robot process automation (RPA) applications in Austria.</t>
    <phoneticPr fontId="1"/>
  </si>
  <si>
    <t>On February 6, Volkswagen Poznań announced that its Foundry system has completed the implementation of free cooling technology across its production line. The method utilizes low external air temperatures, below 14°C, to cool machines and production equipment, replacing the previous energy-intensive refrigeration units. The switch to free cooling allows for energy savings of 200 MWh per year. The foundry has reduced overall energy consumption by nearly 25% since 2010, aligning with its commitment to environmental sustainability. By mid-2024, most traditional aggregates will be replaced. Volkswagen Poznań's environmental strategy focuses on reducing the environmental impact across its plants in Poznań, Swarzędz and Września, aiming for complete decarbonization by 2050.</t>
    <phoneticPr fontId="1"/>
  </si>
  <si>
    <t>https://www.marklines.com/en/global/9216</t>
    <phoneticPr fontId="1"/>
  </si>
  <si>
    <t>https://www.marklines.com/en/global/10455</t>
    <phoneticPr fontId="1"/>
  </si>
  <si>
    <t>North Carolina</t>
  </si>
  <si>
    <t>On February 6, Toyota announced a USD 1.3 billion investment at its Georgetown, Kentucky manufacturing plant for future electrification efforts including assembly of an all-new, three row battery electric SUV for the U.S. market. The investment supports the previously announced future BEV assembly at Toyota Kentucky, but also adds a battery pack assembly line to the facility, with batteries being supplied by Toyota Battery Manufacturing North Carolina.</t>
    <phoneticPr fontId="1"/>
  </si>
  <si>
    <t>https://www.marklines.com/en/global/3233</t>
    <phoneticPr fontId="1"/>
  </si>
  <si>
    <t>Kentucky</t>
  </si>
  <si>
    <t>On February 6, Volvo Trucks North America announced that it will further extend its class-leading fuel efficiency by enhancing the dependable Volvo D13 engine and I-Shift transmission of its all-new Volvo VNL, built at the company’s New River Valley plant. “This is not just a face lift, it’s a 90% redesign of the product and the platform for all future powertrain solutions,” said Peter Voorhoeve, president of Volvo Trucks North America.</t>
    <phoneticPr fontId="1"/>
  </si>
  <si>
    <t>On February 5, the Italian Metalworkers Federation (FIM-CISL) announced that Stellantis intends to implement a shift reduction affecting approximately 2,260 workers from February 12 to March 30, 2024. With the production end of Maserati Quattroporte and Ghibli by December 2023 and a likely halt for the Maserati Levante SUV in Q2 2024, concerns rise about Mirafiori's future. In 2024, production will primarily center on Fiat 500e and new Maserati GT and GC, along with the launch of Folgore (full electric) versions. However, these initiatives may not be sufficient to reverse declining production volume trends. The anticipated launches of the new large E-UV BEV in 2027 and the next generation of Quattroporte BEV in 2028 are considered too distant to address the challenges. The union urges the company to introduce another non-electric model and advance Maserati launches to sustain Mirafiori's production mission.</t>
    <phoneticPr fontId="1"/>
  </si>
  <si>
    <t>Eicher Motors</t>
    <phoneticPr fontId="1"/>
  </si>
  <si>
    <t>https://www.marklines.com/en/global/1139</t>
    <phoneticPr fontId="1"/>
  </si>
  <si>
    <t>On February 5, Eicher Trucks and Buses, a division of VE Commercial Vehicles (VECV) partnered with ITC Limited. As part of the collaboration, ITC, through its vendor partners, will progressively deploy over 100 units of India's first 5.5-tonne electric vehicle, the Eicher Pro 2055 EV, for mid-mile transportation from ITC warehouses to customer locations. The deliveries started from December 2023.</t>
    <phoneticPr fontId="1"/>
  </si>
  <si>
    <t>https://www.marklines.com/en/global/1253</t>
    <phoneticPr fontId="1"/>
  </si>
  <si>
    <t>Haryana</t>
  </si>
  <si>
    <t>On February 5, Twyn, the phygital twin deep tech powering large manufacturers and OEMs to enable smart manufacturing was recognized as a winner at Maruti Suzuki's startup accelerator program. The startup will work with the auto giant to implement a paid proof-of-concept (PoC) at the state-of-the-art manufacturing facility in Gurugram.</t>
    <phoneticPr fontId="1"/>
  </si>
  <si>
    <t>https://www.marklines.com/en/global/10742</t>
    <phoneticPr fontId="1"/>
  </si>
  <si>
    <t>On February 5, Rivian Automotive said in a social media post that it will reveal its next-generation R2 platform on March 7 but didn't provide details. Public documents from the city of Laguna Beach, California show that Rivian plans to host a worldwide product reveal on that date at its brand-awareness center and to display vehicles on city property along the beach. Industry watchers expect to see a prototype of a crossover or SUV version of the R2. The next-generation R2 platform is expected to launch in 2026 and will be built at a new plant in Georgia.</t>
    <phoneticPr fontId="1"/>
  </si>
  <si>
    <t>https://www.marklines.com/en/global/2849</t>
    <phoneticPr fontId="1"/>
  </si>
  <si>
    <t>On February 2, it was announced that GM will temporarily suspend production at its Gravataí plant in Brazil, where the Chevrolet Onix is manufactured. According to the company, this suspension is “to adjust the production plan” and is expected to happen from February 12 to 25 with employees starting activities again on Monday, February 26. 7,000 employees work in 2 shifts, all being affected by this measure.</t>
    <phoneticPr fontId="1"/>
  </si>
  <si>
    <t>On January 30, Tata Technologies announced that it completed the rollout of a smart manufacturing solution for the new Sanand plant that Tata Motors acquired from the Ford Motor Company in January 2023. It was responsible for architecting and deploying a solution that fully integrates ERP, PLM, MES, and IoT systems that has enabled Tata Motors to increase its annual production capacity by 300,000 units.</t>
    <phoneticPr fontId="1"/>
  </si>
  <si>
    <t>On March 30, Great Wall Motor released the 2022 Corporate Social Responsibility Report. According to the report, the automaker launched an intelligent application system that supports autonomous driving and automated guided vehicles (AGVs). The system enabled Great Wall Motor to achieve driverless warehouse logistics at its manufacturing sites. With the automaker's smart logistics project at the Xushui plant as an example, Great Wall Motor deployed 22 driverless electric tractors and 85 AGVs for warehouse logistics. Thanks to a smart management system, it realized unmanned operations in each process of vehicle manufacturing, ranging from inbound logistics of parts to general assembly of vehicles.</t>
    <phoneticPr fontId="1"/>
  </si>
  <si>
    <t>On March 30, Great Wall Motor released the 2022 Corporate Social Responsibility Report. According to the report, the automaker took a series of measures to optimize its logistics transportation network. For example, it promoted intermodality and changed the transportation channel from highways to railways or waterways. Great Wall Motor intends to develop more resources in railway and waterway transportation and gradually expand its rail and water transport network depending on business needs. </t>
    <phoneticPr fontId="1"/>
  </si>
  <si>
    <t>On March 30, Great Wall Motor released the 2022 Corporate Social Responsibility Report. According to the report, the automaker set up a digital platform for emissions control based on the "dual carbon" goals proposed by the Chinese government. The platform will enable OEMs, suppliers and ancillary product manufacturers to share their carbon emissions data. Additionally, it will help Great Wall Motor to achieve low carbon operations by managing carbon emissions systematically and efficiently thanks to a carbon footprint traceability system.</t>
    <phoneticPr fontId="1"/>
  </si>
  <si>
    <t>On March 30, Great Wall Motor released the 2022 Corporate Social Responsibility Report. According to the report, the automaker recovered the waster heat from paint drying ovens and regenerative thermal oxidizer (RTO) systems. Additionally, it applied a full circulating air system for its painting and spray booths and utilized the excess pressure from cooling towers. Great Wall Motor also realized 100% reutilization of recycled water as a key measure for water conservation.</t>
    <phoneticPr fontId="1"/>
  </si>
  <si>
    <t>On March 30, Great Wall Motor released the 2022 Corporate Social Responsibility Report. According to the report, the automaker continued to optimize the manufacturing processes by using low-carbon materials and advanced technologies. For example, it adopted a silanization process instead of the traditional phosphating process for pretreatment before material coating. Additionally, it used a series of advanced materials such as low-temperature cured electrophoretic coating, cold-resistant adhesives and compact coating with a high solid content. Regarding the coating operation during the vehicle design stage, Great Wall Motor applied a B1:B2 process, a box-type system for the dry separation of paint particles and a full circulating air system for spray booths, and a direct-expansion heat pump capable of flash drying.</t>
    <phoneticPr fontId="1"/>
  </si>
  <si>
    <t>On March 30, Great Wall Motor released the 2022 Corporate Social Responsibility Report. According to the report, the automaker took a series of measures to improve efficiency and achieve energy conservation in manufacturing. For example, Great Wall Motor upgraded the dry cleaning machines for its stamping lines. It also adopted a friction drive conveyor system and an automated guided vehicle for the instrument assembly line. Moreover, Great Wall Motor optimized the layout and workflow of its welding assembly line and applied medium frequency welders.</t>
    <phoneticPr fontId="1"/>
  </si>
  <si>
    <t>On March 30, Great Wall Motor released the 2022 Corporate Social Responsibility Report. According to the report, the automaker applied low carbon materials (e.g. secondary aluminum and the aluminum produced with green energy) when it developed and designed vehicles. It managed to cut carbon emissions in the manufacturing process by a series of measures, including process innovations, efficiency enhancement and replacement of fossil fuels with clean energy.</t>
    <phoneticPr fontId="1"/>
  </si>
  <si>
    <t>On February 5, multiple sources reported that UGT PV, the majority union at the Almussafes(Valencia) factory, stated that Ford is working on an alternative to solve the problem that originated due to the uncertainty about the investments necessary for the production of the electric vehicles, after a meeting on February 5, 2024. The company still hasn't provided any information on the planned investments in electrification and gradual end of production of the combustion models but has committed that the UGT representatives will meet Ford's global management, in April 2024, in which they will provide more information on the matter.</t>
    <phoneticPr fontId="1"/>
  </si>
  <si>
    <t>On February 5, Škoda Auto opened advanced technical training facilities at its Kvasiny site, focusing on strengthening robotics and automation skills for its workforce. The initiative aims to provide theoretical and practical knowledge for modern automotive production techniques, enhancing capabilities for the upcoming Octavia production launch in the summer 2024. With an investment of EUR 1 million, the training facilities offer increased capacity and incorporate modern technologies.</t>
    <phoneticPr fontId="1"/>
  </si>
  <si>
    <t>Avtotor</t>
    <phoneticPr fontId="1"/>
  </si>
  <si>
    <t>On February 5, AvtoTOR announced the creation of a brand called "AMBERAUTO"  to produce a line of new energy vehicles. In 2024, it will launch a line of electric vehicles under the AMBERAUTO brand on a technologically independent Russian platform. The product line is based on 2- and 4-seater compact electric vehicles, engineered and developed by AvtoTOR. The models will have a unified localization program. To implement it, 12 new factories are being created at the new AvtoTOR production site in the Kaliningrad region, which will produce not only electric vehicles but also dozens of auto components, like electric motors, gearboxes, traction batteries, power electronics, as well as the electric vehicle chassis, body and body systems, steering, etc.  Some of the cluster enterprises will launch in 2024. The phased implementation of the plan aims to achieve a localization level of over 90%. It will see an investment of more than RUB 70 billion (USD 773 million).</t>
    <phoneticPr fontId="1"/>
  </si>
  <si>
    <t>On February 5, Arrival announced that EY-Parthenon's Turnaround and Restructuring Strategy team was appointed as joint administrators of Arrival UK Ltd and Arrival Automotive UK Limited, both subsidiaries of Arrival. All of Arrival's other subsidiaries will continue their activities as usual outside of the administration process. The administrators are now exploring options for the sale of the business and assets of the companies, including the electric vehicle platform, software, intellectual property, and R&amp;D assets, for the benefit of creditors.</t>
    <phoneticPr fontId="1"/>
  </si>
  <si>
    <t>https://www.marklines.com/en/global/2239</t>
    <phoneticPr fontId="1"/>
  </si>
  <si>
    <t>On February 5, Mercedes-Benz announced that customers can order the all-new 2024 eSprinter cargo van at U.S. dealerships starting from USD 71,866. At market launch in North America, the eSprinter will be available as a 170'' wheelbase cargo van with a high roof equipped with a 113 kWh battery, with a range of up to 440 km (273 miles). The all-new eSprinter is produced at Mercedes-Benz Vans plants in North Charleston, South Carolina, Düsseldorf and Ludwigsfelde, Germany. Mercedes-Benz Vans is investing EUR 350 million in the all-new eSprinter from 2021 to 2024 with EUR 150 million invested at the three plants.</t>
    <phoneticPr fontId="1"/>
  </si>
  <si>
    <t>https://www.marklines.com/en/global/2241</t>
    <phoneticPr fontId="1"/>
  </si>
  <si>
    <t>https://www.marklines.com/en/global/3061</t>
    <phoneticPr fontId="1"/>
  </si>
  <si>
    <t>Lincoln</t>
    <phoneticPr fontId="1"/>
  </si>
  <si>
    <t>On February 5, Lincoln introduced its new 2025 Aviator SUV that combines a redesigned front end showcasing the brand's evolved design language. Ordering begins now for the new 2025 Aviator, assembled at Chicago Assembly Plant, which will be available this summer. The standard twin-turbocharged 3.0-liter V6 engine, paired with a 10-speed SelectShift automatic transmission, delivers 400 hp and 415 ft-lbs of torque.</t>
    <phoneticPr fontId="1"/>
  </si>
  <si>
    <t>https://www.marklines.com/en/global/859</t>
    <phoneticPr fontId="1"/>
  </si>
  <si>
    <t>On February 5, Ford Motor Co. said that expanded production capacity for its Maverick pickup installed in late 2023 helped increase U.S. sales to 12,443 in January, up nearly double compared to the same month one year ago. The Maverick is produced in Hermosillo, Mexico, alongside the Ford Bronco Sport.</t>
    <phoneticPr fontId="1"/>
  </si>
  <si>
    <t>https://www.marklines.com/en/global/9876</t>
    <phoneticPr fontId="1"/>
  </si>
  <si>
    <t>On February 3, Eicher Trucks and Buses, a division of VE Commercial Vehicles unveiled its EVFirst Eicher Truck at Bharat Mobility Global Expo 2024, marking its entry into the small commercial vehicle (SCV) segment. This Pro Business Pro Planet range spans from 2T to 3.5T GVW and is designed for city and near-city distribution and last-mile logistics. Eicher's SCV vehicle is scheduled for customer trials in April 2024, with commercial rollout expected in the first quarter of 2025. Eicher will be introducing the electric variant first, and diesel and CNG variants in the future. The product has been designed and developed in India and will be manufactured at the state-of-the-art facility in Bhopal.</t>
    <phoneticPr fontId="1"/>
  </si>
  <si>
    <t>On February 2, EKA Mobility launched its 1.5-tonne electric light commercial vehicles (LCVs) at the Bharat Mobility Global Expo. It also showcased its 9-meter electric bus, the EKA 9 staff bus at the expo. EKA K1.5 range is built on 300 volts electrical system architecture offering a peak power of 60kW and a peak torque of 220 Nm. It features a 32 kWhr lithium ferros phosphate battery which can be charged in 4 hours from a 32 A charger.</t>
    <phoneticPr fontId="1"/>
  </si>
  <si>
    <t>On February 2, Geely Auto and the Linhai Municipal People’s Government of Zhejiang Province signed a strategic cooperation agreement on the Geely Linhai Industrial Park. The two parties will jointly establish and optimize an industrial cluster.</t>
    <phoneticPr fontId="1"/>
  </si>
  <si>
    <t>Hongqi</t>
    <phoneticPr fontId="1"/>
  </si>
  <si>
    <t>https://www.marklines.com/en/global/3337</t>
    <phoneticPr fontId="1"/>
  </si>
  <si>
    <t>On February 2, a ceremony for the commissioning of FAW FinDreams was officially held. The company has a total planned production capacity of 45GWh, with 15GWh for the first phase. The first products will be featured in a new FAW Hongqi battery electric model.</t>
    <phoneticPr fontId="1"/>
  </si>
  <si>
    <t>https://www.marklines.com/en/global/10437</t>
    <phoneticPr fontId="1"/>
  </si>
  <si>
    <t>https://www.marklines.com/en/global/3339</t>
    <phoneticPr fontId="1"/>
  </si>
  <si>
    <t>https://www.marklines.com/en/global/9099</t>
    <phoneticPr fontId="1"/>
  </si>
  <si>
    <t>https://www.marklines.com/en/global/10488</t>
    <phoneticPr fontId="1"/>
  </si>
  <si>
    <t>https://www.marklines.com/en/global/10432</t>
    <phoneticPr fontId="1"/>
  </si>
  <si>
    <t>Ford’s BlueOvalSK Battery Park, which has officially been under construction for a little over a year now, recently faced some revisions due to a slowdown in demand for EVs. Ford will still build two EV battery plants at the site, but it will only operate one starting in 2025, at least for now, meaning that the company will also hire 2,500 workers rather than the 5,000 it originally planned.</t>
    <phoneticPr fontId="1"/>
  </si>
  <si>
    <t>https://www.marklines.com/en/global/9976</t>
    <phoneticPr fontId="1"/>
  </si>
  <si>
    <t>GM’s Q4 2023 earnings report revealed that full production has been achieved at the Ultium Cells plant in Warren, Ohio, operating at 100% capacity by the end of the quarter, making all Chevrolet Blazer EV and Cadillac Lyriq crossovers produced from this point forward eligible for the full USD 7,500 U.S. Clean Vehicle Credit going forward. The GM Ultium Cells plant in Spring Hill, Tennessee is launching production in Q1 2024, and may potentially reach full capacity by the end of 2024, enabling GM to supply 100% of its battery needs for EVs in the North American market. Ultium Cells Lansing is currently under construction and is expected to begin operations in late 2024.</t>
    <phoneticPr fontId="1"/>
  </si>
  <si>
    <t>https://www.marklines.com/en/global/10475</t>
    <phoneticPr fontId="1"/>
  </si>
  <si>
    <t>MAN (TRATON)</t>
    <phoneticPr fontId="1"/>
  </si>
  <si>
    <t>https://www.marklines.com/en/global/2173</t>
    <phoneticPr fontId="1"/>
  </si>
  <si>
    <t>On February 1, MAN Truck &amp; Bus announced that it is expanding its global logistics centre in Salzgitter to meet the rising demand for EV components, including batteries. The groundbreaking ceremony marked the start of construction, set to be completed by year-end, with operations beginning in mid-2025. The 52,650 square meter expansion, required by MAN's growing electromobility product portfolio, will increase the logistics centre's size by a quarter to approximately 230,000 square meters. The logistics centre plays a pivotal role in the Spare Parts Network, servicing workshops, global importers, and regional MAN warehouses in Italy, France, Great Britain, Dachau (Germany), and Turkey.</t>
    <phoneticPr fontId="1"/>
  </si>
  <si>
    <t>On February 1, VOYAH dealers in Russia started sales of a new version of the luxury plug-in hybrid premium minivan VOYAH DREAM Long Range. It is powered by two electric motors with a peak power of 422 hp, and a torque of 620 Nm, supported by an internal combustion engine. It has received a battery with an increased capacity of 43 kWh. The gasoline engine with a power of 105 kW (143 hp) can operate in several modes. The total power reserve of the VOYAH DREAM PHEV Long Range will be 915 km of autonomous mileage according to the WLTP cycle. Compared to the previous version, the electric range has increased from 82 to 185 km.</t>
    <phoneticPr fontId="1"/>
  </si>
  <si>
    <t>Toyota Motor Corporation (Toyota) decided on February 1 to extend the suspension of operations of six production lines at four plants in Japan until the second shift on February 5. Operations from the 6th will be determined on the afternoon of the 5th. Following the discovery of fraud by Toyota Industries Corporation (Toyota Industries) in engine output tests, Toyota suspended operations of the six lines from the second shift on January 29. The initial suspension period was until February 1, with a decision on operations after the 2nd to be made on the 1st. The six lines that have been shut down are: Toyota Auto Body Co., Ltd. Fujimatsu Plant Production Line #1, Inabe Plant Production Line #1, and Yoshiwara Plant Production Lines #1 and #2; and Gifu Auto Body Co., Ltd., a subsidiary of Toyota Auto Body Co., Ltd., Production Lines #1 and 2. In addition to models in which the improperly certified engines are installed, such as the Hiace and Land Cruiser 300, other vehicles, such as the Alphard and Land Cruiser 70, are also affected.</t>
    <phoneticPr fontId="1"/>
  </si>
  <si>
    <t>https://www.marklines.com/en/global/4145</t>
    <phoneticPr fontId="1"/>
  </si>
  <si>
    <t>On February 1, DFLZM and Tri-Ring Group Corp. (Tri-Ring Group) signed a strategic cooperation agreement in Liuzhou, Guangxi. The two parties will jointly promote localized production and strengthen product cooperation. They will implement a comprehensive cooperation mechanism for supporting products for representative DFLZM models and make further breakthroughs in strategic and ecological cooperation on the supply chain and automobiles, respectively.</t>
    <phoneticPr fontId="1"/>
  </si>
  <si>
    <t>On February 1, JAC Group announced that its sub-brand Refine launched the new Refine RF8 mid-to-large-size MPV. The ICE variants are equipped with a 2.0-liter turbocharged engine delivering a maximum power of 186kW and a peak torque of 400Nm, mated to an 8-speed automatic transmission. These variants adopt a front-engine, front-wheel-drive layout. Their top speed is 200km/h. The plug-in hybrid variants are equipped with a 1.5-liter turbocharged engine delivering a maximum power of 120kW and a peak torque of 255Nm, mated to a 3-speed dedicated hybrid transmission and P1 + P3 dual permanent magnet synchronous motors (total power: 160kW, total torque: 350Nm). These variants adopt a front-engine, front-wheel-drive layout. Their top speed is 180km/h. Powered by a 27.6kWh lithium iron phosphate battery, they have a CLTC (China light duty vehicle test cycle) range of 150km under EV mode and a combined range of 1,150km. The power consumption is 15.1kWh per 100km.</t>
    <phoneticPr fontId="1"/>
  </si>
  <si>
    <t>https://www.marklines.com/en/global/10787</t>
    <phoneticPr fontId="1"/>
  </si>
  <si>
    <t>On February 1, GAC Aion held a ceremony in Hualong Town, Guangzhou City, Guangdong Province to celebrate the official opening of its southeast export distribution center and the shipment of the first containers to the Thailand factory. The first overseas factory independently constructed and operated by GAC Group has begun trial production. The automaker will radially spread out its business to Southeast Asia centered on Thailand, shaping a new development pattern.</t>
    <phoneticPr fontId="1"/>
  </si>
  <si>
    <t>On February 1, Denza, a division of BYD, announced its plans for new models and new technologies in 2024. Denza will launch 3 flagship models in 2024.</t>
    <phoneticPr fontId="1"/>
  </si>
  <si>
    <t>https://www.marklines.com/en/global/4043</t>
    <phoneticPr fontId="1"/>
  </si>
  <si>
    <t>On February 1, Jiyue Auto, a Geely Holding Group sub-brand, announced a strategic partnership with CATARC Automotive Test Center (Tianjin) Co., Ltd. (Tianjin Automotive Test Center) and inaugurated a “New Energy Joint Laboratory” with New Energy Testing Center. Under the agreement, Jiyue Auto and Tianjin Automotive Test Center will cooperate in various fields including automobile active and passive safety, energy conservation and environmental protection, new energy testing, and intelligent connectivity.</t>
    <phoneticPr fontId="1"/>
  </si>
  <si>
    <t>On January 31, Daihatsu Motor Co., Ltd. (Daihatsu) announced that it has decided to resume production and shipments of the Toyota Probox and the Mazda Familia Van. Following the discovery of wrongdoing in the application for certification, production had been suspended at all Daihatsu finished vehicle plants in Japan since December 26, 2023. The Japanese Ministry of Land, Infrastructure, Transport and Tourism (MLIT) lifted its suspension order on January 19 for the Toyota Probox and Mazda Familia Van, and production will resume at the Kyoto (Oyamazaki) Plant on February 12. The shipment of unshipped vehicles is set to resume on February 5. On the other hand, the suspension of production of other models built at the Kyoto (Oyamazaki) Plant will be extended until March 1. Since MLIT has not yet completed its confirmation of compliance with the standards, there is no timetable for the resumption of production after March 4. The suspension of production of all models at the Shiga (Ryuo) Plant 2nd District and the Copen Factory at the Head (Ikeda) Plant will be extended until March 1, and there is no timetable for the resumption of production after March 4. The company also said that it is considering the resumption of production on and after February 19 for ten mini-vehicle models among the models produced at Daihatsu Motor Kyushu Co., Ltd.'s Oita (Nakatsu) Plant No.1 &amp; No.2, for which the suspension order was lifted on January 30. These 10 models are: the Daihatsu Mira e:S, Hijet Cargo, Atrai, and Hijet Truck; the Toyota Pixis Epoch, Pixis Van, and Pixis Truck supplied to Toyota on an OEM basis; and the Subaru Pleo Plus, Sambar Van, and Sambar Truck supplied to Subaru Corporation on an OEM basis. The suspension of production of models other than these ten is extended until March 1. There is no timetable for resumption of production after March 4.</t>
    <phoneticPr fontId="1"/>
  </si>
  <si>
    <t>Subaru</t>
    <phoneticPr fontId="1"/>
  </si>
  <si>
    <t>https://www.marklines.com/en/global/10593</t>
    <phoneticPr fontId="1"/>
  </si>
  <si>
    <t>According to a press release dated January 31, Hemei (Zhejiang) Automobile Co., Ltd. (Hemei Auto) recently officially signed a strategic cooperation agreement with Yuchai Group and Yuchai NEV. The three parties will cooperate in areas such as equity investment, co-production, new product co-development, and joint product sales. They will establish a joint brand and achieve the goal of building two commercial vehicle export sites in Guangxi.</t>
    <phoneticPr fontId="1"/>
  </si>
  <si>
    <t>Mazda Motor Corporation (Mazda) unveiled the all-new CX-70 crossover SUV in the United States on January 30. The two-row mid-size SUV, developed for the North American market, is the third model in Mazda’s Large Product Group following the CX-60 and CX-90. Its powertrains include a plug-in hybrid system and the M Hybrid Boost (48V mild hybrid) system. Mazda began production of the CX-70 at its Hofu Plant No.2 in Japan in December 2023, and plans to launch sales of the model in the U.S. and Canada in the spring of 2024. After that, the model will be introduced in Mexico and Australia.</t>
    <phoneticPr fontId="1"/>
  </si>
  <si>
    <t>https://www.marklines.com/en/global/517</t>
    <phoneticPr fontId="1"/>
  </si>
  <si>
    <t>Okayama</t>
  </si>
  <si>
    <t>On January 30, Nissan Motor Co., Ltd. (Nissan) announced that sales of the Clipper EV, a mini commercial EV van, will begin in Japan on February 12. The Clipper EV is based on Mitsubishi Motors Corporation's Minicab EV and is supplied on an OEM basis. It is powered by a 20kWh lithium-ion battery and can travel up to 180km (WLTC mode) per charge. The battery can be charged to 80% in about 42 minutes using quick charging, and using normal charging, can be fully charged in about 7.5 hours. The battery is located in the center under the floor, providing a low center of gravity for a comfortable ride and good maneuverability. Like the Minicab EV, it is available in two-seater and four-seater versions.</t>
    <phoneticPr fontId="1"/>
  </si>
  <si>
    <t>https://www.marklines.com/en/global/9928</t>
    <phoneticPr fontId="1"/>
  </si>
  <si>
    <t>GS Yuasa Corporation announced that, the Company’s consolidated subsidiary GS Yuasa International Ltd. will acquire the shares (49%) of Lithium Energy Japan (LEJ), which are currently in the possession of Mitsubishi Corporation and Mitsubishi Motors Corporation, to dissolve the joint venture. LEJ manufactures lithium-ion batteries for vehicles and Energy Storage Systems (ESS). After the dissolution of the joint venture, GS Yuasa will take over LEJ's business and dissolve and liquidate LEJ. GS Yuasa Corporation expects the demand for automotive and ESS lithium-ion batteries to grow rapidly in the future, and intends to integrate LEJ's business into GS Yuasa's to ensure agile and efficient business operations. LEJ was established on December 12, 2007 by GS Yuasa, Mitsubishi Corporation, and Mitsubishi Motors as a joint venture to manufacture and sell automotive lithium-ion batteries. GS Yuasa plans to terminate the joint venture agreement in February, and will dissolve LEJ as of March 31 and begin liquidation procedures.</t>
    <phoneticPr fontId="1"/>
  </si>
  <si>
    <t>https://www.marklines.com/en/global/10401</t>
    <phoneticPr fontId="1"/>
  </si>
  <si>
    <t>On January 29, The UK Infrastructure Bank announced a GBP 200 million (approx. USD 252 million) loan to support the establishment of AESC's 15.8 GWh gigafactory, in Sunderland in Northeast England, which will produce lithium-ion batteries for next-generation EVs manufactured in the UK. The project will create over 1,000 jobs once operational. The site will be AESC's second plant in Sunderland, with the existing 1.8 GWh facility built in 2012 currently the UK's only operational gigafactory. The project aligns with the Government's Battery Strategy and the UK Infrastructure Bank's mission to tackle climate change, boost local economies, and invest in supply chains and advanced manufacturing to aid the UK's net zero transition.</t>
    <phoneticPr fontId="1"/>
  </si>
  <si>
    <t>On January 26, the Industrial Development Fund, Russia announced that the Atom electric car project, developed by the Russian JSC Kama, attracted investments totaling RUB 24 billion (USD 265 million) in 2021-2023, collecting 105 thousand pre-orders for the future car. This year the project expects to attract another RUB 31 billion. Of the total amount of investment raised in the project, RUB 14 billion came from funds from private investors, and another RUB 10 billion from current and planned loans from the Industrial Development Fund.</t>
    <phoneticPr fontId="1"/>
  </si>
  <si>
    <t>MINI</t>
    <phoneticPr fontId="1"/>
  </si>
  <si>
    <t>https://www.marklines.com/en/global/2285</t>
    <phoneticPr fontId="1"/>
  </si>
  <si>
    <t>On February 5, BMW announced that the final MINI Clubman has rolled off the production line at MINI Plant Oxford, marking the end of a 55-year legacy since its debut in 1969. With over 1.1 million Clubman models produced, half of them at MINI Plant Oxford and exported to 50 countries. MINI embarks on an electrifying future with the ongoing launch of its new, all-electric MINI family, following the introduction of the all-electric MINI Cooper and the new MINI Countryman.</t>
    <phoneticPr fontId="1"/>
  </si>
  <si>
    <t>On February 2, multiple sources reported that AvtoTOR will present its first electric car in 2024. The series production is planned to begin in 2025. It will have over 90% localization.</t>
    <phoneticPr fontId="1"/>
  </si>
  <si>
    <t>According to multiple press releases dated January 31, NIO Innovation (Beijing) Technology and Services Co., Ltd. was recently established in Beijing. The new company has a registered capital of CNY 250 million and is wholly owned by NIO Sales and Services Co., Ltd., a wholly-owned subsidiary of NIO Holding Ltd. Its business scope includes development of AI application software, development of cybersecurity and information security software.</t>
    <phoneticPr fontId="1"/>
  </si>
  <si>
    <t>On January 30, NIO and United Nova Technology Co., Ltd. (UNT), an automotive chip and module manufacturer and solution supplier, signed an agreement on the manufacturing and supply of silicon carbide (SiC) modules. According to the agreement, UNT will function as the manufacturer and supplier of NIO’s first in-house developed 1,200V SiC module. In addition, the two parties will conduct comprehensive exchanges and cooperation in areas such as sensors, drivers, connectors, and controllers.</t>
    <phoneticPr fontId="1"/>
  </si>
  <si>
    <t>https://www.marklines.com/en/global/10613</t>
    <phoneticPr fontId="1"/>
  </si>
  <si>
    <t>On January 30, Neomor, a sub-brand of Derry New Energy Automobile Co., Ltd., signed a strategic cooperation agreement with Gotion High-tech Co., Ltd. (Gotion High-tech), a leading enterprise in the power battery industry, in Huainan, Anhui, through which the latter made a strategic investment in the former. According to the agreement, the two parties will cooperate in depth in the manufacturing of New Energy commercial vehicles (NECVs). Neomor will actively introduce advanced battery technologies such as the 3rd-generation Gotion High-tech cell and strengthen cooperation with Gotion High-tech in areas such as battery platformization, cell consistency and safety, and battery big data. Furthermore, they will co-develop New Energy Vehicle markets outside China and partner for ESG and carbon emission reduction.</t>
    <phoneticPr fontId="1"/>
  </si>
  <si>
    <t>https://www.marklines.com/en/global/3609</t>
    <phoneticPr fontId="1"/>
  </si>
  <si>
    <t>On April 29, SAIC Motor released the 2022 SAIC Motor Corporate Social Responsibility Report. According to the report, SAIC Anji Logistics, SAIC Motor's logistics division, is exploring the application of hydrogen-powered vehicles in road logistics; through the application of wearable smart technology, the efficiency of warehouse operations has been improved. During the reporting period, SAIC Anji Logistics completed shore power transformation on 19 ships; and built 7 LNG dual-fuelled ships through investment and leasing. By 2025, dual-fuelled ships will have begun operations in succession.</t>
    <phoneticPr fontId="1"/>
  </si>
  <si>
    <t>On April 29, SAIC Motor released the 2022 SAIC Motor Corporate Social Responsibility Report. According to the report, in terms of recycling and remanufacturing, SAIC Motor is accelerating the establishment of a recycling system and implementing comprehensive utilization of resources, with SAIC Motor Passenger Vehicle now serving as a pilot division. In the field of battery recycling, SAIC Motor is exploring a business model that separates cars and batteries based on battery lifecycle management and has established SEPT New Energy Technology (ENERGIEX). ENERGIEX will focus on the EV battery leasing business, with its business scope including development and promotion of battery swapping technology, battery operation management, etc.</t>
    <phoneticPr fontId="1"/>
  </si>
  <si>
    <t>On April 29, SAIC Motor released the 2022 SAIC Motor Corporate Social Responsibility Report. According to the report, SAIC VW endeavors to build a "zero-impact factory". Through expanding cooperation with China Yangtze Power Co., Ltd. (CYPC), SAIC VW's Anting site is already equipped to use 100% hydroelectric power, becoming the first automobile manufacturer in Shanghai to achieve 100% use of renewable electricity during production. SAIC VW will keep making effort to enable manufacturing sites outside Shanghai and all supply chain partners to gain access to renewable electricity. The automaker plans to gradually increase the proportion of hydroelectric power and photovoltaic power to 100%.</t>
    <phoneticPr fontId="1"/>
  </si>
  <si>
    <t>On February 2, Ford confirmed that regular factory shifts at three truck plants have returned to normal, after a supplier parts issue forced the company to shut down production of the new 2024 Ford F-150 for more than five days. The Dearborn Truck Plant was down from January 25 through January 31as was F-150 Lightning production at the Rogue Electric Vehicle Center. The Kansas City Assembly Plant was down from January 25 through February 1. A recent Rouge Electric Vehicle Center shift schedule for February to March sent to factory workers indicates a two shift pattern, with one crew on rolling layoffs. The EV plant moves to one shift on April 1.</t>
    <phoneticPr fontId="1"/>
  </si>
  <si>
    <t>https://www.marklines.com/en/global/2559</t>
    <phoneticPr fontId="1"/>
  </si>
  <si>
    <t>https://www.marklines.com/en/global/2599</t>
    <phoneticPr fontId="1"/>
  </si>
  <si>
    <t>Missouri</t>
  </si>
  <si>
    <t>On February 1, Volvo Cars announced that it is evaluating a potential adjustment to Volvo Cars’ shareholding in Polestar, including a distribution of shares to Volvo Cars shareholders, which may result in Geely Sweden Holdings becoming a significant new shareholder. Volvo Cars will no longer provide further funding to Polestar but will extend the repayment period for the existing convertible loan by 18 months to the end of 2028, which will be subject to relevant approvals. Whereas Geely will continue to provide full operational and financial support to Polestar going forward. As the company enters the next stage of its transformation, Volvo Cars is dedicated to developing and directing its resources inward on its journey.</t>
    <phoneticPr fontId="1"/>
  </si>
  <si>
    <t>https://www.marklines.com/en/global/2729</t>
    <phoneticPr fontId="1"/>
  </si>
  <si>
    <t>https://www.marklines.com/en/global/10471</t>
    <phoneticPr fontId="1"/>
  </si>
  <si>
    <t>On February 1, the Volvo Group announced it has completed the previously announced transaction to acquire the battery business from Proterra Inc. and Proterra Operating Company Inc. The acquisition, made at a purchase price of USD 210 million before adjustment for inventory level, includes a development center for battery modules and packs in California and an assembly factory in Greer, South Carolina.</t>
    <phoneticPr fontId="1"/>
  </si>
  <si>
    <t>https://www.marklines.com/en/global/10462</t>
    <phoneticPr fontId="1"/>
  </si>
  <si>
    <t>Proterra</t>
    <phoneticPr fontId="1"/>
  </si>
  <si>
    <t>Scout Motors</t>
    <phoneticPr fontId="1"/>
  </si>
  <si>
    <t>https://www.marklines.com/en/global/10676</t>
    <phoneticPr fontId="1"/>
  </si>
  <si>
    <t>On February 15, Scout Motors had a ground breaking ceremony for its future EV truck plant in Blythewood, South Carolina, ahead of a debut of its models later this year. When the plant is complete and fully operational, by late 2026, Scout expects the new facility to produce more than 200,000 electric trucks per year. Scout will acquire battery cells from an outside supplier, but intends to assemble its own battery pack modules in-house at the South Carolina facility. </t>
    <phoneticPr fontId="1"/>
  </si>
  <si>
    <t>On February 15, Lucid announced price cuts for the Lucid Air Pure rear-wheel drive (RWD) model, now starting at USD 69,900, Lucid Air Touring (AWD and 620 hp) now priced from USD 77,900, and Lucid Air Grand Touring, (AWD and 819 hp) now priced from USD 109,900. All Lucid Air models are produced at the company’s plant in casa Grande, Arizona.</t>
    <phoneticPr fontId="1"/>
  </si>
  <si>
    <t>On February 14, the Federal Labor Court in Mexico City ordered a vote to be held to validate whether workers are in favor or against the strike. This consultation is of utmost importance since the results will be used to declare the strike as existing or not. The vote will be held on February 19 at the Benemérita Universidad Autónoma de Puebla. If the workers ratify the strike, negotiations must continue between the two parties, otherwise, everyone must return to work without obtaining a salary increase. This vote was requested by Audi on January 30, arguing that the union's statutes were not respected for the start of the strike.</t>
    <phoneticPr fontId="1"/>
  </si>
  <si>
    <t>Renault Trucks</t>
    <phoneticPr fontId="1"/>
  </si>
  <si>
    <t>https://www.marklines.com/en/global/111</t>
    <phoneticPr fontId="1"/>
  </si>
  <si>
    <t>On February 15, Renault Trucks announced the construction plans to build a new global spare parts distribution center with a total investment of EUR 132 million at Saint-Priest in Lyon, Spain, where its axle manufacturing plant is currently located. Additionally, Renault Trucks also plans to move its axle manufacturing plant from Saint-Priest to Vénissieux, France adjacent to the engine manufacturing facility. This relocation project will involve major work over the next three years, including demolishing the current building and decontaminating the soil at the old site. Renault Trucks plans to submit the request for planning permission in 2024, relocate the Axle plant to Vénissieux in 2025, construct the new distribution center in 2026, install equipment in 2027, transfer activity phase by phase in early 2028, and commence operations at the new distribution center by mid-2028.</t>
    <phoneticPr fontId="1"/>
  </si>
  <si>
    <t>On February 14, BMW unveiled the fully electric three door MINI Cooper E which combines eco-friendly driving. The vehicle is available in four redesigned trims, the Classic Trim of the model offers body colors and contrasting roof finishes. The vehicle comes with 40.7 kWh battery which generates output 135 kW, 290 Nm of torque, and achieves a range of 305 km range.</t>
    <phoneticPr fontId="1"/>
  </si>
  <si>
    <t>https://www.marklines.com/en/global/9604</t>
    <phoneticPr fontId="1"/>
  </si>
  <si>
    <t>On February 14, Kamaz announced that its board of directors has approved the new KAMAZ-2030 Strategy. Kamaz targets revenue of RUB 806 billion, 60 thousand units of truck sales, 16% export, and an EBITDA margin of 9%. It will focus on the development of the product range (trucks, passenger transport, mining, all-terrain vehicles, low-carbon, and highly automated transport), technological development, and development of sales, services, new businesses, etc. The investment program has been formed in a volume of more than 380 billion rubles, and its priorities: are "R&amp;D", "Reengineering 2.0", and "Development of new businesses and sales". Much attention in the KAMAZ-2030 Strategy is paid to environmental issues and low-carbon development, personnel management and social activities, and improvement of the corporate management system.</t>
    <phoneticPr fontId="1"/>
  </si>
  <si>
    <t>https://www.marklines.com/en/global/795</t>
    <phoneticPr fontId="1"/>
  </si>
  <si>
    <t>On February 14, multiple sources reported that Aurus will produce a new line of business-class cars at the former Toyota plant in St. Petersburg together with a foreign partner. It was stated by the Deputy Prime Minister and Industry and Trade Minister of Russia. It will produce the first copies of industrial assembly by the end of 2024.</t>
    <phoneticPr fontId="1"/>
  </si>
  <si>
    <t>https://www.marklines.com/en/global/1927</t>
    <phoneticPr fontId="1"/>
  </si>
  <si>
    <t>On February 14, Nissan announced that the new warehouse located in the CyLOG area has begun operations. This 21,600 square meter facility is a logistics space with 8 rear loading docks and 3 side loading docks and has areas to store special products such as batteries. The warehouse is managed digitally and is directly connected to the welding, painting, and stamping areas of the production plant. This building at the Nissan Ávila plant will allow a reorganization of production spaces, freeing up areas for the introduction of new projects and to improve process flows.</t>
    <phoneticPr fontId="1"/>
  </si>
  <si>
    <t>On February 13, Renault announced that the Rafale E-Tech full hybrid coupe SUV is available to order. The deliveries will start before summer 2024. The vehicle is equipped with 200 hp hybrid engine based on the CMF-CD platform and produced at the Palencia plant in Spain. For future releases, Renault plans to introduce a high-performance 300 hp E-Tech 4x4 version by the end of the year. The variant will feature an additional electric motor on the rear axle and specific chassis settings for an elevated driving experience.</t>
    <phoneticPr fontId="1"/>
  </si>
  <si>
    <t>https://www.marklines.com/en/global/3141</t>
    <phoneticPr fontId="1"/>
  </si>
  <si>
    <t>Hyundai Motor America CEO José Muñoz has restated that the company is working hard to open its Metaplant complex in Georgia as soon as this October, three months ahead of the original schedule. The LG Energy Solution battery portion of the plant, with 30 GWh of annual capacity, will lag the start of vehicle assembly, with production expected to start in January 2025, Muñoz explained, but Hyundai will source batteries from other plants in the U.S. to bridge the gap. Hyundai has another battery joint venture with SK On to build a USD 5 billion battery plant in Bartow County, Georgia, with an annual production capacity of 35 GWh, which is expected to open the second half of 2025 and supply Hyundai’s Montgomery, Alabama, plant and Kia’s plant in West Point, Georgia.</t>
    <phoneticPr fontId="1"/>
  </si>
  <si>
    <t>On February 13, multiple sources reported that AGR Automotive Group has changed the name of the former Hyundai Motor Company in St. Petersburg to AGR Automobile Plant (Avtozavod AGR LLC). In January 2024, the Art Finance company acquired 100% of the authorized capital of Hyundai Motor Manufacturing Rus.</t>
    <phoneticPr fontId="1"/>
  </si>
  <si>
    <t>On February 13, Moskvich announced that it is preparing to switch to small-unit assembly at its plant, which will be carried out in the next couple of months. The transition will involve the assembly of Moskvich 3 urban crossovers and Moskvich 3e electric cars using full-cycle technology, including welding and painting of the bodies. With the transition to small-unit assembly, the components used to produce cars will increase to more than 900 positions, which is currently about 50 positions with large-scale assembly. The control over the quality of components will also be strengthened, ensuring that only top-notch parts are used in production, this applies to both body parts and assembly parts. The company has already installed a new robotic welding system, completed testing for welding and painting processes, integrated the Moskvich 3 and Moskvich 3e models into the production line, configured the robots, and registered all programs at the plant. The plant is currently in the initial stage of production development, focusing on large-scale assembly while gradually increasing localization, and will transition to small-unit assembly in the near future.</t>
    <phoneticPr fontId="1"/>
  </si>
  <si>
    <t>In February 13, Ford announced the first customer delivery of an electric F-150 Lightning in Norway, as the first country outside North America to get F-150 Lightning. The F-150 Lightning is built at the Rogue Electric Vehicle center in Dearborn, Michigan.</t>
    <phoneticPr fontId="1"/>
  </si>
  <si>
    <t>https://www.marklines.com/en/global/10139</t>
    <phoneticPr fontId="1"/>
  </si>
  <si>
    <t>On February 13 Ford Pro revealed the all-new Transit Custom MS-RT and Ranger MS-RT, a new series of range topping commercial vehicles under the MS-RT brand. The Transit Custom MS-RT comes in different powertrains like fully electric, diesel and plug-in hybrid. The final assembly and finishing stages of the new models will take place at the facility located on the Ford Dagenham Estate in the UK and will be offered across Europe through Ford Pro dealerships.</t>
    <phoneticPr fontId="1"/>
  </si>
  <si>
    <t>https://www.marklines.com/en/global/2311</t>
    <phoneticPr fontId="1"/>
  </si>
  <si>
    <t>https://www.marklines.com/en/global/1259</t>
    <phoneticPr fontId="1"/>
  </si>
  <si>
    <t>On February 12, Tata Motors partnered with the Leadership Group for Industry Transition (LeadIT), a global alliance launched by the governments of Sweden and India at the UN Climate Action Summit in September 2019. As a member of LeadIT, Tata Motors will be able to harness the power of global best practices, influence policy-making, and together with other members strengthen its climate action plans, thereby accelerating its transition towards net-zero emissions.</t>
    <phoneticPr fontId="1"/>
  </si>
  <si>
    <t>https://www.marklines.com/en/global/1263</t>
    <phoneticPr fontId="1"/>
  </si>
  <si>
    <t>https://www.marklines.com/en/global/10652</t>
    <phoneticPr fontId="1"/>
  </si>
  <si>
    <t>On February 12, Automotive Cells Company (ACC) announced the closing of a EUR 4.4 billion debt raising to boost funding for gigafactories in France, Germany, and Italy, along with R&amp;D. The move aims to fast-track ACC's development as a prominent player in the battery industry for high-performance, low-carbon EVs. The debt package is fully underwritten by a consortium of banks which will finance these capacities. Stellantis, Mercedes-Benz, and Saft, ACC's three shareholders, demonstrate commitment by participating in a capital increase. Stellantis will own 45%, Mercedes-Benz 30%, and Saft 25% of ACC's shares by the end of March 2024.</t>
    <phoneticPr fontId="1"/>
  </si>
  <si>
    <t>On February 12, Telefónica Tech, Spain announced its partnership with Horse for cybersecurity at its Valladolid plant. The agreement involves deploying Aristeo, a cybersecurity solution developed by Telefónica Tech, at its Cybersecurity Center in León specializing in Industry 4.0. Aristeo captures and analyzes threats in industrial environments using a network of decoys with real hardware to confuse attackers. The implementation of Aristeo in the Horse's factory will be presented on February 28, 2024, at the Mobile World Congress.</t>
    <phoneticPr fontId="1"/>
  </si>
  <si>
    <t>On February 12, Hino South Africa announced that it is making substantial progress in addressing environmental challenges at its manufacturing plant in Prospecton, near Durban. In 2024, it is planning to double the energy output from its solar roof panel project, as well as targeting to divert 81% of factory waste from landfills. At present, the roof panels provide 600 kWp. A further 800 kWp will be added by the middle of the year as a further 6,600 square meters of roofing is covered with solar panels. Construction will take place at night to prevent any impact on manufacturing operations during the day.</t>
    <phoneticPr fontId="1"/>
  </si>
  <si>
    <t>https://www.marklines.com/en/global/10431</t>
    <phoneticPr fontId="1"/>
  </si>
  <si>
    <t>On February 12, SK On announced it has signed a conditional offtake agreement with U.S. graphite company Westwater Resources Inc. in a move to secure battery-grade natural graphite in North America. SK On can source a total of 34,000 tons of natural graphite anode products processed at Westwater’s Kellyton Graphite Plant in Alabama from 2027 to 2031. SK On currently operates two EV battery plants in Commerce, Georgia, will have two BlueOval SK with Ford in Kentucky and one in Tennessee.</t>
    <phoneticPr fontId="1"/>
  </si>
  <si>
    <t>On February 12, Chevrolet confirmed prices for the Equinox EV before it begins going on sale later in 2024. Production of the 2024 Chevrolet Equinox EV is underway as the second electric SUV built at its Ramos Arizpe plant in Mexico, following the Blazer EV, with new units having begun shipping out to dealers as of January 29. The Chevrolet Equinox EV will also be manufactured in China for sale in the Chinese market.</t>
    <phoneticPr fontId="1"/>
  </si>
  <si>
    <t>On February 7, the Governor of the Ulyanovsk region announced that in the next two years, Sollers plans to invest more than 5.5 billion rubles in investments in projects in the Ulyanovsk region. For its part, the government will continue to provide the plant with support tools, assistance in personnel selection, as well as assistance in developing the infrastructure of the UAZ industrial site, and developing roads to ensure comfortable logistics and safe passage of vehicles.</t>
    <phoneticPr fontId="1"/>
  </si>
  <si>
    <t>https://www.marklines.com/en/global/2659</t>
    <phoneticPr fontId="1"/>
  </si>
  <si>
    <t>On February 12, Stellantis announced its plans to expand electric drive module (EDM) production in Szentgotthard, Hungary, starting in late 2026, with a EUR 103 million investment, supported by the Hungarian government. The move aligns with Stellantis' commitment to electrification, utilizing existing facilities in Tremery-Metz, France, and Kokomo, Indiana, USA. The Mirafiori facility, Italy is also increasing production of electrified dual-clutch transmissions in 2024. Szentgotthard-produced EDMs will be used in upcoming BEV-centric STLA platform vehicles, with new functions, including machining and final assembly, added at the plant. The plant is currently producing internal combustion engines and will undergo upskilling training for EDM production. Machining, assembly, and testing will occur at the Hungarian site, aiming for full operation by late 2026, producing up to 630,000 pieces annually and creating 100 new jobs.</t>
    <phoneticPr fontId="1"/>
  </si>
  <si>
    <t>https://www.marklines.com/en/global/2661</t>
    <phoneticPr fontId="1"/>
  </si>
  <si>
    <t>https://www.marklines.com/en/global/1337</t>
    <phoneticPr fontId="1"/>
  </si>
  <si>
    <t>https://www.marklines.com/en/global/159</t>
    <phoneticPr fontId="1"/>
  </si>
  <si>
    <t>https://www.marklines.com/en/global/153</t>
    <phoneticPr fontId="1"/>
  </si>
  <si>
    <t>https://www.marklines.com/en/global/1789</t>
    <phoneticPr fontId="1"/>
  </si>
  <si>
    <t>On February 12, multiple sources reported that Volkswagen Navarra plant's management proposed negotiating for new employment regulation file for temporary suspension of contracts (ERTE) until December 31, 2024, in a union committee meeting. The ERTE aims to address various challenges expected throughout the year, including August 2024 factory closures for electric car preparations and uncertainties about year-end production programs and supplier capacity. The UGT union suggested jointly considering an ERTE RED and exploring the option of maintaining 3 shifts instead of 2.5, highlighting potential complications for suppliers due to significant workforce changes.</t>
    <phoneticPr fontId="1"/>
  </si>
  <si>
    <t>On February 12, AvtoTOR presented its new brand for commercial vehicles "AMBERTRUCK". The development plan for the new brand involves the production of a wide range of commercial vehicles. Models of the brand are adapted for use in Russian conditions, with the prospect of high localization of production. The plant's assembly line began simultaneously producing 4 models of the new brand.</t>
    <phoneticPr fontId="1"/>
  </si>
  <si>
    <t>On February 12, it was announced that Audi Mexico workers rejected the company's proposal for a 5% increase in salary and 2% in benefits, so the strike at the San José Chiapa plant continues. The SITAUDI union maintains its position of having an increase of at least 10% in salary and 5.5% in benefits. Audi México recognized the results of the vote and announced that it was willing to resume negotiations with the union to reach a new agreement. It is estimated that the strike has generated a lack of production of approximately 8,500 units, an equivalent of more than MXN 8 billion, while the impact on national suppliers amounts to MXN 5.8 million per week until February 9.</t>
    <phoneticPr fontId="1"/>
  </si>
  <si>
    <t>https://www.marklines.com/en/global/9879</t>
    <phoneticPr fontId="1"/>
  </si>
  <si>
    <t>On February 9, BMW announced that the employees of the Debrecen plant, Hungary have moved to the Communication Centre for the final phase before the official launch of the Neue Klasse series. The facility supports the BMW iFACTORY concept, to be fully implemented in the plant. The non-production staff are settling in, while production teams prepare for their roles to ensure a smooth start to pre-series production in 2024 and the series launch of the first Neue Klasse model in 2025. The Communication Centre links the body shop, paint shop, assembly technologies, and features open architecture with meeting spaces and offices spanning 19,000 square meters. A laboratory on the ground floor, covering 1,300 square meters, ensures premium color quality for Neue Klasse models. Debrecen plant's digital twin had a virtual production start in March 2023. The plant's furniture is made from easy-to-recycle materials, with a preference for wood. Notably, the plant is committed to operating entirely without fossil fuels.</t>
    <phoneticPr fontId="1"/>
  </si>
  <si>
    <t>Mack Trucks</t>
    <phoneticPr fontId="1"/>
  </si>
  <si>
    <t>https://www.marklines.com/en/global/10303</t>
    <phoneticPr fontId="1"/>
  </si>
  <si>
    <t>On February 9, Mack Trucks announced it is investing USD 14.5 million to expand its Roanoke Valley Operations (RVO) manufacturing facility in Virginia to prepare the plant for higher demand for the Mack MD Series and Mack MD Electric vehicles with a 72,000 square-foot building expansion, making the facility 352,000 square feet. Construction will begin April 2024, and the expansion project is expected to be completed in Q4 2025.</t>
    <phoneticPr fontId="1"/>
  </si>
  <si>
    <t>https://www.marklines.com/en/global/10308</t>
    <phoneticPr fontId="1"/>
  </si>
  <si>
    <t>On February 8, Audi Hungary announced that its Győr plant is preparing for the production of the next-gen electric motors, MEBeco, with virtual planning underway. The project, supported by the Hungarian state, sustains 260 jobs and enhances Hungary's vehicle industry competitiveness in the shift to electromobility. MEBeco drives will feature in small electric cars of the Volkswagen Group, with a new production area at Audi Hungaria dedicated to their manufacturing. MEBeco project includes mass production of the plate package for the MEBeco drive, manufacturing the rotor of the electric drive, and producing power electronics in Győr. Audi Hungaria produced 1,660,425 engines in 2023, including 114,058 electric drives.</t>
    <phoneticPr fontId="1"/>
  </si>
  <si>
    <t>https://www.marklines.com/en/global/10756</t>
    <phoneticPr fontId="1"/>
  </si>
  <si>
    <t>On February 6, Canada Nickel Company Inc. announced it has completed has completed its previously announced equity investment by Samsung SDI Co., Ltd. for aggregate gross proceeds of USD 18.5 million. Samsung SDI will be manufacturing nickel-rich prismatic and cylindrical lithium ion cells for the North American market in a joint venture with General Motors in Indiana in 2026.</t>
    <phoneticPr fontId="1"/>
  </si>
  <si>
    <t>On February 5, Hino Motors, Ltd. (Hino) announced that Production Line #2 at its Hamura Plant will continue to be shut down on February 6. Affected by the suspension of shipments of the 1GD engine manufactured by Toyota Industries Corporation (Toyota Industries), operations on Production Line #2 continue to be suspended since the second shift on January 29. This is the third time the suspension period has been extended. On January 29, Toyota Industries announced that it had committed fraud in engine output tests and suspended shipments of the affected engine models, including the 1GD engine. The 1GD engine is installed in the Dutro and other light-duty trucks produced on the Hamura Plant's Production Line #2. Hino also suspended operations of the second shift on February 5 and the first shift on February 6 at the Koga Plant, Nitta Plant, and Hino Plant, as well as Production Line #1 at the Hamura Plant, due to heavy snowfall on February 5.  The Hamura Plant's Production Line #4, which has a one-shift operation system, was shut down only on February 6 (one-shift).</t>
    <phoneticPr fontId="1"/>
  </si>
  <si>
    <t>Hino Motors, Ltd. (Hino) announced on February 2 that Production Line #2 at its Hamura Plant will also be shut down on February 5. Affected by the suspension of shipments of the 1GD engine manufactured by Toyota Industries Corporation (Toyota Industries), operations of Production Line #2 have continued to be suspended since the second shift on January 29. This is the second time the suspension period has been extended. On January 29, Toyota Industries announced that it had committed fraud in the output tests of automotive diesel engines, and suspended shipments of the affected engine models, including the 1GD engine. Operations on Production Line #2 have been suspended not only for vehicles equipped with the 1GD engine, but also for vehicles equipped with the N04C/HC-SCR engine manufactured by Hino.</t>
    <phoneticPr fontId="1"/>
  </si>
  <si>
    <t>Hino Motors, Ltd. (Hino) announced on February 1 that Production Line #2 at its Hamura Plant will continue its shut down on February 2. The company had decided to suspend the line from the second shift on January 29 to the second shift on February 1 due to the suspension of shipments of the 1GD engine manufactured by Toyota Industries Corporation (Toyota Industries), but will extend its suspension by one more day. On January 29, Toyota Industries announced that it had discovered improper conduct in the output tests of three automotive diesel engine models, including the 1GD, in which the amounts of injected fuel were adjusted to make the data look better. On the same day, the company suspended shipments of the affected engines. The models produced on the Hamura Plant's Production Line #2 include the Hino Dutro, HINO 200 Series, and HINO 300 Series, and the Toyota Dyna, all light-duty trucks. The suspension of vehicle production affects not only vehicles equipped with the 1GD engine, but also vehicles equipped with Hino's N04C/HC-SCR engine as well.</t>
    <phoneticPr fontId="1"/>
  </si>
  <si>
    <t>Hino Motors, Ltd. (Hino) announced on February 6 that it will extend the halt of operations of Production Line #2 at its Hamura Plant until February 9. Affected by the suspension of shipments of the 1GD engine supplied by Toyota Industries Corporation (Toyota Industries), the Hamura Plant’s Production Line #2 has been suspended since the second shift on January 29. On January 29, Toyota Industries announced that it had committed fraud in engine output testing and suspended shipments of the affected engine models, including the 1GD engine. The 1GD engine is used in the Dutro and other light-duty trucks produced on the Hamura Plant's Production Line #2.</t>
    <phoneticPr fontId="1"/>
  </si>
  <si>
    <t>On February 22, AGR Automotive Group (AGR) launched production of cars under the Solaris brand at its St. Petersburg plant. AGR also launched sales of these cars. AGR recently acquired this plant from Hyundai Motor Manufacturing Rus. The plant includes stamping, welding, painting, and assembly shops. At the moment, the total number of employees of the plant is about 800 people. The model line includes the Solaris HS sedan, Solaris HC compact crossover, Solaris KRS city sedan, and Solaris KRX cross-hatchback. Cars will be sold through the dealer network of AGR LLC.</t>
    <phoneticPr fontId="1"/>
  </si>
  <si>
    <t>On February 22, multiple sources reported that the Volkswagen plant in Emden will halt combustion engine car production for most of March 2024. The pause is due to preparations and conversion work related to the production of the Arteon Shooting Brake, a combustion engine model. The Arteon Shooting Brake, originally assembled in the Osnabrück factory, will be moved back to Emden. This move ensures full utilization of the plant until the complete transition to EV production. The production of Passat and Arteon models in Emden is set to conclude at the end of February 2024.</t>
    <phoneticPr fontId="1"/>
  </si>
  <si>
    <t>https://www.marklines.com/en/global/2165</t>
    <phoneticPr fontId="1"/>
  </si>
  <si>
    <t>https://www.marklines.com/en/global/1339</t>
    <phoneticPr fontId="1"/>
  </si>
  <si>
    <t>On February 22, FIM-CISL announced that the union representatives at the Stellantis plant in Pratola Serra went on strike after a fatal accident during maintenance activities by an external worker. The call is for proactive measures beyond denunciation, emphasizing concrete proposals to eliminate workplace accidents. Immediate action is urged, including legislative changes for stricter procurement regulations. Increasing involvement and participation of workers, companies, and unions are deemed vital to prevent such tragedies from recurring.</t>
    <phoneticPr fontId="1"/>
  </si>
  <si>
    <t>https://www.marklines.com/en/global/1065</t>
    <phoneticPr fontId="1"/>
  </si>
  <si>
    <t>On February 22, Indus Motor Company, the manufacturer of Toyota vehicles in Pakistan announced that its board has approved an investment of around PKR 3 billion for additional localization of parts and components of various existing vehicles. The investment would be made towards expenditure in plants and machinery, molds, dies, equipment, and related expenses of localization of parts and components, etc. The investment is slated to be completed by Q3 FY 2025.</t>
    <phoneticPr fontId="1"/>
  </si>
  <si>
    <t>On February 22, Renault Nissan Automotive Pvt Ltd (RNAIPL) announced that during the second half of 2023, it predominantly used green power for its operations. On average, its plant utilized more than 85% green energy every month between July and December 2023, with 100% green energy utilization in September 2023. RNAIPL uses a combination of in-house and externally sourced green energy to produce cars. RNAIPL has an in-house solar plant with a capacity of 2.2 MW, which feeds directly into the plant's power grid, with additional plans to expand capacity to up to 14 MW in the next few years.</t>
    <phoneticPr fontId="1"/>
  </si>
  <si>
    <t>https://www.marklines.com/en/global/1173</t>
    <phoneticPr fontId="1"/>
  </si>
  <si>
    <t>Rajasthan</t>
  </si>
  <si>
    <t>On February 22, Honda introduced the 2024 Honda Elevate, SUV in South Africa. The new Elevate is designed and developed by Honda R&amp;D Asia Pacific and manufactured by Honda Cars India Limited. The vehicle will be available for sale from February 23, 2024, with a starting price of ZAR 369,900. The new Honda Elevate is equipped with Honda's 1.5-litre DOHC i-VTEC gasoline engine, delivering a power output of 89kW at 6,600 rpm and 145Nm of torque at 4,300 rpm. The powertrain is used in combination with a 6-speed manual transmission for the comfort grade, and a continuously variable transmission (CVT) for the elegance grade.</t>
    <phoneticPr fontId="1"/>
  </si>
  <si>
    <t>On February 22, Nikola Corporation reported financial results and business updates for Q4 and full year ended December 31, 2023. In Q4 2023, Nikola produced 42 Class 8 hydrogen fuel cell electric trucks at its plant in Coolidge, Arizona, delivering 35 of those to dealers and reserving seven for continued testing and fleet demos. Nikola is working to deliver the first re-worked battery-electric trucks with new battery packs back to end users by the end of Q1 2024. Once the recalled BEV trucks have been returned to end users, Nikola plans to begin retrofitting the remaining BEV trucks in inventory and selling them for revenue in late Q3 or early Q4.</t>
    <phoneticPr fontId="1"/>
  </si>
  <si>
    <t>On February 21, Rivian reported that total revenue for Q4 2023 was USD 1.32 billion, primarily driven by the delivery of 13,972 vehicles of the 17,541units produced in Normal, Illinois. For full-year 2023, total revenue was USD 4.43 billion, supported by total vehicle deliveries of 50,122, with 57,232 vehicles produced. For 2024, Rivian expects to produce 57,000 vehicles. Rivian will present its new-gen R2 model in March, and begin production of it in a new factory in Georgia in 2026.</t>
    <phoneticPr fontId="1"/>
  </si>
  <si>
    <t>On February 21, the Lucid Group announced financial results for Q4 and full year ended December 31, 2023. Lucid produced 2,391 vehicles in Q4 and 8,428 vehicles in 2023 at its plant in Casa Grande, Arizona. Of those produced, it delivered 1,734 vehicles in Q4 and 6,001 vehicles in 2023, up 37% compared to full year 2022. Deliveries of Lucid Air are currently underway to U.S. and international customers, with some Lucid Air sedans being assembled from SKD kits in King Abdullah Economic City (KAEC), Saudi Arabia.</t>
    <phoneticPr fontId="1"/>
  </si>
  <si>
    <t>On February 20, Geely Auto announced on the HKEX that it will sell all of its shares, a 45% stake, of Chongqing Livan Automotive Technology Co., Ltd. (Livan Auto), held by its subsidiary Zhejiang Jirun Automobile Co., Ltd., to Zhejiang Geely Qizheng Automobile Technology Co., Ltd. at a CNY 504 million cash consideration. Upon completion of the transaction, Geely Auto will no longer hold any equity in Livan Auto and gain estimated proceeds of around CNY 117 million.</t>
    <phoneticPr fontId="1"/>
  </si>
  <si>
    <t>Livan</t>
    <phoneticPr fontId="1"/>
  </si>
  <si>
    <t>https://www.marklines.com/en/global/10507</t>
    <phoneticPr fontId="1"/>
  </si>
  <si>
    <t>https://www.marklines.com/en/global/2517</t>
    <phoneticPr fontId="1"/>
  </si>
  <si>
    <t>On February 20, GM announced that it had a remedy for the software problems that prompted it to temporarily halt sales of its 2024 Chevrolet Colorado and GMC Canyon midsize pickups. "A fix has been identified and implemented into vehicles and they began shipping out to dealers yesterday," spokesman Kevin Kelly said. GM has a large number of the midsize pickups parked near the Wentzville Assembly Plant in Missouri, where it builds them, awaiting the software fix. The stop-sale order has not hampered production at the plant, which also builds GM's cargo vans.</t>
    <phoneticPr fontId="1"/>
  </si>
  <si>
    <t>On March 30, GAC Group issued the 2022 GAC Group Social Responsibility Report. According to the report, GAC Aion sets goals for hazardous waste reduction and management, incorporates the hazardous waste goal per vehicle into the business plan for management and control, decomposes the goals for each workshop and conducts monthly assessments. A waste solvent recycling system has been introduced to the painting workshop to reduce the generation of hazardous organic solvent waste, realizing a reduction of 1.5kg of waste solvent per vehicle. GAC Aion entrusts GAC Business Renewable Resources Co., Ltd. to recycle and dispose of used batteries, recycles the recyclable parts for cascade utilization, and entrusts qualifed third-party hazardous waste disposal organizations for compliant disposal of the relevant hazardous waste generated during battery disassembly.</t>
    <phoneticPr fontId="1"/>
  </si>
  <si>
    <t>https://www.marklines.com/en/global/4075</t>
    <phoneticPr fontId="1"/>
  </si>
  <si>
    <t>On March 30, GAC Group issued the 2022 GAC Group Social Responsibility Report. According to the report, in GAC Motor's first-line facilities, the automaker has replaced old daylighting panels, implemented energy conservation management of soft switches for air conditioners in welding rooms, and upgraded frequency converters on water pumps. In GAC Motor's second-line facilities, surface coolers for varnish applications have been replaced or improved, and the operation mode of variable-frequency constant-speed fans has been improved.</t>
    <phoneticPr fontId="1"/>
  </si>
  <si>
    <t>On March 30, GAC Group issued the 2022 GAC Group Social Responsibility Report. According to the report, among the raw materials GAC Toyota uses, water-based coatings account for 86.5%. All water-based coatings and body varnishes contain a low VOCs content. In the manufacturing process, GAC Toyota adopts 3-coat-1-bake (3C1B) compact process for coatings, combines robotics with high-speed rotary-bell electrostatic spray painting during spray painting, and applies the coating proximity technology, which enables a high coating utilization rate. Processes such as paint mixing, electrophoresis, spray painting, flash drying/leveling, and drying are all carried out in closed facilities or closed equipment in conjunction with negative pressure ventilation, which reduces fugitive waste gas emissions. The automaker implements effcient VOCs treatment measures. For example, the exhaust gas incurred by electrophoretic paint drying, PVC glue drying, top coating drying, and bumper drying is burned in an "RTO furnace"; the exhaust gas generated in the varnish spray booth and leveling go through a rotary gas adsorption and concentration device as well as an RTO furnace. The above measures ensure that exhaust gas emissions meet relevant standards.</t>
    <phoneticPr fontId="1"/>
  </si>
  <si>
    <t>On March 30, GAC Group issued the 2022 GAC Group Social Responsibility Report. According to the report, in early 2022, GAC Motor launched the construction of a 38MW distributed photovoltaic power generation project in the CD plot, the 2nd powertrain factory, and the parking lot of the factory. By the end of December 2022, an installed photovoltaic capacity of 6.4MW had been registered as scheduled.</t>
    <phoneticPr fontId="1"/>
  </si>
  <si>
    <t>On March 30, GAC Group issued the 2022 GAC Group Social Responsibility Report. According to the report, the green and eco-friendly zirconium salt, low-density sealant, water-based damping material, and water-based paint are used throughout the procedure in the painting workshop of GAC Aion's intelligent ecological plant, which reduces benzene and aldehyde VOCs by 49%.</t>
    <phoneticPr fontId="1"/>
  </si>
  <si>
    <t>On March 30, GAC released the 2022 Environmental, Social and Governance (ESG) Report. According to the ESG report, GAC Aion actively implemented various measures for energy saving and carbon reduction in the manufacturing process. It had facilitated a series of projects, which involves an integrated control system for air-pressure cooling, a heat pump for wet cycles in the painting process, and the recovery of waste heat from regenerative thermal oxidizers. Thanks to the aforementioned projects, GAC Aion managed to reduce energy consumption and carbon emissions throughout the manufacturing process.</t>
    <phoneticPr fontId="1"/>
  </si>
  <si>
    <t>On March 30, GAC released the 2022 Environmental, Social and Governance (ESG) Report. According to the ESG report, GAC Aion introduced 20MWh high-power energy storage systems at its plants in 2022, and plans to further expand the introduction in 2023. It adopted a flexible charging and discharging strategy for load shifting from peak hours to off-peak hours, thus realizing the time-spatial transfer of power resources. Additionally, to respond to the grid demand, GAC Aion newly established a virtual power plant and utilized power resources efficiently, thereby contributing to the creation of an energy conservation and low-carbon society.</t>
    <phoneticPr fontId="1"/>
  </si>
  <si>
    <t>On March 30, GAC released the 2022 Environmental, Social and Governance (ESG) Report. According to the ESG report, GAC Aion developed 89,000 square meters of photovoltaic roof at its intelligent ecological plant. The photovoltaic facilities on the roof have a total capacity of 17.1MWp and an annual power output of approximately 18 million kWh, capable of satisfying 15% of the plant's power consumption when it runs on full capacity. Meanwhile, GAC Aion has launched the construction of the second-phase photovoltaic roof project, which is expected to have an annual power output of 21 million kWh and reduce 19,300 tons of carbon emissions after it begins operation.</t>
    <phoneticPr fontId="1"/>
  </si>
  <si>
    <t>On March 30, GAC released the 2022 Environmental, Social and Governance (ESG) Report. According to the ESG report, GAC Aion concluded a strategic agreement with CGN Power Sales Co., Ltd. The brand's zero-carbon plants would replace the original power source with clean nuclear power, thereby increasing the proportion of clean energy used at its plants and reducing carbon emissions.</t>
    <phoneticPr fontId="1"/>
  </si>
  <si>
    <t>https://www.marklines.com/en/global/1739</t>
    <phoneticPr fontId="1"/>
  </si>
  <si>
    <t>On February 22, Škoda Auto announced that it has achieved an e-mobility milestone with the production of 200,000 Enyaq and Enyaq Coupé models. The jubilee car is a white Enyaq Coupé Sportline, rolled off the production line from Mladá Boleslav plant on February 16, 2024. The Enyaq series is the first Škoda model based on the Volkswagen Group's Modular Electrification Toolkit (MEB).</t>
    <phoneticPr fontId="1"/>
  </si>
  <si>
    <t>Ashok Leyland</t>
    <phoneticPr fontId="1"/>
  </si>
  <si>
    <t>https://www.marklines.com/en/global/1097</t>
    <phoneticPr fontId="1"/>
  </si>
  <si>
    <t>On February 22, Ashok Leyland announced the production rollout of its 3 millionth vehicle. The event took place at its state-of-the-art manufacturing facility in Pantnagar, Uttarakhand.</t>
    <phoneticPr fontId="1"/>
  </si>
  <si>
    <t>https://www.marklines.com/en/global/1109</t>
    <phoneticPr fontId="1"/>
  </si>
  <si>
    <t>Uttarakhand</t>
  </si>
  <si>
    <t>Olectra</t>
    <phoneticPr fontId="1"/>
  </si>
  <si>
    <t>https://www.marklines.com/en/global/9607</t>
    <phoneticPr fontId="1"/>
  </si>
  <si>
    <t>Telangana</t>
  </si>
  <si>
    <t>On February 22, the consortium of Olectra Greentech Limited and Evey Trans Private Limited (EVEY) received a letter of award (LOA) from Brihan Mumbai Electric Supply &amp; Transport Undertaking (BEST / Authority) for supply, operation, and maintenance of 2,400 electric buses on gross cost contract basis costing around INR 40 billion approximately. EVEY will procure these buses from Olectra and will deliver them over 18 months. The maintenance of these buses shall also be undertaken by the Olectra during the contract period.</t>
    <phoneticPr fontId="1"/>
  </si>
  <si>
    <t>https://www.marklines.com/en/global/3265</t>
    <phoneticPr fontId="1"/>
  </si>
  <si>
    <t>On February 21, Toyota Alabama announced the start of production on its i-FORCE 2.4-liter turbo engine line for the all-new Tacoma following a previous investment of USD 222 million. The i-FORCE 2.4-liter turbo marks the plant’s sixth building expansion and brings Toyota Alabama’s total investment to USD 1.5 billion. In 2023, the plant achieved record production, assembling more than 777,000 engines for Toyota vehicles manufactured in North America. </t>
    <phoneticPr fontId="1"/>
  </si>
  <si>
    <t>https://www.marklines.com/en/global/2607</t>
    <phoneticPr fontId="1"/>
  </si>
  <si>
    <t>On February 21, Ford and the United Auto Workers Local 862 representing employees at the Kentucky Truck Plant reached a tentative local agreement, averting a strike if a deal was not reached by February 23. Issues included health and safety, minimum in-plant nurse staffing levels, ergonomic issues, and skilled trades staffing. Ratification voting is tentatively planned from February 28 to March 1. The plant produces profit-heavy Ford Super Duty pickup trucks, Ford Expedition full-size SUVs and Lincoln Navigator SUVs.</t>
    <phoneticPr fontId="1"/>
  </si>
  <si>
    <t>General Motors will restart BrightDrop EV van production at its CAMI Assembly Plant in Ingersoll, Ontario, with one shift on April 1, according to the Unifor union, after a production halt in October 2023 due to a shortage of Ultium battery modules. Battery module production in a newly completed part of the manufacturing site will get underway during the week of March 25, ramping up to three shifts, each employing 75 staff, by the end of April. The 400,000 square-foot facility expansion will build battery modules and finished packs for both the BrightDrop Zevo 600 and 400 delivery vans assembled on-site, as well as for vehicles at other GM plants.</t>
    <phoneticPr fontId="1"/>
  </si>
  <si>
    <t>On January 21, Cadillac announced that the electric Lyriq EVs now being produced at its Spring Hill plant in Tennessee are eligible for the USD 7,500 federal government clean-vehicle tax incentive after having temporarily lost eligibility following changed requirements at the start of 2024.The U.S. Treasury Department and Internal Revenues Services in December released guidance to clarify rules around eligible vehicles under the Inflation Reduction Act that disqualified EVs with a specific foreign-sourced battery content, affecting also the Chevrolet Blazer EV. Cadillac has revised its supply chain. </t>
    <phoneticPr fontId="1"/>
  </si>
  <si>
    <t>On February 21, Stellantis announced that the first all-electric Fiat 500e vehicles destined for the United States rolled off the line this week at the Mirafiori Assembly Plant in Turin, Italy. The Fiat 500e will arrive in the U.S. by the end of Q1 as the first North American BEV offering from Stellantis. The Fiat 500e is enabled by a 42 kWh battery with a Level 2 (11-kW) charge time of four hours and 15 minutes (30 amp).</t>
    <phoneticPr fontId="1"/>
  </si>
  <si>
    <t>On February 20, Kamaz announced that it is creating a modern, highly efficient production facility capable of producing up to 80,000 vehicles per year. Reengineering of production will make it possible to create a modern complex. It will include robotic cells with CNC turning and turning-milling machines and multi-axis robots. Competence centers "Forging production", "Thermogalvanic production", "Foundry production", and "Repair and tool production" will be created. Procurement industries have the opportunity to increase the efficiency of not only their production but also the factories that consume their products. One of these key areas is the potential for improving the accuracy of forgings and castings.</t>
    <phoneticPr fontId="1"/>
  </si>
  <si>
    <t>https://www.marklines.com/en/global/10660</t>
    <phoneticPr fontId="1"/>
  </si>
  <si>
    <t>On February 20, Lotus Technology Inc. (Lotus Tech), a luxury electric vehicle maker, and L Catterton Asia Acquisition Corp (LCAA), a special purpose acquisition company, announced that their previously proposed business combination will be completed on February 22, 2024. The combined company will retain Lotus Tech's name as "Lotus Technology Inc." and its American Depositary Shares (ADS) will commence trading on the Nasdaq under the symbol “LOT” on February 23, 2024. The business combination was approved by LCAA shareholders at a general meeting held on February 2, 2024. Since then, the company has raised more than USD 880 million in pre-closing and private investment in public equity ("PIPE") financing commitments from global investors, existing shareholders, and strategic partners.</t>
    <phoneticPr fontId="1"/>
  </si>
  <si>
    <t>https://www.marklines.com/en/global/2829</t>
    <phoneticPr fontId="1"/>
  </si>
  <si>
    <t>On February 20, it was announced that Suspensys is investing BRL 150 million to build a factory in Mogi-Guacu, in Sao Paulo, to supply Mercedes Benz truck and bus lines in Brazil. The companies signed a 10-year agreement to supply 100% of the front axles of vehicles produced by the OEM.</t>
    <phoneticPr fontId="1"/>
  </si>
  <si>
    <t>https://www.marklines.com/en/global/273</t>
    <phoneticPr fontId="1"/>
  </si>
  <si>
    <t>On February 19, Daimler Commercial Vehicles Indonesia (DCVI) &amp; Daimler Commercial Vehicles Manufacturing Indonesia (DCVMI) held a groundbreaking ceremony for a brand-new production and assembly facility in Cikarang, West Java. This state-of-the-art facility promises (i) Increased production: Meeting rising demand for Mercedes-Benz trucks &amp; buses, (ii) Unwavering quality: Delivering best-in-class vehicles with meticulous attention to detail, and (iii) Local focus: Gradually incorporating more Indonesian components. The Board of Directors of Daimler Truck AG had approved the construction of a new factory with an investment commitment of IDR 500 billion. This new 14.6-hectare facility is expected to be fully operational in Q1/2025, replacing its current facility (5.6 hectares) located in Wanaherang, Gunung Putri, Bogor, West Java. It will include an assembly plant, test track, management offices, vehicle preparation center, and employee facilities.</t>
    <phoneticPr fontId="1"/>
  </si>
  <si>
    <t>On February 19, XPeng officially broke ground on all projects for an intelligent vehicle components industrial park in the Zhaoqing Hi-Tech Industrial Development Zone in Guangdong. The first phase of the park covers a planned land area of 699,000 square meters.</t>
    <phoneticPr fontId="1"/>
  </si>
  <si>
    <t>KG Mobility (KGM)</t>
    <phoneticPr fontId="1"/>
  </si>
  <si>
    <t>https://www.marklines.com/en/global/2429</t>
    <phoneticPr fontId="1"/>
  </si>
  <si>
    <t>On February 19, KGM Motors UK launched the all-new Torres, the C+ segment SUV model, aligning with the brand's new design philosophy 'Powered by Toughness'. The vehicle is available in two trim levels, the entry-level K30, and the high-spec K40, with a starting price of GBP 34,995. The vehicle is built on a new platform designed for multiple drive trains. The vehicle is equipped with a 1.5 turbo engine, providing a maximum output of 163ps and 280Nm of torque. It boasts a 10% acceleration improvement from a standstill and a 5% acceleration improvement from 60-120km/h compared to the Korando model featuring the same engine. The company also plans to launch the all-wheel-drive Torres K40 in the UK in summer 2024, following the debut of the pure-electric Torres EVX in April 2024.</t>
    <phoneticPr fontId="1"/>
  </si>
  <si>
    <t>On February 20, multiple sources reported that Residents of Grünheide near Berlin voted against the proposed expansion plan of Tesla Gigafactory Berlin. 65%, voted against the planned construction of logistical facilities such as a train station and warehouses. Now the community representatives of Grünheide have to decide on the development plan. However, the result of the vote does not have a direct impact on the approval of the plan. It poses a significant challenge to Tesla's plans to expand the plant's capacity for battery production to 100-gigawatt hours and car production to 1 million units annually.</t>
    <phoneticPr fontId="1"/>
  </si>
  <si>
    <t>On February 20, AvtoVAZ announced that Lada Izhevsk enterprise has begun production of a pilot batch of LADA Largus. The first five vehicles planned to be produced by the end of this week will be commercial vans. AvtoVAZ moved the Largus assembly equipment from Tolyatti to Izhevsk in the shortest possible time and carried out commissioning work. It will assemble 80 cars by May 2024. They will test full-cycle production technologies, conduct personnel training, and validate equipment parameters and settings.</t>
    <phoneticPr fontId="1"/>
  </si>
  <si>
    <t>On February 20, Volvo Cars announced that it is streamlining and standardizing its model names for fully electric cars, in line with its ongoing transformation towards becoming a fully electric car maker by 2030. It is renaming the XC40 Recharge and C40 Recharge models to EX40 and EC40 respectively, fitting with its other electric models, the EX30, EX90, and EM90. Whereas the XC40 name remains the same for internal combustion-powered variants of the model. The company will also change Recharge badging with the T6 or T8 suffix, indicating varying power levels.</t>
    <phoneticPr fontId="1"/>
  </si>
  <si>
    <t>https://www.marklines.com/en/global/1017</t>
    <phoneticPr fontId="1"/>
  </si>
  <si>
    <t>https://www.marklines.com/en/global/1295</t>
    <phoneticPr fontId="1"/>
  </si>
  <si>
    <t>https://www.marklines.com/en/global/9867</t>
    <phoneticPr fontId="1"/>
  </si>
  <si>
    <t>On February 19, Volkswagen Navarra achieved its best environmental performance, leading in two out of five annual indicators across the brand's 15 factories. Since 2010, the goal has been a 45% reduction in environmental impact by 2025. The annual evaluation considers energy and water consumption, carbon dioxide and solvent emissions, and waste deposition for each vehicle produced. The plant leads in energy consumption at 843 kWh per vehicle and water consumption at 0.90 cubic meter per car. Noteworthy reductions since 2010 include 71% in waste deposition, 39% in solvent emissions, and 32% in carbon dioxide emissions.</t>
    <phoneticPr fontId="1"/>
  </si>
  <si>
    <t>On February 19, Wuling Motors officially started accepting pre-orders for the Wuling Yangguang next-generation New Energy commercial vehicle (NECV). Based on a new platform, the Wuling Yangguang has a rear-engine RWD layout and delivers a maximum motor power of 60kW, a peak motor torque of 220Nm, and a top speed of 90km/h. The vehicle makes the debut of the Wuling Red 1 lithium-iron phosphate battery, which has 31.9kWh and 41.9kWh capacities, delivering respective ranges of 230km and 300km.</t>
    <phoneticPr fontId="1"/>
  </si>
  <si>
    <t>https://www.marklines.com/en/global/911</t>
    <phoneticPr fontId="1"/>
  </si>
  <si>
    <t>On February 16, the CEO of VW de México, Holger Nestler, announced that the company will enter the era of electromobility thanks to a second investment package of approximately USD 1 billion in the Mexican state of Puebla additional to the USD 763.5 million announced in 2022, which was used in part to build a new paint warehouse for the Cuautlancingo plant.</t>
    <phoneticPr fontId="1"/>
  </si>
  <si>
    <t>https://www.marklines.com/en/global/119</t>
    <phoneticPr fontId="1"/>
  </si>
  <si>
    <t>On February 19, Stellantis announced that it is set to supply a fleet of Peugeot e-Expert Hydrogen vehicles to Hysetco, a leading European company in hydrogen mobility. These vehicles, tailored for passenger transportation, logistics, and other professional purposes, will be accompanied by comprehensive services. This initiative marks the largest deployment of hydrogen-powered light commercial vehicles for such applications.</t>
    <phoneticPr fontId="1"/>
  </si>
  <si>
    <t>On February 18, BYD released an announcement on its action plan for “quality and return improvement”. According to the announcement, BYD will continuously increase R&amp;D investment and strengthen technology innovation in the future. In 2024 and beyond, the automaker will introduce several premium luxury models. Regarding strategy outside China, it will continue to launch localized production in countries such as Thailand, Brazil, and Hungary.</t>
    <phoneticPr fontId="1"/>
  </si>
  <si>
    <t>On February 16, FIM-CISL announced that it has recently wrapped up its meeting with Stellantis group in Turin and remotely from all Italian sites. Cassino's large platform secures the Lazio site, but faces low volume challenges. Pomigliano D'Arco, overcoming difficulties, operates at full capacity with over 1000 workers supporting Panda, Hornet, and Tonale production. Strengthening commercial vehicles in Atessa is crucial. National Secretary FIM-CISL discussed the situation at different plants, emphasizing the need to secure institutions, especially in research and development, for their prospective role in Italy. The ACC Termoli project was highlighted, with a government investment of EUR 270 million focusing on managing the start-up phase in 2026 for the first of three modules, ensuring engine production, and implementing a training plan to protect the 2000 employees at the Termoli site.</t>
    <phoneticPr fontId="1"/>
  </si>
  <si>
    <t>https://www.marklines.com/en/global/1375</t>
    <phoneticPr fontId="1"/>
  </si>
  <si>
    <t>https://www.marklines.com/en/global/1325</t>
    <phoneticPr fontId="1"/>
  </si>
  <si>
    <t>On February 16, FIM-CISL announced that it has recently wrapped up its meeting with Stellantis group in Turin and remotely from all Italian sites. It also stressed the importance of interventions by regions and the state to reduce energy costs. Concerns were raised about the automotive supply chain, with potential risks for 30,000 people if the transition is not adequately supported. Melfi, where the supply chain is closely tied to the Stellantis factory, is a particular concern. Mirafiori needs a production mission supporting the 500 and a popular car for volume plus requires a revised strategy for launching new Maserati models to strengthen the luxury segment. Melfi, assigned 5 cars, may see Jeep Renegade production continuation if the Opel brand disappears.</t>
    <phoneticPr fontId="1"/>
  </si>
  <si>
    <t>On February 19, Volkswagen announced that it is expanding its ID.7 portfolio in Europe with the all-new ID.7 Tourer which is one of the first all-electric estate cars in the upper mid-sized class. The vehicle is produced in Emden, Germany, alongside the ID.7 fastback saloon and ID.4 SUV. The Tourer is covering gasoline, diesel engines, plug-in hybrids, and all-electric vehicles. Combining the format of the Passat with increased rear height, the ID.7 Tourer features the latest electric drive system with two battery sizes, offering ranges of up to 685 km. Europe-wide presales for the ID.7 Tourer is set to begin in the first quarter of 2024.</t>
    <phoneticPr fontId="1"/>
  </si>
  <si>
    <t>Aston Martin</t>
    <phoneticPr fontId="1"/>
  </si>
  <si>
    <t>https://www.marklines.com/en/global/1534</t>
    <phoneticPr fontId="1"/>
  </si>
  <si>
    <t>On February 19, Aston Martin announced that it is expanding its UK workforce by hiring over 400 technicians to support the production of upcoming sports cars and the DBX707 luxury SUV. The launch of new models like Vantage and DB12, along with upcoming releases in 2024, has led to increased demand for the highly praised DBX707. This growth in production necessitates the addition of skilled personnel at Aston Martin's headquarters in Gaydon, Warwickshire, and the DBX707 manufacturing facility in St Athan, South Wales.</t>
    <phoneticPr fontId="1"/>
  </si>
  <si>
    <t>https://www.marklines.com/en/global/9384</t>
    <phoneticPr fontId="1"/>
  </si>
  <si>
    <t>On February 19, Volkswagen Group Africa rolled off the 1.5-millionth vehicle for export at its Kariega plant in South Africa. Polo GTI was the milestone vehicle that will be exported to the United Kingdom. The Kariega plant is the sole manufacturer of the Volkswagen Polo, exporting this vehicle to 38 markets worldwide. The plant has been building the current Polo since January 2018 and produces the popular Polo Vivo for the South African market.</t>
    <phoneticPr fontId="1"/>
  </si>
  <si>
    <t>On February 19, AvtoTOR unveiled the all-new AMBERAUTO A5, an electric sedan. The vehicle is made through a technological partnership with a foreign company, adapted for operation in Russia's climate. The vehicle is equipped with an electric permanent magnet synchronous motor, generating 160 hp of power, and 225 Nm of torque. The vehicle also comes with a 60.2 kWh of traction battery delivering 520 km of driving range, when fully charged (CLTC). The vehicle also comes with MacPherson front suspension and multi-link rear suspension providing excellent dynamics and handling. The first AMBERAUTO A5 electric vehicles were produced at the AvtoTOR plant in Kaliningrad at the end of 2023. The production of the components, for the cars is scheduled to commence between 2024 and 2025 at newly established factories located at the AvtoTOR production site. The company plans to use the maximum number of localized components (including critical ones) for the release of the vehicle.</t>
    <phoneticPr fontId="1"/>
  </si>
  <si>
    <t>On February 19 it was announced that the Independent Union of Audi Workers (SITAUDI) accepted the 10.2% increase offered by Audi Mexico, ending with the strike that started at the San Jose Chiapa plant in the Mexican state of Puebla on January 24, 2024. Operations at the plant will resume on February 20, 2024.</t>
    <phoneticPr fontId="1"/>
  </si>
  <si>
    <t>According to multiple press releases dated February 18, chairman and CEO of XPeng, issued an internal letter to all employees. Wrote that compared to 2023 will invest over 40% of the R&amp;D budget in 2024. Furthermore, XPeng will plan around 30 new or facelifted models in the next 3 years. To be unveiled in 2024 are a cooperative compact electric sedan codenamed Mona between XPeng and Didi Chuxing, and a mid-to-large-size electric hatchback codenamed F57. The latter will be launched in the second half of the year.</t>
    <phoneticPr fontId="1"/>
  </si>
  <si>
    <t>LYNK &amp; CO</t>
    <phoneticPr fontId="1"/>
  </si>
  <si>
    <t>On February 18, CEO of Geely Auto, announced that in 2024, Geely Auto will accelerate the application of high-end New Energy Vehicle (NEV) technologies to Lynk &amp; Co and Galaxy models. Geely Auto will applying and popularizing a next-generation high-end CTB platform and a full range of high-end technologies based on this platform, such as an 11-in-1 intelligent electric drive, a battery with a new in-house developed formula, and a wireless battery management system, in mainstream products. For Lynk &amp; Co, an all-domain 800V architecture will be applied.</t>
    <phoneticPr fontId="1"/>
  </si>
  <si>
    <t>https://www.marklines.com/en/global/9522</t>
    <phoneticPr fontId="1"/>
  </si>
  <si>
    <t>https://www.marklines.com/en/global/9471</t>
    <phoneticPr fontId="1"/>
  </si>
  <si>
    <t>https://www.marklines.com/en/global/3837</t>
    <phoneticPr fontId="1"/>
  </si>
  <si>
    <t>On February 15, multiple sources reported that the current Fiat Panda will be produced until the end of 2026 at the Stellantis plant in Pomigliano. It will undergo a name change to Pandina, distinguishing it from the upcoming B-segment crossover, which is set to be produced in Kragujevac, Serbia, with an approximate length of 4 meters. It is expected that a hybrid vehicle (HV) will be available for the new model, as well as an electric vehicle (EV).</t>
    <phoneticPr fontId="1"/>
  </si>
  <si>
    <t>https://www.marklines.com/en/global/1881</t>
    <phoneticPr fontId="1"/>
  </si>
  <si>
    <t>Serbia</t>
    <phoneticPr fontId="1"/>
  </si>
  <si>
    <t>https://www.marklines.com/en/global/9279</t>
    <phoneticPr fontId="1"/>
  </si>
  <si>
    <t>On February 15, PT Mitsubishi Motors Krama Yudha Sales Indonesia (MMKSI) announced the start of sales of the Mitsubishi L100 in Indonesia, priced from IDR 320 million. Its local production began in December 2023. Known as the Minicab EV in Japan, the new Indonesia-made L100 is a 2-seaters electric blind van. Fast charging can charge the battery to 80% in around 42 minutes. Compared to the previous model sold in Japan, the new L100’s drive battery capacity has been increased by 26%. The motor and inverter have been integrated into one unit to increase motor efficiency, resulting in a cruising range of 180 km (in WLTC mode) per charge, which is a 20% increase. The L100 comes equipped with a 20.1 kWh battery and an electric motor that delivers 31-kW and 195-Nm torque. Its top speed is at 100 km/h. MMKSI made this announcement at the Indonesia International Motor Show (IIMS) 2024. Among its highlight models was the locally-made Xforce SUV.</t>
    <phoneticPr fontId="1"/>
  </si>
  <si>
    <t>On February 15, Toyota Motor Corporation (Toyota) decided to extend the shutdown of two production lines in Japan until February 23. The two lines are Production Line #1 at Toyota Auto Body Co., Ltd.'s Inabe Plant and Production Line #1 at Gifu Auto Body Co., Ltd. The two lines have been shut down since the second shift on January 29, following the discovery of procedural misconduct by Toyota Industries Corporation in engine output tests. Among the models produced on the two lines, the Hiace and other models had engine that was affected by the misconduct. </t>
    <phoneticPr fontId="1"/>
  </si>
  <si>
    <t>https://www.marklines.com/en/global/2281</t>
    <phoneticPr fontId="1"/>
  </si>
  <si>
    <t>On February 14, Volkswagen Group Components inaugurated a casting competence center in Kassel, focusing on manufacturing structural components for upcoming all-electric platforms. The Kassel plant is gearing up for the shift away from combustion engines towards e-mobility, focusing on training employees for active component production, like stator assembly for future electric drives. New production lines are being established on the exhaust system production site. To boost capabilities, the forming technology department and foundry are collaborating to manufacture rotors for asynchronous motors (ASM). The foundry in Kassel has adopted a large-scale casting method for serial production, streamlining the manufacturing of a high-voltage battery housing. The successful collaboration between battery developers and the cross-production concept in Hall 2 showcases the location's innovative strength. Leveraging Kassel's expertise reduces logistics processes and solidifies its position as a pioneer in the component production network, with a focus on starting production in 2026. As part of the Volkswagen Group's environmental program goTOzero, the Kassel location aims for CO2-neutral production by 2040. The site has individual development plans for production areas, including a switch to 100% green electricity, renewable heat supply, electrification of warm processes, and piloting green hydrogen in the foundry.</t>
    <phoneticPr fontId="1"/>
  </si>
  <si>
    <t>On February 14, Ford inaugurated its new Propulsion Development Laboratory at its headquarters in the UK. The EUR 24 million facility is the third test facility to be inaugurated at the Dunton Campus in the last two years. The first testing at the facility is carried out for E-Transit Courier, E-Transit Custom, and Ford Puma Gen-E programmes. The facility has eight vehicle-size rooms that are capable of testing electric power units and propulsion systems to maximize development time, including round-to-round component reliability sign-off. The test rooms of the laboratory are configured to test EV, hybrid, and combustion powertrains.</t>
    <phoneticPr fontId="1"/>
  </si>
  <si>
    <t>https://www.marklines.com/en/global/2305</t>
    <phoneticPr fontId="1"/>
  </si>
  <si>
    <t>On February 13, FLMU-CUB organized a protest at Stellantis in Cassino, supported by various trade unions, social, and political groups, highlighting a perceived repressive turn in workplaces, schools, and universities. The dismissal of workers and unionist is viewed in the context of widespread layoffs and factory closures in Europe. Stellantis' focus on electric car production in France raises concerns about the impact on Italian car production. On February 15, the protest continues to take place outside the gates in Cassino, focusing on alarming conditions at the plant. Around a hundred demonstrators from various backgrounds gathered to draw attention to the economic and working conditions of Stellantis workers.</t>
    <phoneticPr fontId="1"/>
  </si>
  <si>
    <t>According to the official website of Toyota Motor Corporation (Toyota), the company has postponed the sales launch of the 16th generation "Crown" series "Estate" in Japan. As of October 2023, it was scheduled to go on sale within FY2023 (fiscal year ending March 2024), but the schedule has been changed to mid-2024 or later. The company says it is currently working on further improvements to the model in order to deliver even better products. The 16th generation Crown series lineup includes the Estate as well as the Crossover, Sport, and Sedan models.</t>
    <phoneticPr fontId="1"/>
  </si>
  <si>
    <t>Daihatsu Motor Co., Ltd. (Daihatsu) resumed production of two vehicle models at its Kyoto (Oyamazaki) Plant on February 12. This is the first time that vehicle production has resumed in Japan since all domestic finished vehicle plants were shut down in late December 2023 due to the procedural irregularities in the company’s certification applications. The two models for which production is resumed are the Toyota Probox and the Mazda Familia Van. The Japanese Ministry of Land, Infrastructure, Transport and Tourism (MLIT) lifted its instruction to suspend shipments of these two models on January 19. In addition, Daihatsu plans to resume production of 10 mini-vehicle models at the Daihatsu Motor Kyushu Co., Ltd. Oita (Nakatsu) Plant on February 26.</t>
    <phoneticPr fontId="1"/>
  </si>
  <si>
    <t>Daihatsu Motor Co., Ltd. (Daihatsu) announced on February 9 that it has decided to resume production and shipment of 10 mini-vehicle models for which the Japanese Ministry of Land, Infrastructure, Transport and Tourism (MLIT) had lifted a shipment suspension order on January 30. Daihatsu had suspended production at all of its finished vehicle plants in Japan from December 26, 2023, due to the discovery of large-scale fraud in its certification applications. The 10 models that will resume production and shipment include Daihatsu's Mira e:S, Hijet Cargo, Atrai, and Hijet Truck; the Pixis Epoch, Pixis Van, and Pixis Truck, which are supplied to Toyota Motor Corporation (Toyota) on an OEM basis; and the Pleo Plus,  Sambar Van, and Sambar Truck supplied to Subaru Corporation on an OEM basis. Daihatsu decided to resume production at the Daihatsu Motor Kyushu Co., Ltd. Oita (Nakatsu) Plant on February 26, based on a comprehensive assessment of customer feedback and supplier readiness. The shipment of vehicles that have already been produced but not yet shipped will resume on February 19. The Daihatsu Kyoto (Oyamazaki) plant will also resume production of Toyota's Probox and Mazda Motor Corporation's Familia Van on February 12.</t>
    <phoneticPr fontId="1"/>
  </si>
  <si>
    <t>On February 9, Hino Motors, Ltd. (Hino) announced that operations on Production Line #2 at its Hamura Plant will be suspended on February 12. Operations on Production Line #2 have been suspended since the second shift on January 29, caused by the suspension of shipments of Toyota Industries Corporation's 1GD engine. On February 6, Hino had announced that the line would be suspended until the 9th, but now it has been decided that the line will be suspended on February 12 (Monday) also, the day after scheduled non-work days (Saturday and Sunday). On January 29, Toyota Industries Corporation announced that it had committed fraud in engine output tests and suspended shipments of the affected engine models, including the 1GD engine. The 1GD engine is installed in the Dutro and other light-duty trucks produced Production Line #2.</t>
    <phoneticPr fontId="1"/>
  </si>
  <si>
    <t>On February 9, Toyota Motor Corporation (Toyota) decided to resume operations from the first shift on February 13 on four lines at three of its Japanese domestic plants, which had been suspended. Following the discovery of improper conduct by Toyota Industries Corporation (Toyota Industries) in engine output tests, Toyota had suspended operations of six lines at four of its plants in Japan since the second shift on January 29. The four lines at the three plants in Japan that have been scheduled to resume operations on February 13 are: Toyota Auto Body Co., Ltd.’s Yoshiwara Plant Production Lines #1 and #2 and Fujimatsu Plant Production Line #1; and Gifu Auto Body Co., Ltd.’s Production Line #2. Production of vehicles equipped with the engine in question will be partially resumed for overseas markets. The resumption of vehicle shipments has been approved by some local authorities. The operations suspension of the remaining two lines (Production Line #1 at Toyota Auto Body Co., Ltd.'s Inabe Plant and Production Line #1 at Gifu Auto Body Co., Ltd.) will be extended until February 16. A decision will be made by the morning of February 16 regarding the resumption of operations on and after Monday, February 19 (after scheduled non-operation on Saturday and Sunday).</t>
    <phoneticPr fontId="1"/>
  </si>
  <si>
    <t>https://www.marklines.com/en/global/549</t>
    <phoneticPr fontId="1"/>
  </si>
  <si>
    <t>Daihatsu Motor Kyushu Co., Ltd. (Daihatsu Kyushu), a subsidiary of Daihatsu Motor Co., Ltd. (Daihatsu), announced on February 9 that the Kurume Plant, which produces engines, will resume operations on February 23. The Daihatsu Kyushu Oita (Nakatsu) Plant, which manufactures finished vehicles, is scheduled to resume production of 10 mini-vehicle models on February 26. The two plants had been shut down since late December 2023 due to procedural irregularities in Daihatsu’s certification applications.</t>
    <phoneticPr fontId="1"/>
  </si>
  <si>
    <t>Weichai</t>
    <phoneticPr fontId="1"/>
  </si>
  <si>
    <t>https://www.marklines.com/en/global/10598</t>
    <phoneticPr fontId="1"/>
  </si>
  <si>
    <t>On February 7, Weichai Group signed a strategic cooperation framework agreement with the Weifang city government of Shandong Province. The two parties will partner in fields such as innovation development, project construction, industrial clusters, new energy, and human resource development to promote new developments that integrate cities and industries.</t>
    <phoneticPr fontId="1"/>
  </si>
  <si>
    <t>On February 5, Daihatsu Motor Co., Ltd. (Daihatsu) resumed shipments of unshipped Toyota Probox and Mazda Familia Van from its Kyoto (Oyamazaki) Plant. Production of the two models is scheduled to resume on February 12. The Japanese Ministry of Land, Infrastructure, Transport and Tourism (MLIT) lifted its suspension order on January 19. On December 20, 2023, Daihatsu suspended shipments of all Daihatsu-developed models produced in Japan, after large-scale misconduct was discovered in applications for certification. Accordingly, the Shiga (Ryuo) Plant 2nd District, the Kyoto (Oyamazaki) Plant, and Daihatsu Motor Kyushu Co., Ltd.’s Oita (Nakatsu) Plant have suspended production since December 25, while the Head (Ikeda) Plant has halted production since December 26.</t>
    <phoneticPr fontId="1"/>
  </si>
  <si>
    <t>According to multiple Korean media sources dated February 2, the No. 1 Production Line at Hyundai Motor Co., Ltd.'s (Hyundai’s) Ulsan Plant 5 will be temporarily shut down for two weeks, from February 3 to February 19. The company will prepare for mixed production of the Palisade on the No. 1 Production Line at Plant 5, where the Genesis G70, G80, and G90 are produced. The Palisade had been produced at Ulsan Plants 2 and 4, but with this facility construction, it will now be produced at Plants 2, 4, and 5. In addition, Hyundai will install its next-generation 2.5-liter hybrid (HEV) system for the first time in the Palisade's follow-on model, which is scheduled for launch in 2025.</t>
    <phoneticPr fontId="1"/>
  </si>
  <si>
    <t>Master Transportation</t>
    <phoneticPr fontId="1"/>
  </si>
  <si>
    <t>https://www.marklines.com/en/global/8664</t>
    <phoneticPr fontId="1"/>
  </si>
  <si>
    <t>Master Transportation Bus Manufacturing Ltd. (Master Transportation Bus), a Taiwanese manufacturer of EV (electric) buses, concluded a syndicated loan agreement totaling TWD 2.184 billion (approximately JPY 10.3 billion) with Hua Nan Bank as the arranger. The syndicate consists of nine financial institutions including the arranger. The funds will be used for the construction of a new EV bus plant in Erlin Township, Changhua County, and for working capital (purchasing costs).</t>
    <phoneticPr fontId="1"/>
  </si>
  <si>
    <t>https://www.marklines.com/en/global/10701</t>
    <phoneticPr fontId="1"/>
  </si>
  <si>
    <t>On February 6, Foton Motor announced the recent signing of a strategic cooperation agreement with Indomobil, an Indonesian company, in Jakarta, Indonesia. This marks the official implementation of a cooperative project between the two parties after they formed a strategic partnership in July 2023. First, Indomobil will serve as the Indonesian dealer and manufacturer for Foton Motor to assemble the company’s electric vehicles (EVs) and sell a full range of the company’s commercial vehicles in Indonesia. Second, the two parties will establish joint-venture manufacturing and sales companies as soon as possible and co-build the Foton Motor Indonesian EV manufacturing site that radiates to the ASEAN region. On the other hand, they will accelerate the establishment of a complete industrial ecosystem from production, sales, service, finance to aftermarket.</t>
    <phoneticPr fontId="1"/>
  </si>
  <si>
    <t>On February 5, NIO Capital completed raising the 2nd Renminbi fund at over CNY 3 billion. The fund will maintain its investment focus on areas such as the New Energy Vehicle industrial ecosystem, energy technology, energy transition, and technology intelligent manufacturing. NIO Capital has so far raised three USD and two Renminbi funds, with a total management scale of CNY 15 billion.</t>
    <phoneticPr fontId="1"/>
  </si>
  <si>
    <t>Great Wall Pickup</t>
    <phoneticPr fontId="1"/>
  </si>
  <si>
    <t>On February 3, GWM　announced the recent official signing of a strategic cooperation agreement with Teyseer Motors, a well-known Qatari auto dealer, for the continuous implementation of the “One GWM” brand strategy. The establishment of the partnership between GWM and Teyseer Motors marks that GWM has since then fully covered the GCC (Gulf Cooperation Council) market and started a new journey there.</t>
    <phoneticPr fontId="1"/>
  </si>
  <si>
    <t>On February 16, the United Auto Workers (UAW) Local 862 threatened another strike at the Kentucky Truck Plant by 12:01 a.m. February 23 if local contract issues, including those revolving around health and safety, minimum in-plant nurse staffing levels, ergonomic issues, and skilled trades staffing, are not resolved by then. The plant produces Ford Super Duty and Expedition models, as well as Lincoln Navigator SUVs.</t>
    <phoneticPr fontId="1"/>
  </si>
  <si>
    <t>https://www.marklines.com/en/global/2811</t>
    <phoneticPr fontId="1"/>
  </si>
  <si>
    <t>Argentina</t>
    <phoneticPr fontId="1"/>
  </si>
  <si>
    <t>On February 16, Toyota announced the start of HIACE production in a new complex located at the Zárate plant, Argentina. The facility was built with an investment of USD 50 million. It has an area of 8,000 square meters and a modular design that contemplates future expansion. The plant produces the Commuter and Van L2H2 versions, and its initial annual production capacity is 4,000 units, with the objective of reaching 10,000 units in the medium term.</t>
    <phoneticPr fontId="1"/>
  </si>
  <si>
    <t>https://www.marklines.com/en/global/907</t>
    <phoneticPr fontId="1"/>
  </si>
  <si>
    <t>Toyota Mexico started production of the fourth generation Tacoma at its Guanajuato and Baja California plants. Toyota plans to manufacture more than 283,000 units of this Tacoma model during the first year of production considering both plants. Specifically at the Guanajuato plant, Toyota invested USD 328 million for the retooling of the fourth generation Tacoma, a process that finished during the last two months of 2023. Also, Metalsa, its Tier 1 supplier, invested USD 180 million for its new plant located next to the Toyota plant in Guanajuato. It is expected that Toyota will announce during the next months, the start of production of the first generation of the Tacoma hybrid, being the first hybrid pickup totally made in Mexico.</t>
    <phoneticPr fontId="1"/>
  </si>
  <si>
    <t>https://www.marklines.com/en/global/9330</t>
    <phoneticPr fontId="1"/>
  </si>
  <si>
    <t>On February 15, LG Energy Solution (LGES) CEO Kim Dong-myeong announced that the company will start Tesla 4680 battery production as early as August at its Ochang factory in South Korea. It will also begin producing Tesla’s 4680 battery in North America once its new Arizona factory is constructed. While LGES prepares to start 4680 production, Tesla is steadily improving its own 4680 production lines. In October 2023, Tesla announced that it built its 20 millionth 4680 battery cell at Gigafactory Texas.</t>
    <phoneticPr fontId="1"/>
  </si>
  <si>
    <t>On February 13, Mullen Automotive reported a net loss of USD 61.4 million for the quarter ended December 31, 2023, during which time the company delivered 231 vehicles. During January 2024, Mullen delivered an additional 130 vehicles. The company continues to increase production at its Tunica plant, with two lines concurrently building Class 1 and Class 3 vehicles.</t>
    <phoneticPr fontId="1"/>
  </si>
  <si>
    <t>JAECOO</t>
    <phoneticPr fontId="1"/>
  </si>
  <si>
    <t>On March 1, Chery announced that JAECOO is ready to make its debut in South Africa, with the first batch of J7 commercial vehicles having already arrived in South Africa. JAECOO will officially launch in April 2024 with JAECOO J7. The J7 is fitted with a 1.6-liter four-cylinder turbocharged gasoline engine that delivers 145 kW and 290 Nm of torque to all four wheels. Power is transferred to the AWD system through a modern 7-speed dual-clutch transmission.</t>
    <phoneticPr fontId="1"/>
  </si>
  <si>
    <t>On February 29, multiple sources reported that AGR Automotive Group announced that the shutdown of the former Volkswagen automobile plant in Kaluga would be extended till March 2024. The plant is expected to resume operations in the first half of this year.</t>
    <phoneticPr fontId="1"/>
  </si>
  <si>
    <t>https://www.marklines.com/en/global/10661</t>
    <phoneticPr fontId="1"/>
  </si>
  <si>
    <t>On February 29, LG Energy Solution and Honda announced they have erected the final structural steel beam at the joint venture's new 2-million-square-foot EV battery production facility being constructed near Jeffersonville, Ohio. With an overall investment of USD 4.4 billion, the joint venture aims to start mass production of pouch-type lithium-ion batteries in 2025, to be supplied to Honda auto plants to power the Acura and Honda EV models that will go into production in Ohio in late 2025.</t>
    <phoneticPr fontId="1"/>
  </si>
  <si>
    <t>On February 29, Lion Electric announced results for the fourth quarter and fiscal year ended on December 31, 2023. The company delivered 188 vehicles, an increase of 14 vehicles, compared to the 174 delivered in Q4 2022. Additions to property, plant and equipment related to the Joliet Facility and the Lion Campus, amounted to USD 13.7 million compared to USD 39.1 million in Q4 2022. The company delivered 852 vehicles, an increase of 333 vehicles, compared to the 519 delivered in fiscal 2022. The company began deliveries of LionD units in January 2024, and has completed the final certification for medium duty Lion battery packs, paving the way for initial deliveries of Lion5 trucks.</t>
    <phoneticPr fontId="1"/>
  </si>
  <si>
    <t>https://www.marklines.com/en/global/10597</t>
    <phoneticPr fontId="1"/>
  </si>
  <si>
    <t>On February 29, Stellantis presented the new Fiat Pandina special series. Olivier Francois, CEO of Fiat and global marketing director of Stellantis, commented that this series will continue to be produced in Pomigliano d'Arco at least until 2027, in addition to having increased production by 20% to meet customer demand in Italy and Europe.</t>
    <phoneticPr fontId="1"/>
  </si>
  <si>
    <t>https://www.marklines.com/en/global/10651</t>
    <phoneticPr fontId="1"/>
  </si>
  <si>
    <t>On February 28, the President of the Government of Spain met with the CEO of the Envision Group and the Executive Chairman of AESC. The executives from the Envision Group and AESC detailed the current status of the project's development during the meeting and reinforced the multinational's commitment to Spain. AESC is planning an electric vehicle battery gigafactory in Navalmoral de la Mata (Cáceres). The construction will start in the first half of the year.</t>
    <phoneticPr fontId="1"/>
  </si>
  <si>
    <t>According to multiple press releases dated February 27, the Geely Xingneng energy storage device and system integration and manufacturing site in Shan County, Heze City, Shandong Province recently broke ground. This site, a Geely intelligent energy storage system demonstration plant, is the company’s only site in North China, with a total investment amount of CNY 3 billion. Upon full completion and commissioning, the site will achieve a sales revenue of CNY 15.6 billion and establish complete upstream and downstream industrial chains for raw materials and terminal products. Xingneng intelligent energy products will be applied to energy storage power plants and new energy storage infrastructure.</t>
    <phoneticPr fontId="1"/>
  </si>
  <si>
    <t>https://www.marklines.com/en/global/3893</t>
    <phoneticPr fontId="1"/>
  </si>
  <si>
    <t>February 27, Hanma Technology released on the Shanghai Stock Exchange (SSE) the “Announcement on Filing for Reorganization and Pre-reorganization with a Court by Wholly-owned Subsidiaries”. According to the announcement, Hanma Technology approved five wholly-owned subsidiaries, namely Anhui Hualing Automobile Co., Ltd., Anhui Xingma Special Automobile Co., Ltd., Anhui Fuma Automobile Parts Group Co., Ltd., Anhui Fuma Electronic Technology Co., Ltd., and Wuhu Fuma Automobile Parts Co., Ltd., for filing for reorganization and pre-reorganization with the Ma’anshan Intermediate People’s Court of Anhui Province, and for filing for a coordinated hearing of procedures for the reorganization and pre-reorganization of itself and the five subsidiaries.</t>
    <phoneticPr fontId="1"/>
  </si>
  <si>
    <t>February 27, the DFMC R&amp;D Institute signed a cooperation framework agreement with China Automotive Engineering Research Institute Co., Ltd. (CAERI) in Wuhan, Hubei. The two parties will cooperate on finished vehicles, New Energy, core technologies for intelligent connectivity.</t>
    <phoneticPr fontId="1"/>
  </si>
  <si>
    <t>On February 8, Suzuki's subsidiary in Hungary, Magyar Suzuki Corporation Ltd., achieved accumulated automobile production of 4 million units. Magyar Suzuki started production in October 1992 with the Swift. 4 million units was achieved in 31 years and 5 months with the Hungarian specification Vitara. As the only production hub of Suzuki in Europe, Magyar Suzuki currently makes production not only for Hungary but also for 123 countries and regions worldwide in areas including Europe and Latin America.</t>
    <phoneticPr fontId="1"/>
  </si>
  <si>
    <t>https://www.marklines.com/en/global/10739</t>
    <phoneticPr fontId="1"/>
  </si>
  <si>
    <t>Announced on February 29, Banpu NEXT has inked a Strategic Cooperation Agreement with SVOLT to further strengthen their cooperation and development in the fields of energy storage, battery cells, and recycling while also maintaining SVOLT Thailand factory’s leading advantages in the lithium battery industry covering Thailand, Southeast Asia, and other regions. Additionally, both companies will jointly assess the feasibility of setting up the ESS Production Plant in Thailand, while aiming to upgrade the plant’s production line from EV Pack to ESS Pack. They will also initiate feasibility studies for localizing battery cell production to align with Thailand’s policy requirements and prepare for localized battery production in Thailand starting in 2026.</t>
    <phoneticPr fontId="1"/>
  </si>
  <si>
    <t>Announced on February 28, SVOLT Thailand officially held the battery pack mass running ceremony at the plant in Chon Buri province. The opening ceremony of SVOLT Energy Technology Thailand’s battery production line was also presided over by the Thai Minister of Industry, Great Wall Motor’s Vice President of Marketing for the ASEAN Region, Thailand BOI, and Commercial Advisor at the Embassy of China in Thailand.</t>
    <phoneticPr fontId="1"/>
  </si>
  <si>
    <t>On February 28, Hyundai Motor India Limited (HMIL) announced that it currently fulfills 64% of its energy requirements using renewable sources, and aims to reach the 100% mark, to achieve the RE100 benchmark by 2025. It is prepared to invest over INR 320 billion in the next 10 years since 2023, for the expansion of car and SUV platforms including EV range and charging infrastructure. Hyundai is strategically purchasing green power from the Indian Energy Exchange (IEX) to increase its RE portfolio by 64% and has conserved energy equivalent to ~19,200 tonnes of oil equivalent (TOE) through key energy management projects till now. It has achieved 80% water neutrality by utilizing recycled RO water and rainwater from harvesting ponds with a capacity of 350,000 tonnes and further reduced hazardous waste by 19.4% and non-hazardous waste by 14.3% over the past five years.</t>
    <phoneticPr fontId="1"/>
  </si>
  <si>
    <t>On February 28, Volvo Trucks North America highlighted connectivity improvements on its recently launched Volvo VNL, built in New River Valley plant in Virginia. As an industry first, Volvo Trucks has introduced E-Call, a self-activating crash notification, which automatically connects drivers with a 911 dispatcher via a hands-free call in the event of a rollover or airbag deployment. Through a completely new electrical architecture, the Remote Diagnostics capabilities on the all-new VNL are more accurate and monitor more areas on the truck than ever before.</t>
    <phoneticPr fontId="1"/>
  </si>
  <si>
    <t>On February 27, Volkswagen announced its updated 2024 ID.4, assembled in Chattanooga, Tennessee. The 2024 ID.4 gets a major upgrade for its 82 kWh battery models with a new performance drive unit, known within Volkswagen as APP 550. MY24 Volkswagen ID.4 models (when released with SK On components) will be eligible for the full USD 7,500 federal tax credit, and VW is optimistic that all MY24 ID.4 vehicles will continue to qualify during the entirety of 2024.The electric drivetrain and other components of the ID.4 are produced at Volkswagen Group Components sites in Kassel and Salzgitter, Germany, while the battery pack is assembled in Chattanooga using cells sourced from SK Innovation in Commerce, Georgia.</t>
    <phoneticPr fontId="1"/>
  </si>
  <si>
    <t>On February 27, the United Auto Workers (UAW) announced that a majority of the 6,300 hourly workers at the Mercedes-Benz plant in Tuscaloosa, Alabama have signed cards to join the union. The UAW said Mercedes marks the second plant to reach the majority card-signing milestone in February, following the VW workers in Chattanooga.</t>
    <phoneticPr fontId="1"/>
  </si>
  <si>
    <t>February 26, GWM officially launched the new Tank 700 Hi4-T full-size off-road SUV. Equipped with a 265kW/560Nm 3.0T turbocharged engine, a 37.1kWh ternary lithium battery, a longitudinal 9-speed hydraulic automatic transmission, and a 120kW/400Nm motor, the Tank 700 Hi4-T delivers a maximum combined system power of 385kW, a peak combined system torque of 800Nm, a WLTC electric-mode range of 90km or 85km, and a combined fuel consumption of 2.97L/100km or 3.2L/100km.</t>
    <phoneticPr fontId="1"/>
  </si>
  <si>
    <t>February 26, Dongfeng Motor announced that Dongfeng Liuzhou Motor Co., Ltd. recently held a 2024 partner conference in Liuzhou, Guangxi. In 2024, Dongfeng Forthing will launch a new NEV (New Energy Vehicle) brand as well as the new Xinghai V9 and S7 strategic models. To be concurrently introduced are four NEVs: the U-Tour PHEV, the T5 Evo REEV, the Lingzhi REEV, and the next-generation Lingzhi.</t>
    <phoneticPr fontId="1"/>
  </si>
  <si>
    <t>February 26, Exeed, a Chery premium sub-brand, officially started accepting pre-orders for the Stellar C-DM flagship plug-in hybrid SUV. The vehicle will be officially launched in Q1. The Stellar C-DM, the first M3X super hybrid platform-based model, is equipped with a Feiyu chassis, a 5th-generation ACTECO 1.5TGDI high-efficiency dedicated hybrid engine, a 3-speed dual-motor dedicated hybrid transmission, and a new CATL 34.46kWh M3P battery. Dual motors complete the powertrain of the 2WD variants, enabling a maximum power of 270kW, a peak torque of 605Nm, and a 90km/h to 120km/h acceleration time of only 4.2 seconds. Triple motors complete the powertrain of the 4WD variant, enabling a maximum power of over 400kW, a peak torque of over 900Nm, and a 0 to 100km/h acceleration time of 4 seconds. The Stellar C-DM delivers a WLTC combined range of 1,343km, a WLTC electric-mode range of 160km (for the ultra-long-range variants), a WLTC fuel consumption of 5.4L/100km at the lowest charge, and a charging time of only 20 minutes from 30% to 80% battery capacity in fast charging mode.</t>
    <phoneticPr fontId="1"/>
  </si>
  <si>
    <t>On February 26 it was announced that the new 2024 Toyota Tacoma will launch with four versions: SR 4x2 and 4x4 and the TRD Sport 4x2 and 4x4. The Vice President of Operations at Toyota Motor Sales, Gerardo Romero, commented that the brand expects to market approximately 6,300 units of the midsize pickup in Mexico during the first 12 months. </t>
    <phoneticPr fontId="1"/>
  </si>
  <si>
    <t>https://www.marklines.com/en/global/3041</t>
    <phoneticPr fontId="1"/>
  </si>
  <si>
    <t>On February 26, Ford announced its first-ever factory Matte Clear Film, giving Mustang a satin-like finish while also protecting the car’s paint. Matte Clear Film is available on all Mustang coupe models with first deliveries slated to begin in June, and on all Mustang convertible models in the fourth quarter of 2024. The Matte Clear Film is a product of PPG, and comes with the same 3-year/36,000-mile factory warranty that applies to all 2024 Mustang cars built at the Flat Rock Assembly Plant.</t>
    <phoneticPr fontId="1"/>
  </si>
  <si>
    <t>On April 26, it was announced that the Caoa Group plans to launch its own brand in Brazil and become a completely national OEM. The project involves the manufacturing of Caoa products and the development of vehicles, both to be carried out at the Anápolis plant, where the cars imported from China are currently located and Hyundai models are produced. The CEO of Caoa Group also announced the local assembly of the Tiggo 8 add-on in Anápolis in the second half of 2024.</t>
    <phoneticPr fontId="1"/>
  </si>
  <si>
    <t>February 24, a ceremony to commemorate the Landking EH Pro, the world’s first super battery electric light-duty truck, rolling off production line was held at the Yantai manufacturing site of Weichai New Energy Commercial Vehicle Co., Ltd.. The Landking EH Pro employs a Weichai FinDreams 135kWh liquid-cooled blade battery and a dual-gear-ratio transmission, offering a range of over 400km and safety driving assistance features such as AEB (Autonomous Emergency Braking), ACC (Adaptive Cruise Control), and DCW (Driver Condition Warning).</t>
    <phoneticPr fontId="1"/>
  </si>
  <si>
    <t>On July 20, FAW Group released the 2022 Sustainable Development Report. According to the report, Fawer Smarter Energy Technology Co., Ltd., a FAW Group subsidiary, created a complete digitalized system for NEV battery recycling. The company established the first battery manufacturing site that supports cascade utilization of batteries and serves the business needs such as battery dismantling, testing and assembling. Fawer Smarter Energy Technology Co., Ltd. also adopted a new business approach to ensure that waste batteries could be reused in an environment-friendly manner and remain usable throughout their lifecycles.</t>
    <phoneticPr fontId="1"/>
  </si>
  <si>
    <t>On July 20, FAW Group released the 2022 Sustainable Development Report. According to the report, FAW Group made the green supplier management system as one of its requirements for qualified suppliers. The automaker concluded a letter of commitment for green supply chain partnership with the suppliers providing products for Hongqi brand's production models. Additionally, FAW Group offered onsite guidance on energy conservation and green manufacturing to 40 top suppliers, with a focus on increasing their utilization rate of green electricity. Moreover, it promoted a package of universal measures adopted by the Hongqi brand for green management among suppliers and urge them to formulate green development plans based on their own situations.</t>
    <phoneticPr fontId="1"/>
  </si>
  <si>
    <t>On July 20, FAW Group released the 2022 Sustainable Development Report. According to the report, FAW Group strengthened its research on alternative materials and renewable raw materials. It already used alternative materials in the manufacturing of a series of components such as bearing pads and damping plates. Additionally, FAW Group adopts a platform-based and modular approach to the design of automotive parts, all of which have standardized interfaces. As a result, a 90% universality rate was achieved among the parts manufactured by the automaker. FAW Group continued to develop its products independently in all performance domains and designed products with consideration for easy recycling and dismantling.</t>
    <phoneticPr fontId="1"/>
  </si>
  <si>
    <t>https://www.marklines.com/en/global/10753</t>
    <phoneticPr fontId="1"/>
  </si>
  <si>
    <t>On February 28, Somerset Council announced that Agratas, a new business within the Tata Group has confirmed its plans to build a gigafactory producing EV batteries at the Gravity Smart Campus site in Puriton, near Bridgwater. The construction will be completed in phases, with battery production scheduled to begin in 2026. The gigafactory, built with an investment of GBP 4 billion, will eventually produce 40GWh of battery cells annually, enough to supply approximately 500,000 passenger vehicles. Agratas also plans to create batteries for other applications, including two-wheelers, commercial vehicles, and commercial energy storage solutions. Over the next five years, the authority aims to invest in infrastructure, skills enhancement, site access, and connectivity to maximize Somerset's benefits from Agratas' investment, which will be covered by the Business Rates generated once the factory is operational. The Council and Government are finalizing an agreement to support the long-term economic uplift of the County.</t>
    <phoneticPr fontId="1"/>
  </si>
  <si>
    <t>On February 27, AvtoTOR announced that it will produce Forthing brand cars from March 2024. It will produce Forthing T5, Forthing T5 EVO, and MPV Forthing M4 YACHT crossovers. Sales of Forthing cars are scheduled to begin in the first quarter of 2024. The production of these models is carried out in industrial assembly mode based on a welded and painted body with partial localization of first-level components. The Forthing car production plan provides for the use of local components with a gradual increase in the level of localization. During the preparation, line personnel is trained, the conveyor line is equipped, equipment is installed and software is tested, special stands are manufactured for testing active vehicle safety systems, and automated elements of the conveyor are configured and adjusted.</t>
    <phoneticPr fontId="1"/>
  </si>
  <si>
    <t>https://www.marklines.com/en/global/497</t>
    <phoneticPr fontId="1"/>
  </si>
  <si>
    <t>On February 27, Suzuki Motor Corporation launched the "Every" mini commercial vehicle and the "Every Wagon" mini passenger vehicl with partial specification changes in Japan. The new models are newly equipped with a CVT for improved fuel economy and quietness, while the CVT models feature electronically controlled 4WD with three selectable modes (2WD, 4WD Auto, and 4WD Lock) and a muddy road escape assist system.</t>
    <phoneticPr fontId="1"/>
  </si>
  <si>
    <t>https://www.marklines.com/en/global/10232</t>
    <phoneticPr fontId="1"/>
  </si>
  <si>
    <t>On February 27, Skoda Auto India announced that it will launch an all-new entry-level compact SUV based on the MQB-A0-IN platform and will debut in India in the first half of 2025. The SUV will use excise benefits for under 4-metre cars available in India for pricing. Skoda mentioned that its R&amp;D expertise in India has already enabled it to incorporate highly localized parts and components for its entire range and the new SUV.</t>
    <phoneticPr fontId="1"/>
  </si>
  <si>
    <t>https://www.marklines.com/en/global/1304</t>
    <phoneticPr fontId="1"/>
  </si>
  <si>
    <t>On February 27, Honda revealed America’s first production plug-in hydrogen fuel cell electric vehicle, the 2025 Honda CR-V e:FCEV, available for leasing in California beginning later in 2024. With a 270-mile EPA driving range, the CR-V e:FCEV provides up to 29 miles of EV driving around town with the flexibility of fast hydrogen refueling for longer trips. The CR-V e:FCEV is built at Honda’s Performance Manufacturing Center in Marysville, Ohio, with its second-generation Honda Fuel Cell Module produced at Fuel Cell System Manufacturing, LLC (FCSM) in Michigan.</t>
    <phoneticPr fontId="1"/>
  </si>
  <si>
    <t>https://www.marklines.com/en/global/9324</t>
    <phoneticPr fontId="1"/>
  </si>
  <si>
    <t>On February 27, Polestar announced that production of Polestar 3 has started in Chengdu, China, while pre-production has begun at the plant in Ridgeville, South Carolina, with mass production to begin there in the middle of 2024. The first early production test series in the U.S. factory has been completed successfully.</t>
    <phoneticPr fontId="1"/>
  </si>
  <si>
    <t>https://www.marklines.com/en/global/4303</t>
    <phoneticPr fontId="1"/>
  </si>
  <si>
    <t>https://www.marklines.com/en/global/533</t>
    <phoneticPr fontId="1"/>
  </si>
  <si>
    <t>On February 26, Subaru Corporation resumed operations at its three plants in Japan that had been suspended following an accident that resulted in the loss of an employee. The three plants are the main plant, the Yajima Plant (both automobile plants), and the Oizumi Plant (engine and transmission plant). The fatal accident occurred at the Yajima Plant on the 13th, and operations at all plants were sequentially suspended from the same day. The company announced it will further strengthen its commitment to prioritizing the safety of employees.</t>
    <phoneticPr fontId="1"/>
  </si>
  <si>
    <t>https://www.marklines.com/en/global/529</t>
    <phoneticPr fontId="1"/>
  </si>
  <si>
    <t>https://www.marklines.com/en/global/531</t>
    <phoneticPr fontId="1"/>
  </si>
  <si>
    <t>On February 26, Daihatsu Motor Kyushu Co., Ltd., a subsidiary of Daihatsu Motor Co., Ltd., resumed production of 10 mini vehicles at its Oita (Nakatsu) plant, which had been suspended due to the certification fraud issue. 10 models are Daihatsu's Mira e:S, Hijet Cargo, Atrai, and Hijet Truck; the Pixis Epoch, Pixis Van, and Pixis Truck supplied to Toyota on an OEM consignment production basis; and the Pleo Plus, Sambar Van, and Sambar Truck supplied to Subaru on an OEM consignment production basis. On January 30, the Ministry of Land, Infrastructure, Transport and Tourism lifted the suspension order. In addition, the Kurume Plant, which produces engines, resumed operations from January 23.</t>
    <phoneticPr fontId="1"/>
  </si>
  <si>
    <t>Radar</t>
    <phoneticPr fontId="1"/>
  </si>
  <si>
    <t>https://www.marklines.com/en/global/3681</t>
    <phoneticPr fontId="1"/>
  </si>
  <si>
    <t>February 26, Radar Auto, a Geely sub-brand for New Energy Vehicles, unveiled the new Radar Horizon super battery electric 4WD pickup truck. The Radar Horizon is equipped with a dual-motor 4WD system enabling a 0 to 100km/h acceleration time of only 4 seconds and a top speed of 190km/h as well as an intelligent all-terrain system.</t>
    <phoneticPr fontId="1"/>
  </si>
  <si>
    <t>On February 26, Hyundai Motor’s president and global COO José Muñoz announced that the official start of production at Hyundai Motor Group Metaplant America (HMGMA) has been moved up to the fourth quarter of 2024 with the grand opening celebration targeted for the first quarter of 2025. It was previously announced that production would begin in the first quarter of 2025. Hyundai is investing USD 7.59 billion to develop HMGMA, while Hyundai and SK On are building a USD 5 billion EV battery cell plant in Bartow County, Georgia.</t>
    <phoneticPr fontId="1"/>
  </si>
  <si>
    <t>February 25, Yangwang Auto, a BYD sub-brand, officially launched the U9 2-seater battery electric supercar. The U9 is equipped with the e4 platform; a quad-motor intelligent 4WD system with a maximum power of 960kW, a maximum horsepower of 1,306PS, and a peak torque of 1,680Nm; the DiSus-X intelligent full-active vehicle body control system; an all-domain 800V platform; a permanent magnet synchronous motor with a maximum power of 240kW; and an 80kWh blade battery. It delivers a 0 to 100km/h acceleration time of 2.36 seconds, a top speed of 300km/h, a CLTC electric-mode range of 450km, and a charging time of only 10 minutes from 30% to 80% battery capacity with 500kW DC dual-plug fast charging. The U9 comes with features such as a BYD-Qualcomm custom developed 4nm 5G chip, the industry’s first in-house developed racing assistant, the DiPilot intelligent driver assistance system.</t>
    <phoneticPr fontId="1"/>
  </si>
  <si>
    <t>On February 23, Toyota Motor Corporation (Toyota) decided to extend the shutdown of two lines at two plants in Japan until March 1. Toyota plans to decide on March 1 regarding operations after March 4, which is after the holiday (Saturday and Sunday) weekend. The two lines are the No. 1 line at Toyota Auto Body's Inabe Plant and the No. 1 line at Gifu Auto Body Co. Ltd. Following the discovery of fraudulent engine output testing by Toyota Industries Corporation, the two lines have been shut down since the second shift on January 29. Among the models produced on the two lines, the "Hiace" and other models had engine that were subject to the fraud scandal.</t>
    <phoneticPr fontId="1"/>
  </si>
  <si>
    <t>Kia’s factory in West Point, Georgia will start building the electric EV9 this spring, and while it will be eligible for at least part of the federal EV tax credit, it may not be eligible for the full USD 7,500 because of requirements in force since January 1 that EV batteries must not source more than 2% of their components from a ‘foreign entity of concern’ like China, Russia, North Korea, or Iran. Locally-built EV9 models will initially use battery components sourced through Hyundai Mobis and an existing Hyundai Motor Group facility, or external supplier. The West Point plant will then go through a transition period before it starts using batteries that are locally sourced and assembled. The Hyundai Motor Group is building one battery plant one as a joint venture with LGES as part of the Metaplant America complex under construction in Bryan County, Georgia, and another as a JV with battery supplier SK On in Bartow County, Georgia, though neither is expected to come online until 2025.</t>
    <phoneticPr fontId="1"/>
  </si>
  <si>
    <t>https://www.marklines.com/en/global/933</t>
    <phoneticPr fontId="1"/>
  </si>
  <si>
    <t>On February 23, Mercedes-Benz Malaysia introduced the Mercedes-Benz C 350 e Plug-in Hybrid, assembled at the production plant in Pekan. Accentuated by its sporty AMG appearance, this PHEV comes with a 1,999-cc 4-cylinder petrol engine, working with an electric motor, delivering a rated power system output of 230 kW and a peak torque of 550 Nm. Its high-voltage battery, with an energy content of 25.4 kWh is good for an electric range of up to 117 km (WLTP). This PHEV is now open for pre-booking and deliveries are set to start from March 2024.</t>
    <phoneticPr fontId="1"/>
  </si>
  <si>
    <t>On February 21, Mitsubishi Fuso Truck and Bus Corporation (MFTBC) announced the launch in Japan of the new Canter light-duty truck. The new model features a new redesigned interior for the first time in 14 years, as well as enhanced advanced safety equipment that significantly improves safety while driving. The interior design adopts a streamlined style from the dashboard to the right and left entry/exit grips to improve ease of entry and exit. In addition, a 10-inch full liquid crystal (LCD) meter panel that allows the driver to see the driving status at a glance has been newly installed. As for advanced safety equipment, the new model features Active Side Guard Assist 1.0, a left-turn accident prevention system with collision mitigation braking, and Active Brake Assist 5, an improved version of the conventional AEBS (Advanced Emergency Braking System) collision damage mitigation braking system. Additionally, a “Rear View Camera” has been affixed to the back of the vehicle to reduce the risk of accidents when reversing, complying with the new Japanese regulations that take effect in May 2024.</t>
    <phoneticPr fontId="1"/>
  </si>
  <si>
    <t>https://www.marklines.com/en/global/593</t>
    <phoneticPr fontId="1"/>
  </si>
  <si>
    <t>Ishikawa</t>
  </si>
  <si>
    <t>On February 21, Hino Motors, Ltd. (Hino) announced that the sales launch of the S'elega, a partially remodeled large sightseeing bus, will take place on March 1. The upgraded S'elega features new Lane Keeping Assist (LKA) and auto headlamps. In addition, the company has improved the performance of various devices, expanding the conditions under which the Pre-Crash Safety (PCS) system can be activated. Due to the type approval cancellation of the E13C engine caused by a certification misconduct issue, Hino continues the suspension of shipments of vehicles (S'elega) equipped with this engine. </t>
    <phoneticPr fontId="1"/>
  </si>
  <si>
    <t>On February 20, Daihatsu Motor Co., Ltd. (Daihatsu) announced the schedule for March at its Japanese domestic plants. As for the Shiga (Ryuo) Plant 2nd District, the company is studying the resumption of production on or after March 4 of three models: the Daihatsu Rocky gasoline-powered version, the Toyota Raize gasoline-powered version, and the Subaru Rex, for which the Japanese Ministry of Land, Infrastructure, Transport and Tourism (MLIT) lifted its instruction to suspend shipments on February 16. The suspension of production of other models will be extended until March 15. At the Kyoto (Oyamazaki) Plant, production of the Toyota Probox and Mazda Familia Van resumed on February 12, but the suspension of production of other models will be extended until March 15. The production halt at the Copen Factory at the Head (Ikeda) Plant will also be extended until March 15. Daihatsu Motor Kyushu Co., Ltd.’s Oita (Nakatsu) Plant is scheduled to resume production of 10 mini-vehicle models from February 26, including: the Daihatsu Mira e:S, Hijet Cargo, Atrai, and Hijet Truck; the Toyota Pixis Epoch, Pixis Van, and Pixis Truck supplied to Toyota Motor on an OEM basis; and the Pleo Plus, Sambar Van, and Sambar Truck supplied to Subaru Corporation on an OEM basis. The suspension of production of other models will be extended until March 15. For all the models in which production will be suspended until March 15, there is no timetable for resumption of production on or after March 16.</t>
    <phoneticPr fontId="1"/>
  </si>
  <si>
    <t>On February 19, Daihatsu Motor Kyushu Co., Ltd. resumed shipment of 10 unshipped mini-vehicle models that were subject to certification misconduct at the Oita (Nakatsu) Plant. The affected models include: Daihatsu's Mira e:S, Hijet Cargo, Atrai, and Hijet Truck; the Toyota Motor Corporation (Toyota) Pixis Epoch, Pixis Van, and Pixis Truck, which are supplied to Toyota on an OEM basis; and the Subaru Corporation Pleo Plus, Sambar Van, and Sambar Truck, which are supplied to Subaru on an OEM basis. The Japanese Ministry of Land, Infrastructure, Transport and Tourism (MLIT) lifted the shipment suspension order on January 30 for these 10 models, and production is scheduled to resume at the Oita (Nakatsu) Plant on February 26.</t>
    <phoneticPr fontId="1"/>
  </si>
  <si>
    <t>According to multiple media reports on February 16 and 17, Subaru Corporation has suspended operations at three plants in Japan following an accident that resulted in the loss of an employee at the Yajima Plant on February 13. The three plants are the Yajima Plant, the Main Plant, and the Oizumi Plant. It is reported that the timing of the resumption of operations has not yet been determined.</t>
    <phoneticPr fontId="1"/>
  </si>
  <si>
    <t>The Japanese Ministry of Land, Infrastructure, Transport and Tourism (MLIT) announced on February 16 that it has lifted its order suspending shipments of three compact passenger cars that were found to have been fraudulently certified by Daihatsu Motor Co., Ltd. These three models were confirmed to be in compliance with the standards of the Road Transport Vehicle Act. The three models are the Daihatsu Rocky gasoline-powered model, the Toyota Raize gasoline-powered model, and the Subaru Rex, all of which are manufactured in Japan at Daihatsu’s Shiga (Ryuo) Plant. Only the gasoline-powered models of the Rocky and Raize were subject to the lifting of the suspension, not hybrid vehicle (HV) models. The Rex was only a gasoline-powered model from the beginning. Daihatsu intends to resume production and shipments as soon as preparations are made, in close cooperation with suppliers and dealers.</t>
    <phoneticPr fontId="1"/>
  </si>
  <si>
    <t>EV Motors Japan</t>
    <phoneticPr fontId="1"/>
  </si>
  <si>
    <t>https://www.marklines.com/en/global/10698</t>
    <phoneticPr fontId="1"/>
  </si>
  <si>
    <t>On February 7, EV Motors Japan Co., Ltd., a developer and seller of commercial electric vehicles (EVs), announced that the first phase of construction of "Zero Emission e-PARK," it's first final assembly plant in Japan dedicated to commercial EVs, was completed in December 2023. "Zero Emission e-PARK" is under construction in Wakamatsu Ward, Kitakyushu City, Fukuoka Prefecture, with a total area of 58,000 square meters. It will be a hands-on EV complex facility for not only manufacturing EV vehicles but also EV experience (test ride/ test drive), factory tours, EV museum, etc. In the first phase of construction, part of the final assembly plant and the inspection building were completed. The second phase of construction has already begun, with the aim of completing the test course and office building in 2024. EV Motors Japan is a venture company established in 2019, which currently outsources the manufacturing of its self-developed commercial EVs (buses, logistics vehicles, etc.) to several OEM partners in China, and imports finished vehicles to Japan for sale. Once the final assembly plant is operational, the company will work on both contract manufacturing in China and final assembly in Japan. In the inspection building that has been completed, the company plans to conduct inspections upon receipt and before shipment of finished vehicles manufactured in China on consignment in February and to start installation of EV buses (installation of equipment such as fare boxes and stop buttons, and wiring work) in April. At the final assembly plant, production equipment will be gradually introduced to establish a system for assembling EV vehicles. The plan is to import parts from Chinese OEM partners and carry out the final assembly of EV buses, EV logistics vehicles, and EV special-purpose vehicles, starting with a few units in 2024, eventually aiming for an annual production volume of 1,500 units.</t>
    <phoneticPr fontId="1"/>
  </si>
  <si>
    <t>On February 27, AvtoVAZ announced that the Lada Izhevsk automobile plant continues to produce a pilot batch of Lada Largus. In addition to the passenger vans, which began assembly last week, passenger versions of the Largus have entered test production. AvtoVAZ will start assembly of the first Russian highly localized electric vehicle e-Largus in the third quarter of 2024. The volume of output will directly depend on demand and additional balancing of government support measures.</t>
    <phoneticPr fontId="1"/>
  </si>
  <si>
    <t>https://www.marklines.com/en/global/4269</t>
    <phoneticPr fontId="1"/>
  </si>
  <si>
    <t>On February 26, BYD presented the BYD SEAL U DM-i with Super DM (Dual Mode) Technology to European consumers for the first time at the Geneva International Motor Show 2024. The D-Segment plug-in hybrid SUV is the first BYD vehicle in Europe to use the Super DM Technology. It has an ultra-strong body with omnidirectional collision energy absorption. Super DM Technology is BYD's cutting-edge proprietary DM-i hybrid technology. The DM-i (Dual Mode) technology integrates the highly efficient engine, the electric hybrid system, a tailor-made Blade Battery, and the AC/DC On-board Charger. The BYD SEAL U DM-i uses the brand's 'Ocean Aesthetics' design language. It will be available to European customers from Q2 2024.</t>
    <phoneticPr fontId="1"/>
  </si>
  <si>
    <t>On February 26, Magyar Suzuki announced that it had handed over the solar park of its Esztergom car factory. The company invested EUR 2 million into the solar park project for about two years. The solar park project underwent design, permitting, and approval from May 2022 to mid-February 2024. Magyar Suzuki began producing renewable electricity at the end of February 2024. The plant can produce up to 3.2 million kWh of energy annually, of which 3.1 million kWh is usable. As the Esztergom factory consumes 45 million kWh of energy each year, the solar plant fulfills approximately 6-7% of the annual energy requirements, saving approximately HUF 272 million annually. The solar park also leads to a reduction in indirect CO2 emissions by more than 1,700 tons. The company also uses its heat pumps in the paint shop, the bumper shop, and the operations department, which contributes to the cooling and heating of the production areas, and produces the social hot water of the entire. Magyar Suzuki is also planning to expand its solar capacity to cover approximately 30-50% of its energy needs.</t>
    <phoneticPr fontId="1"/>
  </si>
  <si>
    <t> On February 26, GM announced its direct-to-consumer sales of the Cadillac Lyriq will start March 23 in France, with deliveries of the vehicle in Europe to start in the first half of 2024. France is the third market in Europe where GM is launching the direct-to-consumer Cadillac business. For European customers, GM said it will be selling only the luxury and sports AWD models of the Cadillac Lyriq, built at the Spring Hill Assembly plant in Tennessee since 2022.</t>
    <phoneticPr fontId="1"/>
  </si>
  <si>
    <t>Navistar (TRATON)</t>
    <phoneticPr fontId="1"/>
  </si>
  <si>
    <t>https://www.marklines.com/en/global/889</t>
    <phoneticPr fontId="1"/>
  </si>
  <si>
    <t>On February 26, Navistar announced the first deliveries of the International LT Series equipped with the International S13 Integrated Powertrain to several key fleet customers. The S13 Integrated Powertrain marks the final generation of ICE products Navistar will develop amid the transition to zero emissions. The LT Series powered by the S13 Integrated Powertrain, which was assembled at Navistar's Escobedo Assembly Plant in Mexico.</t>
    <phoneticPr fontId="1"/>
  </si>
  <si>
    <t>International (TRATON)</t>
    <phoneticPr fontId="1"/>
  </si>
  <si>
    <t>On February 24 and 25, the Audi plant, located in San Jose Chiapa, Puebla, implemented an extra workday in its three shifts. The painting and logistics areas of the third shift, which normally rest on Saturdays, went to work on February 24, while on Sunday, February 25, all areas of the three shifts also worked with the day paid at 300% as it is established by the federal labor law. The plant operates 17 shifts per week, producing 233 Q5 trucks in each one. This strategy aims to recover the 15,000 Q5 units that were not produced during the 25 days of strike.</t>
    <phoneticPr fontId="1"/>
  </si>
  <si>
    <t>On February 23, Wuling Motors unveiled the new Bingo Plus 510km-range 5-door battery electric vehicle, which is planned for launch in March. The Bingo Plus delivers an ultra-long class-leading 510km range. The 75kW/180Nm motor enables the highest performance in its class and a 0 to 50km/h acceleration time of only 3.7 seconds.</t>
    <phoneticPr fontId="1"/>
  </si>
  <si>
    <t>Ford Motor Co. placed a stop-shipment order on its 2024 F-150 Lightning EV pickups on February 9, which is still in effect as part of a longer-than-expected quality check process, though production continues at the Rouge Electric Vehicle Center. Meanwhile, Ford began shipping its refreshed ICE-powered 2024 F-150 pickups, which had also been on hold, to dealers this week. Revamped vehicle and quality testing processes began in 2023 on the redesigned Super Duty trucks built in Kentucky.</t>
    <phoneticPr fontId="1"/>
  </si>
  <si>
    <t>https://www.marklines.com/en/global/2473</t>
    <phoneticPr fontId="1"/>
  </si>
  <si>
    <t>On February 23, GM announced that its Lansing Delta Township Assembly plant "will pause production due to a temporary supply-chain issue and will restart as soon as possible", The plant builds the Chevrolet Traverse and Buick Enclave crossovers. Chevrolet has redesigned the Traverse for 2024, though production has not yet started. Buick has teased a redesigned Enclave, which it said will arrive for the 2025 model year. Lansing Delta Township will also again build the GMC Acadia, which has been built in Spring Hill, Tennessee, after it is redesigned for the 2024 model year.</t>
    <phoneticPr fontId="1"/>
  </si>
  <si>
    <t>Buick</t>
    <phoneticPr fontId="1"/>
  </si>
  <si>
    <t>Human Horizons</t>
    <phoneticPr fontId="1"/>
  </si>
  <si>
    <t>Hiphi</t>
    <phoneticPr fontId="1"/>
  </si>
  <si>
    <t>https://www.marklines.com/en/global/10328</t>
    <phoneticPr fontId="1"/>
  </si>
  <si>
    <t>On February 22, HiPhi, a sub-brand of Human Horizons Investment Co., Ltd., released an announcement on recent service and operation guarantees via its official APP, saying that the company made significant adjustments to its daily operations on February 19 and HiPhi charging stations, charging installation services, and charging services (including free charging) in the APP will be temporarily unavailable.</t>
    <phoneticPr fontId="1"/>
  </si>
  <si>
    <t>https://www.marklines.com/en/global/3767</t>
    <phoneticPr fontId="1"/>
  </si>
  <si>
    <t>February 22, Jetour, a Chery sub-brand, officially started accepting pre-orders for the new X90 Pro midsize SUV. The X90 Pro is equipped with a Chery Power 1.6TGDI (145kW/290Nm) or 2.0TGDI (187kW/390Nm) turbocharged engine and a 7-speed dual-clutch transmission, with a front-engine FWD layout, a combined fuel consumption of 8.1L/100km or 8.15L/100km, and a top speed of 185km/h or 190km/h. The X90 Pro comes standard with a Qualcomm Snapdragon 8155 chip. Some variants are available with a Level 2.5 autonomous driving system with features such as ACC (Adaptive Cruise Control) and APA (Automated Park Assist).</t>
    <phoneticPr fontId="1"/>
  </si>
  <si>
    <t>February 21, Volvo Cars held a ceremony in Jiading, Shanghai for the groundbreaking of the 4thphase of its APAC headquarters. For this project, battery and training centers will be built. Upon completion, the project will further expand Volvo Cars’ global supporting layout and provide robust support for the automaker in achieving full electrification and sustainable development.</t>
    <phoneticPr fontId="1"/>
  </si>
  <si>
    <t>Li Auto</t>
    <phoneticPr fontId="1"/>
  </si>
  <si>
    <t>https://www.marklines.com/en/global/3433</t>
    <phoneticPr fontId="1"/>
  </si>
  <si>
    <t>February 20, the Shunyi District People’s Government of Beijing Municipality announced that with the Li Auto Beijing Plant completed and commissioned, the trial vehicle of the Mega, the automaker’s first battery electric MPV to be officially launched on March 1, rolled off the production line. In 2024, Li Auto will introduce a portfolio of 8 products and challenge the 2024 delivery target of 800,000 vehicles.</t>
    <phoneticPr fontId="1"/>
  </si>
  <si>
    <t>https://www.marklines.com/en/global/9889</t>
    <phoneticPr fontId="1"/>
  </si>
  <si>
    <t>On July 20, FAW Group issued its 2022 Sustainable Development Report. According to the report, FAW Group has established an online pollutant emission monitoring system which covers major water and gas pollutant indicators, including COD (chemical oxygen demand), ammonia nitrogen, and VOCs (volatile organic compounds). The automaker uses caution when the instantaneous data reaches 80% of the emission limit value, sounds the alarm when the instantaneous data exceeds the standard, and tracks the cause for the exceedance in the system. In case of anomalies, FAW Group works out solutions. The automaker has visualized emission data and related information.</t>
    <phoneticPr fontId="1"/>
  </si>
  <si>
    <t>https://www.marklines.com/en/global/3689</t>
    <phoneticPr fontId="1"/>
  </si>
  <si>
    <t>On July 20, FAW Group issued its 2022 Sustainable Development Report. According to the report, FAW Jiefang's vehicle division in Qingdao has launched an MBR further improvement project for the sewage treatment station. The automaker has added a membrane bioreactor (MBR) system to improve the quality of the effluent, increase the reuse of reclaimed water, and reduce water costs. Verified by online monitoring data from the Bureau of Ecology and Environment and analyzed by monitoring reports from third-party agencies, various pollutant indicators such as effluent COD and effluent ammonia nitrogen have been significantly reduced.</t>
    <phoneticPr fontId="1"/>
  </si>
  <si>
    <t>On April 22, BAIC Group issued the "BAIC Group 2022 Social Responsibility Report". It is mentioned in the report that BAIC Motor Powertrain Co., Ltd. implemented an energy saving project on the recovery of steam condensate from vacuum evaporation units.</t>
    <phoneticPr fontId="1"/>
  </si>
  <si>
    <t>https://www.marklines.com/en/global/4111</t>
    <phoneticPr fontId="1"/>
  </si>
  <si>
    <t>On April 22, BAIC Group issued the "BAIC Group 2022 Social Responsibility Report". It is mentioned in the report that in 2022, BAIC Group Guangzhou Branch optimized the start-stop management of painting devices and conducted low-nitrogen combustion upgrading and renovation of gas boilers.</t>
    <phoneticPr fontId="1"/>
  </si>
  <si>
    <t>On February 26, Kamaz announced that it is planning to assemble 220 vehicles per day by the fourth quarter of this year. At present, it is assembling 200 vehicles per day. Next year, it is targeting the assembly of 240 vehicles per day. The primary task for this year is the development of the heavy family of K5 generation vehicles. The first such heavy-duty trucks - three-axle trucks -6595, -65952, and four-axle truck -65951 - have been assembled, and pilot batches are now being produced.</t>
    <phoneticPr fontId="1"/>
  </si>
  <si>
    <t>On February 26, MG Motor released new details of its highly anticipated Cyberster convertible at the 2024 Geneva Motor Show. The dual electric motor and all-wheel drive version output is 400kW with a maximum torque of 725 NM. The single-motor Cyberster will deliver power figures of 250 kW with a torque of 475 NM.</t>
    <phoneticPr fontId="1"/>
  </si>
  <si>
    <t>https://www.marklines.com/en/global/179</t>
    <phoneticPr fontId="1"/>
  </si>
  <si>
    <t>On February 26, Renault revealed the all-new Renault 5 E-Tech, a B-segment electric vehicle. The vehicle will be launched in September 2024, with a starting price of around EUR 25,000. The vehicle along with the batteries will be assembled at Renault’s Douai plant. The motor components (including the electric machine, reduction gear, and power electronics) will be manufactured at the Cléon plant, the battery pack will be manufactured at the Ampere plant in Ruitz, while the batteries will be produced at the Douai Gigafactory (Envision AESC partnership) starting in the summer of 2025. The Renault 5 E-Tech electric will be the first vehicle to be designed on AmpR Small, the new Ampere platform dedicated to B-segment electric vehicles. The vehicle will be equipped with a wound rotor synchronous electric motor and will be available with three power outputs of 110kW (150 bhp / 245 Nm), 90 kW (120 bhp / 225 Nm) and 70 kW (95 bhp / 215 Nm). The vehicle will offer two battery options, including a 40-kWh version that delivers a range of up to 300 km (WLTP) and a 52-kWh version that offers a range of up to 400 km (WLTP).</t>
    <phoneticPr fontId="1"/>
  </si>
  <si>
    <t>https://www.marklines.com/en/global/169</t>
    <phoneticPr fontId="1"/>
  </si>
  <si>
    <t>https://www.marklines.com/en/global/187</t>
    <phoneticPr fontId="1"/>
  </si>
  <si>
    <t>https://www.marklines.com/en/global/10626</t>
    <phoneticPr fontId="1"/>
  </si>
  <si>
    <t>On February 23, multiple sources reported that the production of the Volkswagen Navarra plant was impacted due to a protest by farmers. The production is impacted from the afternoon of February 23, 2024. On February 22 night, the farmers blocked the entrances to the factory with tractors, preventing the arrival of necessary parts on the assembly line.</t>
    <phoneticPr fontId="1"/>
  </si>
  <si>
    <t>https://www.marklines.com/en/global/123</t>
    <phoneticPr fontId="1"/>
  </si>
  <si>
    <t>On February 23, INEOS Automotive unveiled its all-new 4X4 vehicle, the INEOS Fusilier. The vehicle will be manufactured in partnership with Magna Steyr at its facility in Graz, Austria. The development process will also include a rigorous testing programme on Austria's Schöckl mountain, close to Magna's facility in Graz. The new 4X4 will be slightly shorter in length and slightly lower in height compared to the INEOS Grenadier. The vehicle will be offered in two powertrain options including an all-electric powertrain (BEV) and a low-emission range-extender electric option. The range-extender option will consist of a small gasoline engine driving a generator to sustain battery charge when external charging is unavailable. The confirmation of the alternative powertrain details and launch timings are expected by autumn 2024.</t>
    <phoneticPr fontId="1"/>
  </si>
  <si>
    <t>https://www.marklines.com/en/global/1291</t>
    <phoneticPr fontId="1"/>
  </si>
  <si>
    <t>On February 23, Toyota Kirloskar Auto Parts Pvt Ltd (TKAP), a part of the Toyota Group of companies announced that it has received the domestic value addition (DVA) certificate for xEV transaxle (e-Drive) under the production linked incentive (PLI) scheme for advanced automotive technology (AAT) products. This development renders TKAP eligible to avail of incentives under the scheme. TKAP's product has also met the testing criteria of advanced automotive technology, and it is certified by the Automotive Research Association of India (ARAI).</t>
    <phoneticPr fontId="1"/>
  </si>
  <si>
    <t>February 19, Zhide AECS, a Shaanxi Automobile Holding Group subsidiary, signed an investment agreement on a New Energy Vehicle (NEV) electric drive system R&amp;D center and an industrialization project with the Xi’an Economic &amp; Technological Development Zone (XETDZ). According to the agreement, Zhide AECS plans to invest CNY 600 million in building a commercial vehicle electric drive system R&amp;D and test center in two phases and projects on the manufacturing of electric drive system controllers for finished vehicles, motors, and transmissions in the XETDZ. For the first phase, the aforementioned center and projects on the manufacturing of electric drive system controllers will be built. For the second phase, projects on an electric drive system integration and control R&amp;D center as well as NEV electric drive and transmission integration and assembly lines will be implemented.</t>
    <phoneticPr fontId="1"/>
  </si>
  <si>
    <t>https://www.marklines.com/en/global/3427</t>
    <phoneticPr fontId="1"/>
  </si>
  <si>
    <t>On April 22, BAIC Group issued the "BAIC Group 2022 Social Responsibility Report". It is mentioned in the report that Beijing Benz extensively used and self-produced green energy and vigorously built clean energy projects such as photovoltaic power generation systems, ground source heat pumps, and solar water heating systems. Concurrently, the company actively participated in pilot work on green power procurement in Beijing and promoted the implementation of green power trading, applying for green power procurement for two consecutive years. BAIC Group was one of the first units to participate in low carbon development advocacy campaigns in Beijing, where Beijing Benz's carbon neutrality roadmap was demonstrated. The group signed a memorandum of cooperation with Baosteel to co-create a low-carbon and green steel supply chain and promote the green transformation of upstream and downstream industries. Furthermore, Beijing Benz continued to optimize the ecological environment of its plants, with a green area of around 830,000 square meters.</t>
    <phoneticPr fontId="1"/>
  </si>
  <si>
    <t>At a February 21 media event for journalists, Quincy Tam, a senior product planner at Honda, said the Prologue has not experienced any of the same infotainment glitches the Blazer EV has, in part, because Honda’s engineers strived to keep the underlying software fairly uncomplicated, even if it might be using the same basic software as the Blazer EV. Tam said the Prologue’s production line is in place at the Ramos Arizpe plant, and as of right now, it is unaffected by the stop-sale on the Blazer EV.</t>
    <phoneticPr fontId="1"/>
  </si>
  <si>
    <t>Honda’s 2024 Prologue EV will be arriving in U.S. and Canadian dealerships this spring. Honda expects the Prologue to qualify for the USD 7,500 federal tax credit, along with state incentives for EVs, as it is assembled in Ramos Arizpe, Mexico, alongside the Chevrolet Blazer EV, with which it shares a platform.</t>
    <phoneticPr fontId="1"/>
  </si>
  <si>
    <t>https://www.marklines.com/en/global/2865</t>
    <phoneticPr fontId="1"/>
  </si>
  <si>
    <t>On February 22, the CEO of Hyundai Group, Mr. Euisun Chung, announced an investment of USD 1.1 billion in Brazil up to 2032. This investment will be used for the development and production of hybrid, electric and green-hydrogen vehicles. The Group aim to promote the development of locally tailored eco-friendly vehicles and establish a new organization for hydrogen projects in Central and South America. It will also launch the Kia EV5, which is scheduled to be mass-produced this year, and continue to expand its Brazilian electrification lineup. Also, as part of the response to the Green Mobility Innovation Program, a Brazil-optimized powertrain for hybrid FFV (Flexible-Fuel Vehicle) will be developed. According to media reports, the amount is expected to be invested at the Piracicaba plant, in Sao Paulo, the company's first factory in the southern hemisphere.</t>
    <phoneticPr fontId="1"/>
  </si>
  <si>
    <t>On March 7, Rivian CEO RJ Scaringe presented the company’s next-generation vehicle R2 crossover, designed to enter a larger segment of affordable EVs, with two rows for five passengers when it goes on sale in 2026 with a starting price of about USD 45,000 before shipping. As an additional surprise, Scaringe also presented a smaller R3 crossover and a lowered R3X performance version. Rivian will begin production of the R2 at its plant in Normal, Illinois in H1 2026, rather than in its planned new plant in Georgia, as expected. No timetable for the R3 models or the Georgia plant were given.</t>
    <phoneticPr fontId="1"/>
  </si>
  <si>
    <t>On March 7, Rivian Automotive announced it is pausing plans to build a multibillion-dollar factory in Georgia, an abrupt reversal aimed at cutting costs while the company prepares to launch its new-gen R2 model from the Normal, Illinois plant sooner than expected  in H1 2026. Rivian said in a filing that the move will save the company more than USD 2.25 billion in capital expenditures, and while the surprise announcement plunges the Georgia project into uncertainty, CEO RJ Scaringe said it remains important to the company.</t>
    <phoneticPr fontId="1"/>
  </si>
  <si>
    <t>On March 7, Honda announced that most all-new 2024 Honda Prologue models will qualify for the U.S. USD 7,500 EV tax credit on purchases of all units built at GM’s Ramos Arizpe plant after February 26, 2024, and all 2024 Prologues that are leased. The Prologue arrives at Honda U.S. dealerships in the coming weeks, with a 296-mile EPA range rating.</t>
    <phoneticPr fontId="1"/>
  </si>
  <si>
    <t>On March 6, Wuling Motors officially launched the Bingo Plus 5-door battery electric SUV. Based on a Wuling in-house developed native electric architecture, the Bingo Plus is equipped with an FWD system, delivering a top speed of 140km/h. A 37.9kWh or 50.6kWh Shenlian battery completes the powertrain, which, in conjunction with a high-efficiency intelligent thermal management system and an intelligent energy management system, enables a range of 10.1-10.6km/kWh. The Bingo Plus comes with the Ling OS intelligent connectivity system, and an all-scenario safety driver assistance system.</t>
    <phoneticPr fontId="1"/>
  </si>
  <si>
    <t>https://www.marklines.com/en/global/10143</t>
    <phoneticPr fontId="1"/>
  </si>
  <si>
    <t>On March 6, Stellantis announced its investment plan for South America for a total of BRL 30 billion between 2025 and 2030, which includes the launch of 40 new products and the development of new systems based on bio-hybrid technologies at three different levels that include Bio-Hybrid; biohybrid e-DCT with electrified dual-clutch transmissions; Bio-Hybrid Plug-In; and BEV. These technologies are developed at the Stellantis Automotive Hub in Betim, and they are compatible with all production lines of Stellantis in the region. The new hybrid technologies will begin to be available at the end of 2024.</t>
    <phoneticPr fontId="1"/>
  </si>
  <si>
    <t>https://www.marklines.com/en/global/2833</t>
    <phoneticPr fontId="1"/>
  </si>
  <si>
    <t>On March 5, DECH Future announced the recent completion of a Series A financing worth CNY 380 million of Zhizi Automobile Technology Co., Ltd. (Zhizi Auto), a subsidiary, from investors such as Xi’an Investment Holding Co., Ltd. The proceedings will mainly be used for R&amp;D investment, product development, market promotion, and more.</t>
    <phoneticPr fontId="1"/>
  </si>
  <si>
    <t>On March 5, Farizon announced the signing of a strategic cooperation agreement with Cainiao Group for the joint exploration of new business models for development outside China and the application of Chinese New Energy commercial vehicles (NECVs) outside China. According to the agreement, this partnership goes beyond the cross-border and local transportation of finished vehicles and their components in markets outside China. The two parties will focus on developing markets outside China and promoting the application of NECVs in logistics scenarios in those markets, with possible cooperation in Europe under discussion.</t>
    <phoneticPr fontId="1"/>
  </si>
  <si>
    <t>On March 5, the Audi plant in San Jose Chiapa, Mexico, went into temporary technical shutdown due to a water leak from the bodywork area. Due to this incident, the third shift in the production areas was canceled except assembly: gathering and support areas. Audi reported that if the problem persists, the first shift could also go into technical stoppage on March 6.</t>
    <phoneticPr fontId="1"/>
  </si>
  <si>
    <t>Karma</t>
    <phoneticPr fontId="1"/>
  </si>
  <si>
    <t>https://www.marklines.com/en/global/3095</t>
    <phoneticPr fontId="1"/>
  </si>
  <si>
    <t>While Karma Automotive is preparing to launch the all-electric Gyesera sedan and Kaveya sports car, it will continue to offer an updated Revero series plug-in hybrid sedan. The Revero, launched in 2017, was updated and renamed the GS-6 for 2021, but current management plans to return to the Revero name for the latest version, which is scheduled to start production in Q3 at Karma's plant in Moreno Valley, California. Karma's first EV to launch will be the Gyesera, which is due to enter production in late 2024, while the Kaveya EV sports car is slated to enter production in 2025.</t>
    <phoneticPr fontId="1"/>
  </si>
  <si>
    <t>On March 6, multiple sources reported that Stellantis Vigo factory would experience a three-day production halt due to logistical issues. The assembly systems, including the production of Peugeot 2008s and another for the group's vans, will pause on March 8, 11, and 12, 2024. System 1 is expected to resume on March 6, 2024, while System 2's return is pending confirmation. The stoppage follows a February 2024 disruption in production due to part shortages, a recurring challenge for the company amid the ongoing microchip crisis.</t>
    <phoneticPr fontId="1"/>
  </si>
  <si>
    <t>On March 6, multiple sources reported that Stellantis Mirafiori extended its ongoing seven-week production stoppage until April 20, 2024. The redundancy fund for body shops is also prolonged from April 2 to 20, 2024. The company emphasized the urgent need for a new model at Mirafiori in communication with the unions. This affects all production models, including Fiat 500 BEV and Maserati, impacting 2,240 workers on layoff rotation. Previously, workers received redundancy pay for a month between 2023 and 2024, initially scheduled from February 12 to March 3, 2024, and later extended until March 30, 2024.</t>
    <phoneticPr fontId="1"/>
  </si>
  <si>
    <t>On March 6, the Government of Navarra announced an investment of EUR 214 million in a project by Mobis Spain Electrified Powertrain and developed by VGP (PARK) España 17, to establish a plant in Noáin for assembling high-voltage (HV) battery cells for Volkswagen. The initiative is expected to generate approximately 350 direct jobs. The project's goal is to create a facility for assembling HV battery systems for Volkswagen's next EV platform, contributing to the production of electric vehicles. The HV battery cell assembly plant will be situated on a 100,000-square-meter plot in the City of Transportation, with a total constructed area of nearly 50,000 square meters.</t>
    <phoneticPr fontId="1"/>
  </si>
  <si>
    <t>On March 6, Business Region Gothenburg announced that Novo Energy, a joint venture between Northvolt and Volvo Cars, laid the cornerstone of the region's first gigafactory for batteries in Torslanda, next to Volvo Cars' final assembly factory. Battery cells from the gigafactory will only travel a few meters into Volvo's new battery assembly facility, which is being built directly adjacent to the gigafactory. The Gigafactory will be powered by 100% fossil-free energy. Novo Energy plans to double its workforce from 250 to 500 by the end of the year. Recruitment efforts will be intensified in 2025, with a focus on manufacturing roles to ensure the factory is ready for the start of production in 2026. In the long term, this involves 2,500 employees working with production at maximum capacity.</t>
    <phoneticPr fontId="1"/>
  </si>
  <si>
    <t>https://www.marklines.com/en/global/10539</t>
    <phoneticPr fontId="1"/>
  </si>
  <si>
    <t>https://www.marklines.com/en/global/9267</t>
    <phoneticPr fontId="1"/>
  </si>
  <si>
    <t>On March 6, the Ministry of Industry and Trade of Russia announced that Haval has opened a new plant for the production of engines in the Tula region. The production of two types of engines with a volume of 1.5 and 2.0 liters, which are installed on most Haval vehicles, will be carried out in a full cycle. There is the possibility of further expansion of the line. In the first stage, assembly is carried out at the plant, and engine pistons are localized. In the future, it is planned to deepen the localization of manufactured power plants. After testing, the engine is sent to the finished product warehouse, and then enters the assembly workshop of the Haval plant for installation on a vehicle.</t>
    <phoneticPr fontId="1"/>
  </si>
  <si>
    <t>On March 6, Nissan Motor announced that its electric Leaf has regained eligibility for a USD 3,750 U.S. tax credit months after new government battery sourcing regulations took effect. The Nissan Leaf is assembled in Smyrna, Tennessee.</t>
    <phoneticPr fontId="1"/>
  </si>
  <si>
    <t>https://www.marklines.com/en/global/3255</t>
    <phoneticPr fontId="1"/>
  </si>
  <si>
    <t>On March 6, the UAW said that 30% of workers at Toyota Motor Manufacturing, Missouri (TMMMO) cylinder head manufacturing plant have signed authorization cards for union representation. The facility is the first Toyota plant to meet the union's threshold to announce a public organizing campaign. When 30% of workers at a workplace sign authorization cards, a union is eligible to pursue a National Labor Relations Board election there. </t>
    <phoneticPr fontId="1"/>
  </si>
  <si>
    <t>Rivian is cutting back from three shifts to two shifts at its plant in Normal, Illinois, but said the reduction will not result in any job losses. The plant is shutting down for several weeks in April for retooling that will increase efficiency and reduce costs. The shift change will begin upon return from the April shutdown. Rivian said in its Q4 2024 report that it expects to keep production at the plant flat in 2024 at about 57,000 vehicles.</t>
    <phoneticPr fontId="1"/>
  </si>
  <si>
    <t>On March 5, Indus Motor Company, the makers of Toyota in Pakistan announced that it has decided to close its production plant from March 6 to March 11, 2024 (both days inclusive). It took the decision based on the current low level of inventory of manufactured vehicles, and shortage of parts and components for manufacturing vehicles, due to supply chain challenges.</t>
    <phoneticPr fontId="1"/>
  </si>
  <si>
    <t>https://www.marklines.com/en/global/3291</t>
    <phoneticPr fontId="1"/>
  </si>
  <si>
    <t>Pennsylvania</t>
  </si>
  <si>
    <t>On March 5, Mack Truck announced that Mack Connect, Mack’s newly introduced comprehensive fleet management portal that enables customers to digitally access information about their fleet, now has more than 50 corporate customers, with numbers expected to increase once more MY 2025 vehicles roll off the line at Lehigh Valley Operations (LVO), where all Class 8 Mack vehicles for North America and export are assembled. Customers access the system through a 4G Telematics Gateway unit installed at LVO.</t>
    <phoneticPr fontId="1"/>
  </si>
  <si>
    <t>https://www.marklines.com/en/global/8934</t>
    <phoneticPr fontId="1"/>
  </si>
  <si>
    <t>On March 5, Rafael Chang, CEO of Toyota for Latin America and the Caribbean, confirmed that Toyota plans to invest BRL 11 billion in Brazil until 2030, an amount that includes the expansion of the Sorocaba industrial park by building new facilities to gradually relocate Indaiatuba operations starting in mid-2025 and finishing at the end of 2026, generating 500 new jobs in Sorocaba. By 2030, 2,000 new direct jobs are expected to be generated. The Porto Feliz plant will assemble in 2025 the hybrid system engine of the locally produced vehicles while the Sorocaba plant will assemble batteries from 2026.</t>
    <phoneticPr fontId="1"/>
  </si>
  <si>
    <t>https://www.marklines.com/en/global/2917</t>
    <phoneticPr fontId="1"/>
  </si>
  <si>
    <t>https://www.marklines.com/en/global/2915</t>
    <phoneticPr fontId="1"/>
  </si>
  <si>
    <t>On March 4, CGT announced that it has proposed a joint action against Renault's plan to eliminate the night shift in the drawing department at the bodyworks factory in Valladolid, affecting 230 jobs due to substantial modification of working conditions. The union views this change as a serious threat to the department's future, having transitioned from five shifts in 2020 to the proposed two shifts. To address this, CGT plans to question management about recent changes in the stuffing department and has requested a meeting to propose coordinated actions by all organizations against the proposed measures. The CGT emphasizes the need for united action among all Renault union organizations to effectively halt the ongoing issues and future uncertainties.</t>
    <phoneticPr fontId="1"/>
  </si>
  <si>
    <t>https://www.marklines.com/en/global/4273</t>
    <phoneticPr fontId="1"/>
  </si>
  <si>
    <t>On March 2, Shaanxi Automobile announced the recent signing of a strategic cooperation agreement with Full Truck Alliance Co., Ltd. in Nanjing, Jiangsu. Focusing on innovating cooperation models, developing a customized ecological logistics industrial chain, and more, the two parties will establish an ecological intelligent logistics industrial circle and form a diversified strategic partnership.</t>
    <phoneticPr fontId="1"/>
  </si>
  <si>
    <t>On March 2, Foton Motor announced that it will co-develop the Central Asian auto market with a logistics company, the Irkeshtam Port Park, and a number of dealers. Will work with Foton Motor in the future on the development of operations such as procurement of international freight vehicles and export of new vehicles.</t>
    <phoneticPr fontId="1"/>
  </si>
  <si>
    <t>On March 1, the Department of Ecology and Environment of Anhui Province (DEEAP) issued a report on the environmental impact of a JAC Group mid-to-high-end intelligent battery electric passenger vehicle project with an annual capacity of 200,000 units. The report shows that this project, with a total investment amount of CNY 3,980.5 million and a planned annual capacity of 200,000 battery electric (including range-extended) passenger vehicles, is aimed at developing two electric platforms, the DE and the X6. The DE is a New Energy Vehicle (NEV)-dedicated platform covering midsize sedans, mid-to-large-size sedans, A+-Class SUVs, and other midsize models. The X6, a luxury NEV platform covering mid-to-large-size MPVs, with the support of intelligent technologies from Huawei. A featured MPV model is planned annual capacity of 35,000 units.</t>
    <phoneticPr fontId="1"/>
  </si>
  <si>
    <t>https://www.marklines.com/en/global/10827</t>
    <phoneticPr fontId="1"/>
  </si>
  <si>
    <t>On February 29, Stantec, a global leader in sustainable design and engineering, announced that it would provide integrated design services for Agratas, Tata Group's global battery business, who are building a battery cell manufacturing facility on the Gravity Smart Campus in the United Kingdom (UK). Stantec with its strong capabilities in the advanced manufacturing space, will provide Agratas support to ensure the successful completion of their project. Stantec has also served as a strategic advisor for the Gravity site, offering various services such as engineering design, planning, environmental consulting, technical support, and project management.</t>
    <phoneticPr fontId="1"/>
  </si>
  <si>
    <t>On February 29, Mack Trucks announced it will feature the Mack Granite, a Mack MD7 and a Mack MD Electric during the NTEA – Work Truck Association’s Work Truck Week 2024. Mack first introduced the MD Electric model during Work Truck Week 2023, and now, a year later, it is in full production at Roanoke Valley Operations (RVO) in Virginia and orders are being taken. The MD Electric is the second electric vehicle introduced by Mack Trucks, following the Class 8 Mack LR Electric, which went into production in December 2021.</t>
    <phoneticPr fontId="1"/>
  </si>
  <si>
    <t>On March 6, Stellantis announced that its Zaragoza factory is advancing in new technology development with the IA4Q-Artificial Intelligence for quality and inspection project in plants. The initiative, backed by over EUR 10 million in investments, is supported by the TransMisiones program by the Ministry of Science, Innovation, and Universities, through CDTI and AEI. The investment aims to create proprietary technology for sustainable and energy-efficient products and processes, fostering industrial digitalization. The consortium comprises six SMEs, three from Aragon, and two research centers, focusing on 19 projects from 2024 to 2027 to implement AI-based technologies for quality inspection.</t>
    <phoneticPr fontId="1"/>
  </si>
  <si>
    <t>On March 6, Kamaz announced that it will launch Compass-3, the final model of the KAMAZ Compass line in 2024. At present, the Compass line has four models Compass-5, -6, -9, and -12. Kamaz also announced that it has produced the 5000th cabin frame of the Compass vehicle.</t>
    <phoneticPr fontId="1"/>
  </si>
  <si>
    <t>On March 5, Jetour launched Jetour T2, the first all-wheel drive model in the Jetour line, in Russia. The new product was developed by the Travel+ brand concept. It is equipped with a two-liter four-cylinder 2.0TGDI engine producing 245 hp power and a torque of 375 Nm, paired with a 7DCT seven-speed dual-clutch transmission. This is the first model in the Jetour line in Russia, equipped with the sixth generation XWD all-wheel drive system from BorgWarner.</t>
    <phoneticPr fontId="1"/>
  </si>
  <si>
    <t>On March 5, multiple sources reported that Tesla would halt the production at Gruenheide plant for the rest of this week and expects to resume production at the beginning of next week. The plant, which currently builds around 6,000 Model Y electric cars weekly, would result in expenses in the high nine-figure range. All the employees were asked to stay at home until the production resumed. The production was stopped due to an arson attack on a power pole, which led to massive outages at Tesla and in municipalities. A left-wing extremist group, Volcano Group claimed responsibility for the fire.</t>
    <phoneticPr fontId="1"/>
  </si>
  <si>
    <t>https://www.marklines.com/en/global/1925</t>
    <phoneticPr fontId="1"/>
  </si>
  <si>
    <t>On March 5, QEV Technologies reached an agreement with Sustainable Mobility Vehicle S.L.U, a company owned by EV Motors, for the transfer of its 40% stake in the Hub factory for an amount of up to EUR 12 million depending on the future development of the project. The agreement will facilitate Chery's possible entry into the project and raise capital from other potential investors. Additionally, QEV has also started the production of a pre-series of 50 ZEROID electric commercial vehicles at Barcelona's Zona Franca facility in Spain. The company has invested EUR 0.5 million to accelerate production and ensure the availability of an assembly line [in SKD system] for electric vehicles of the ZEROID brand. The production will accelerate engineering processes, enhance factory quality, and ensure seamless assembly of electric cars in 2024 to meet existing order volumes.</t>
    <phoneticPr fontId="1"/>
  </si>
  <si>
    <t>https://www.marklines.com/en/global/2675</t>
    <phoneticPr fontId="1"/>
  </si>
  <si>
    <t>On March 5, Stellantis announced the global debut of the all-new Dodge Charger lineup, to be built at the Windsor Assembly Plant on the new STLA Large platform. Two-door coupe versions of the all-electric 2024 Dodge Charger Daytona Scat Pack and 2024 Dodge Charger Daytona R/T will begin production in mid-2024. Production of all-electric four-door Daytona Scat Pack and R/T models , as well as gas-powered two-door Dodge Charger SIXPACK H.O. and four-door Dodge Charger SIXPACK S.O. models, will begin in the first quarter of 2025.</t>
    <phoneticPr fontId="1"/>
  </si>
  <si>
    <t>On March 5, Ford revealed the refreshed 2024 E-Transit. Built at the at the Kansas City Assembly Plant, the 2024 Ford E-Transit is equipped with a larger battery with 89 kWh of usable capacity, new dual onboard chargers that provide peak speeds of up to 176 kW and the ability to charge at Tesla Supercharger stations with a NACS adapter. Order banks for the 2024 E-Transit are scheduled to open up this spring, with deliveries expected to follow later in 2024.</t>
    <phoneticPr fontId="1"/>
  </si>
  <si>
    <t>https://www.marklines.com/en/global/1973</t>
    <phoneticPr fontId="1"/>
  </si>
  <si>
    <t>Announced on March 4, BMW Group has officially commenced the construction work for its own manufacturing facility for Gen-5 high-voltage batteries in Rayong, Thailand. This followed a ground-breaking ceremony. With that, the Group is readying yet another production facility to manufacture fully electric vehicles, with local BEV production scheduled to start in H2/2025. Spanning a 4,000-sqm area, the new battery assembly facility will convert imported battery cells into modules that will then be integrated into high-voltage batteries. The BMW Group has invested over THB 1.6 billion in the project, of which almost THB 1.4 billion will be used to purchase state-of-the-art equipment and systems. Production of high-voltage batteries in Thailand for locally made PHEVs started since 2019. In 2023, BMW’s Rayong plant manufactured around 12,000 cars and almost 11,000 motorcycles.</t>
    <phoneticPr fontId="1"/>
  </si>
  <si>
    <t>On March 3, NIO Capital announced the recent signing of a strategic cooperation agreement between EVTECH, a NIO Capital CEO Club member, and NIO. The two parties formed a strategic partnership for the R&amp;D and manufacturing of components for electric vehicle high-voltage systems to co-develop and manufacture products based on the NIO STEM Young high-voltage architecture platform. Through a co-creation business model, they will co-develop platformized IPUs (intelligent power units). STEM Young-based IPUs compatible with models from various brands and on various platforms are planned for mass production and delivery to NIO and its sub-brands’models in 2025.</t>
    <phoneticPr fontId="1"/>
  </si>
  <si>
    <t>On March 2, Leapmotor officially launched the C10 mid-to-large-size 5-door 5-seater SUV, its first global model. </t>
    <phoneticPr fontId="1"/>
  </si>
  <si>
    <t>On March 2, Karma Automotive debuted its first all-electric sedan at the Amelia Island Concours. It will be built at the Karma Innovation and Customization Center in Moreno Valley, California.</t>
    <phoneticPr fontId="1"/>
  </si>
  <si>
    <t>On March 1, Li Auto officially launched the Mega, its first large battery electric MPV with a 5C charging rate. The Mega is based on an 800V platform. Employing a top speed of 180km/h. A CLTC combined range of 710km. The Mega is equipped with a Qualcomm 8295P high-performance chip.</t>
    <phoneticPr fontId="1"/>
  </si>
  <si>
    <t>IM</t>
    <phoneticPr fontId="1"/>
  </si>
  <si>
    <t>https://www.marklines.com/en/global/10383</t>
    <phoneticPr fontId="1"/>
  </si>
  <si>
    <t>On March 1, IM Motors, an SAIC Motor sub-brand, received a Series B equity financing worth over CNY 8 billion. The proceedings will be used for the R&amp;D of next-generation intelligent models, advanced intelligent driving technology, and future intelligent cockpit technology. This financing was led by BOC Financial Assets Investment, a Bank of China subsidiary; co-invested by institutions such as ABC Investment and Lingang Group; and followed by technology companies such as CATL, Momenta, and QingTao Energy. SAIC Motor, ICBC Financial Asset Investment, and BOCOM Investment made additional investments.</t>
    <phoneticPr fontId="1"/>
  </si>
  <si>
    <t>https://www.marklines.com/en/global/3539</t>
    <phoneticPr fontId="1"/>
  </si>
  <si>
    <t>On March 1, Changan Auto officially launched the Lieshou, the world’s first super range-extended pickup truck. Delivers an NEDC electric-mode range of 131km.</t>
    <phoneticPr fontId="1"/>
  </si>
  <si>
    <t>On March 1, reports surfaced that Nissan is in advanced talks with Fisker Automotive, according to people familiar with the negotiations. Terms discussed include Nissan investing USD 400 million in Fisker's truck platform and building Fisker's planned Alaska pickup at one of its U.S. assembly plants starting in 2026, with Nissan building its own electric pickup on the same platform, one of the sources said. Nissan has U.S. assembly plants in Mississippi and Tennessee.</t>
    <phoneticPr fontId="1"/>
  </si>
  <si>
    <t>On February 28, iCAR, a Chery sub-brand, officially launched the iCAR 03, its first hardcore compact battery electric SUV. The 2WD variants are equipped with a CATL 50.63kWh or 65.69kWh lithium-iron phosphate battery, delivering a CLTC electric-mode range of 401km or 501km. The 4WD variants are equipped with front (70kW/165Nm) and rear (135kW/220Nm) permanent magnet synchronous motors and a CATL 65.69kWh or 69.77kWh lithium-iron phosphate battery, delivering a maximum power of 205kW, a peak torque of 385Nm, a CLTC electric-mode range of 472km or 501km, and a 0 to 100km/h acceleration time of only 6.5 seconds. The vehicle comes standard with configurations such as a Qualcomm Snapdragon 6155 or 8155 cockpit chip.</t>
    <phoneticPr fontId="1"/>
  </si>
  <si>
    <t>On March 5, multiple sources reported that Tesla had stopped production and was left without power at its Gruenheide plant after an electricity substation was set alight in a suspected arson attack. Police are investigating a possible arson attack in the area, which has been the focus of environmental protests against the Tesla plant's planned expansion. The Gruenheide locals have voted against a motion to clear enough forest for the company, as Tesla plans to double the site's capacity to 100-gigawatt hours of battery production and 1 million cars per year.</t>
    <phoneticPr fontId="1"/>
  </si>
  <si>
    <t>https://www.marklines.com/en/global/10418</t>
    <phoneticPr fontId="1"/>
  </si>
  <si>
    <t>On March 4, YASA announced it has received recognition and honors, along with securing a project valued at GBP 21.2 million, inclusive of a GBP 10.6 million APC grant. The project is focused on developing in-wheel motor technology for future applications. YASA's axial flux technology recognizes its potential to shape the future of vehicle design, architecture, performance, and efficiency.</t>
    <phoneticPr fontId="1"/>
  </si>
  <si>
    <t>https://www.marklines.com/en/global/10054</t>
    <phoneticPr fontId="1"/>
  </si>
  <si>
    <t>On March 4, Altilium, a clean technology group announced a collaborative project led by Nissan, to improve the sustainability of EV batteries manufactured in the UK, using recycling technologies to lower the carbon footprint of new batteries and reduce reliance on imported raw materials. Both companies will collaborate to optimize raw material recycling and develop a "closed loop" model for battery materials, reducing the need for mining natural resources. The model involves processing waste from used Nissan Leaf batteries and production scraps to create high-nickel cathode active materials (CAM) for testing in future EV batteries. The program is part of a GBP 30 million collaborative project by the Advanced Propulsion Centre (APC), which has been awarded grant funding of GBP 15 million. The program will strengthen the technical expertise and R&amp;D capability of the Nissan Technical Centre Europe (NTCE) in Cranfield, Bedfordshire. The consortium also includes battery producer AESC and Connected Energy, a leading provider of second-life battery energy storage solutions in the UK. The financial backing from APC will enable Altilium to accelerate the scale-up of its recycling facilities, including the planned construction of the UK's first industrial-scale recycling plant in Teesside.</t>
    <phoneticPr fontId="1"/>
  </si>
  <si>
    <t>https://www.marklines.com/en/global/10818</t>
    <phoneticPr fontId="1"/>
  </si>
  <si>
    <t>Jaguar</t>
    <phoneticPr fontId="1"/>
  </si>
  <si>
    <t>https://www.marklines.com/en/global/2327</t>
    <phoneticPr fontId="1"/>
  </si>
  <si>
    <t>On March 2, multiple sources reported that Jaguar is planning to end production of its gasoline- and diesel-powered vehicles at the Castle Bromwich plant, starting in June 2024. The Castle Bromwich plant will produce body panels for all the automaker's models after vehicle production ends. The company will produce the F-Pace midsize crossover, the E-Pace compact crossover, and the XF sedan until June, while the electric I-Pace, built under contract in Austria by Magna Steyr is expected to end production last, in early 2025. The company's line-up will become SUV-only, with just the I-Pace, E-Pace, and F-Pace remaining on sale through 2024. The company is planning a tightly managed shift from the current lineup to the new one to ensure Jaguar dealers always have new vehicles in stock, as the new Jaguar full-electric vehicles are not expected to land until 2025.</t>
    <phoneticPr fontId="1"/>
  </si>
  <si>
    <t>https://www.marklines.com/en/global/2333</t>
    <phoneticPr fontId="1"/>
  </si>
  <si>
    <t>https://www.marklines.com/en/global/4215</t>
    <phoneticPr fontId="1"/>
  </si>
  <si>
    <t>On February 29, FAW Toyota started accepting online pre-orders for the new Prado midsize off-road 4WD SUV.</t>
    <phoneticPr fontId="1"/>
  </si>
  <si>
    <t>According to multiple press releases dated February 28, a GWM supporting industrial park recently broke ground in Huangshi, Hubei. With a total investment amount of CNY 700 million and a total land area of around 73,000 square meters, this park contains production lines for injection molders, welding workstations, wet process vehicle roof linings, and more. Upon full completion and commissioning, the park will achieve an annual capacity of products such as auto interior and exterior trims of 100,000 units and an estimated annual total output value of CNY 400 million.</t>
    <phoneticPr fontId="1"/>
  </si>
  <si>
    <t>On March 1, FIM, FIOM and UILM jointly announced an eight-hour strike with a demonstration in April 2024. The move aims to highlight the urgent need for intervention in the automotive sector, particularly in the ongoing crisis faced by Italy. The call emphasizes the continual loss of work in mobility research, development, and production. To secure a future for workers and future generations, a significant push is required. The focus is on revitalizing Mirafiori, aiming for a production of 200,000 units. Infrastructure interventions and support from central bodies are crucial for the Turin plant and local component companies. However, the call now is for a new mass-market vehicle for Mirafiori alongside the electric 500 and accelerated launches for future Maseratis, advocating a more aggressive strategy for the luxury brand within the Stellantis Group. The goal is to safeguard and revitalize industrial automotive production amid ecological transition and technological advancements, emphasizing the centrality of workers in this process.</t>
    <phoneticPr fontId="1"/>
  </si>
  <si>
    <t>On March 1, BMW announced that its Dingolfing plant started the production of the new BMW 5 Series Touring, featuring a unique range of drives, including a fully electric BMW i5 Touring. This marks the fourth all-electric model produced at the plant in under three years. The sixth-generation Touring will be available in dealerships by the end of May 2024, with orders currently open. Investments for the BMW 5 Series Touring in the plant amount to approximately EUR 80 million. In 2023, BMW 5 Series vehicles constituted about a third of Dingolfing plant's output. With the addition of the Touring model, production numbers could surge in 2024, potentially reaching close to 50% of the total output.</t>
    <phoneticPr fontId="1"/>
  </si>
  <si>
    <t>https://www.marklines.com/en/global/2215</t>
    <phoneticPr fontId="1"/>
  </si>
  <si>
    <t>On March 1, BMW announced that the production launch of Countryman Electric completes all three stages of the Gen 5 high-voltage battery production process at the plant: cell coating, module production, and battery assembly. The plant now employs up to 7,000 BMW staff, with plans to add night shifts and operate in three shifts round the clock. The Leipzig plant's e-component capacity has grown since 2021, supplying high-voltage batteries for multiple BMW electric models. The facility, with around 1,000 employees, has expanded, including a new battery production hall with a yearly capacity of 300,000 units.</t>
    <phoneticPr fontId="1"/>
  </si>
  <si>
    <t>On March 1, BMW announced that its all-electric version MINI Countryman has commenced production in Leipzig plant. The MINI Countryman Electric comes in two variants: the Countryman E (204 hp) and the more powerful all-wheel Countryman SE ALL4 (313 hp), offering a blend of electrified go-kart feel and zero-emission mobility. To support increased production to 350,000 units annually, the plant underwent continuous upgrades since 2018, with substantial improvements in the bodyshop, paintshop, assembly, and logistics. With an investment of EUR 1.6 billion, the BMW Group expanded the Leipzig site to produce additional vehicles and electric components. The MINI Countryman is the main driver behind the volume increase, with daily output expected to reach almost 500 - 800 units by 2024.</t>
    <phoneticPr fontId="1"/>
  </si>
  <si>
    <t>https://www.marklines.com/en/global/2013</t>
    <phoneticPr fontId="1"/>
  </si>
  <si>
    <t>Announced on March 1, Isuzu Motors signed a Memorandum of Understanding (MOU) with the Thai Excise Department to receive incentives under the government’s EV support measures. Isuzu said this will support the company’s goal of making Thailand its production hub for pickup trucks for global exports, while further promoting Thailand’s EV and parts industry.</t>
    <phoneticPr fontId="1"/>
  </si>
  <si>
    <t>https://www.marklines.com/en/global/2015</t>
    <phoneticPr fontId="1"/>
  </si>
  <si>
    <t>https://www.marklines.com/en/global/2017</t>
    <phoneticPr fontId="1"/>
  </si>
  <si>
    <t>https://www.marklines.com/en/global/8598</t>
    <phoneticPr fontId="1"/>
  </si>
  <si>
    <t>On March 1, JLR announced new off-grid energy projects, which will generate more than a quarter of its UK electricity. The projects aim to produce almost 120 Mega Watts (MW) of renewable energy at their peak, enough to charge 2.7 million I-PACE batteries annually. The project involves installations of different types of solar panels at JLR's global site, starting with the Halewood plant in Merseyside, the Electric Propulsion Manufacturing Centre (EPMC) in Wolverhampton, and the Gaydon headquarters. The rooftop and ground-mounted panels, as well as solar carports to charge electric vehicles, will boost self-generated energy capability from solar energy by 16%. The project work is currently underway with the first three scheduled for completion by the end of 2026. The planning for an 18.2 MW ground-mounted solar array is already at the company's headquarters in Gaydon. The combined solar array at the site will provide around 40% of its energy needs for the facility.</t>
    <phoneticPr fontId="1"/>
  </si>
  <si>
    <t>https://www.marklines.com/en/global/2325</t>
    <phoneticPr fontId="1"/>
  </si>
  <si>
    <t>Land Rover</t>
    <phoneticPr fontId="1"/>
  </si>
  <si>
    <t>https://www.marklines.com/en/global/2335</t>
    <phoneticPr fontId="1"/>
  </si>
  <si>
    <t>https://www.marklines.com/en/global/1815</t>
    <phoneticPr fontId="1"/>
  </si>
  <si>
    <t>On March 1, Steyr Automotive announced that it had signed an initial agreement with Volta Trucks to continue the production of their vehicles, after intensive negotiations and constructive cooperation between all parties involved. According to the automaker, the agreement represents a major milestone for the company, marking the resumption of production in this crucial business area. In 2023, Volta Trucks filed for bankruptcy proceedings in Sweden, following the fallout of its battery supplier, Proterra in U.S. It's, then, reconstructed by Luxor Capital Group. This issue impacted Volta Trucks' manufacturing plans, reducing the volume of vehicles that it had forecast to produce.</t>
    <phoneticPr fontId="1"/>
  </si>
  <si>
    <t>https://www.marklines.com/en/global/2361</t>
    <phoneticPr fontId="1"/>
  </si>
  <si>
    <t>On March 1, multiple sources reported that Nissan had stopped production of the all-electric Nissan Leaf at its Sunderland plant in the UK. The European customer can still place their orders until vehicle stocks run out. The Sunderland plant has produced more than 280,000 Nissan Leafs since 2013. The company has previously announced its plans to produce all-electric versions of Qashqai, JUKE crossovers, and next-generation LEAF, as a part of the EV36Zero project.</t>
    <phoneticPr fontId="1"/>
  </si>
  <si>
    <t>On February 29, Jetour, a Chery sub-brand, officially launched the X70 C-DM large wide-bodied 7-seater plug-in hybrid SUV. The X70 C-DM is equipped with a Chery Power C-DM super hybrid system, a 5th-generation ACTECO 1.5TGDI high-efficiency dedicated hybrid engine (115kW/220Nm), a 2-speed dedicated hybrid transmission, dual motors (199kW/395Nm), and a 19.43kWh ternary lithium battery. It has a front-engine FWD layout and delivers a WLTC feeder fuel consumption of only 5.2L/100km, a WLTC electric-mode range of 85km, a combined range of 1,200km, and a charging time of 18 minutes from 30% to 80% battery capacity.</t>
    <phoneticPr fontId="1"/>
  </si>
  <si>
    <t>On February 29, XPeng Inc. and Volkswagen Group announced a significant milestone in their strategic partnership. Following Volkswagen's 4.99% share purchase in XPENG and the earlier framework agreement on technical collaboration, both companies have entered a Master Agreement on platform and software strategic technical collaboration. The agreement accelerates the joint development of B-class battery electric vehicles and sets the stage for deeper collaboration in the future. The first two cooperative models have been confirmed for 2026. The new models will be developed and manufactured at Volkswagen (China) Technology Co., Ltd.</t>
    <phoneticPr fontId="1"/>
  </si>
  <si>
    <t>On February 28, Volkswagen South Africa inaugurated its new airbag deployment center at the Kariega B plant. The facility increases airbag testing capacity to 150% of the previous output. The new center can perform 72 tests weekly, including 10 dashboards, two curtain airbag tests, and 60 seats, compared to the existing facility's 48 tests. The airbag deployment center will primarily test locally built Polo and Polo Vivo models, with the capacity to test future Volkswagen models and cater to external customers if needed. Planning started in 2020, with construction spanning from June 2022 to February 2024. With ZAR 20 million investment was made including ZAR 14 million for the climatic chamber and the rest for the building, electrical supply, cameras, air supply, and lighting.</t>
    <phoneticPr fontId="1"/>
  </si>
  <si>
    <t>On February 28, the first phase of a New Energy Vehicle R&amp;D and technology innovation center in Wuyi County, Jinhua City, Zhejiang Province broke ground. With a total investment amount of CNY 260 million, the first phase of this center will achieve an annual production capacity of 384,000 sets of batteries (144,000, 120,000, and 120,000 sets of auto, energy storage, and low-voltage batteries, respectively).</t>
    <phoneticPr fontId="1"/>
  </si>
  <si>
    <t>During its Q3 FY 2024 earnings call, Tata Motors announced that for the Sanand 2 plant which it acquired from Ford, it is initially planning to utilize the installed capacity of 300,000 units. During the quarter, i.e. first phase it is targeting about 20% to 25% production of Nexon from Sanand 2, and progressively, in the next six, or seven months, it would completely shift the production of Nexon, both ICE as well as EVs to the plant. Tata Motors mentioned that it has already identified the products that it will make in the Sanand 2 plant, and the next two to three years, it will be completely utilized.</t>
    <phoneticPr fontId="1"/>
  </si>
  <si>
    <t>General Motors has a problem at Factory Zero, having called the Detroit Fire Department multiple times for fires, and has been working with the city to enhance the company's safety plan and is looking at possible investment in new safety equipment. GM assembles lithium ion battery cells from the Ultium Cells LLC factory in Ohio into modules at Factory Zero that are put into a battery pack, that then goes into EVs. GM does make use of monitoring equipment that sometimes does not fully detect contaminants in the air, as well as EV car fire blankets, that sometimes ignite in a large fire. GM is considering hiring and training its own fire personnel in-house, and said it will apply its experience to its Spring Hill Assembly plant in Tennessee and other EV plants.</t>
    <phoneticPr fontId="1"/>
  </si>
  <si>
    <t>https://www.marklines.com/en/global/2209</t>
    <phoneticPr fontId="1"/>
  </si>
  <si>
    <t>On March 1, the BMW Group of Germany announced the start of partial electrification of delivery vehicles around the Regensburg headquarters with three fully electric trucks transporting parts between different areas. Two of the three electric trucks carry high-voltage batteries from the electronics factory at plant 6.11 on Leibnizstrasse to the vehicle plant 6.10 on Herbert-Quandt-Allee. Meanwhile, the third truck makes the same journey, but transports floor panels destined for BMW vehicles assembled in Regensburg. The fleet of electric trucks is expected to expand.</t>
    <phoneticPr fontId="1"/>
  </si>
  <si>
    <t>Shyft Group</t>
    <phoneticPr fontId="1"/>
  </si>
  <si>
    <t>https://www.marklines.com/en/global/6437</t>
    <phoneticPr fontId="1"/>
  </si>
  <si>
    <t>On February 27, the Shyft Group announced that while revenue fell 13% in 2023 to USD 872.2 million, and adjusted EBITDA fell more than 40% to USD 40 million, it reduced its employment level from 4,200 to 3,000. Its Blue Arc EV has had production delays over issues including batteries from Proterra. Shyft’s plans to begin production on all-electric Class 3, 4 and 5 vehicles by mid-2023 at its plant in Charlotte, Michigan, where it invested USD 16 million for manufacturing capacity of 3,000 EVs per year, are now changed so as to launch production and build just 200 Class 3 and 4 vehicles in 2024, as it works with EV battery startup Our Next Energy.</t>
    <phoneticPr fontId="1"/>
  </si>
  <si>
    <t>On February 13, Hino Motors, Ltd. (Hino) resumed operations on Production Line #2 at its Hamura Plant, which produces light-duty trucks. The second line had been out of operation since the second shift on January 29 due to the suspension of shipments of Toyota Industries Corporation's 1GD engine. From the first shift on February 13, production of vehicles equipped with engines (incl. Hino's N04C/HC-SCR) other than the 1GD engine resumed. The affected models are Hino's Dutro and Hino 300 series, and Toyota Motor Corporation's Dyna (supplied on an OEM basis and based on the Dutro). On January 29, Toyota Industries Corporation suspended shipments of the 1GD engine due to the discovery of misconduct in output tests.</t>
    <phoneticPr fontId="1"/>
  </si>
  <si>
    <t>On March 14, multiple sources reported that Stellantis Vigo factory will halt part of its production starting from March 15, 2024 due to ongoing supply issues. System 1 of the Balaídos plant, responsible for assembling Peugeot 2008s, will be inactive from March 15 to 19, 2024. The production is expected to resume on March 20, 2024, starting from the night shift. This is not the first time Stellantis Vigo has faced logistical challenges, having stopped production due to parts shortages in the past. Last week, the company experienced similar disruptions, a recurring issue exacerbated by the microchip crisis affecting the automotive industry.</t>
    <phoneticPr fontId="1"/>
  </si>
  <si>
    <t>https://www.marklines.com/en/global/10245</t>
    <phoneticPr fontId="1"/>
  </si>
  <si>
    <t>On March 13, Mercedes Benz announced that it has collaborated with the Fraunhofer Institute for High-Speed Dynamics and Ernst Mach Institute (EMI) in Freiburg (Germany) for conducting the world's first X-ray crash with a real car. The test involved a SID II dummy, designed to simulate female anatomy, facing the impact. The technology demonstrated the capability to visualize internal deformation processes in high-speed crashes, providing precise analysis through high-resolution images. The EMI developed a comprehensive radiation protection plan, including dosimeters to monitor employee exposure and government-approved operation in compliance with legal requirements.</t>
    <phoneticPr fontId="1"/>
  </si>
  <si>
    <t>On March 13, PowerCo Spain, a Volkswagen subsidiary battery company announced that it has currently reached 100 employees which is a significant milestone for the company. The company leads the construction project of the battery gigafactory in Sagunto, Valencia.</t>
    <phoneticPr fontId="1"/>
  </si>
  <si>
    <t>On March 13, Audi Hungaria announced that it has achieved nearly 22,000 MWh in energy savings in 2023 through its Mission:Zero environmental program. By reducing heating temperatures and optimizing ventilation systems, the company saved almost 12,000 MWh of electricity and heat energy. With a focus on sustainability, Audi Hungaria increased its use of geothermal energy for heating, now sourcing 95% of its heating energy from this renewable source. In mechanical processing, energy consumption was reduced by 30% by replacing older equipment connections with frequency changers, saving nearly 1,200 MWh. Additionally, by adjusting fan speeds in spray booths and optimizing the door waxing process in the paint shop, the company saved 300 MWh and 198 MWh of energy, respectively.</t>
    <phoneticPr fontId="1"/>
  </si>
  <si>
    <t>On March 13, 2024, NETA announced the official start of its BEV production in Thailand. The first locally-made Neta model is the NETA V-II, which is scheduled to make its official launch at the upcoming 2024 Bangkok International Motor Show. Its first batch will be gradually delivered to customers in Thailand starting in April. NETA's EV production in Thailand is conducted under its partnership with Bangchan General Assembly (BGAC), marking NETA’s first BEV assembly plant outside of China. It is also the first electric car factory located in “Phra Nakhon Free Zone”, Bangchan Industrial Estate, Bangkok.</t>
    <phoneticPr fontId="1"/>
  </si>
  <si>
    <t>On March 13, Elon Musk told employees at Gigafactory Berlin that the plant will build Tesla’s entry-level EV, currently under development, and that it could add production of the Semi heavy duty truck. Tesla's sub-USD 25,000 car, expected to be named the Model 2, will "definitely come to Berlin in the long term," Musk said during his visit to the German plant, though it will be built initially at Gigafactory Texas, which Musk expects to do beginning in 2025.</t>
    <phoneticPr fontId="1"/>
  </si>
  <si>
    <t>On March 12, JAC Group announced on the Shanghai Stock Exchange (SSE) its plan for a CNY 6.5 billion capital increase in VW Anhui with VW China in equal proportion to their shareholding ratios. JAC Group and VW China will contribute CNY 1.625 billion and CNY 4.875 billion, respectively, in cash. Upon completion of the related transaction, the two parties’ respective shareholding ratios will stay unchanged at 25% and 75%.</t>
    <phoneticPr fontId="1"/>
  </si>
  <si>
    <t>https://www.marklines.com/en/global/9444</t>
    <phoneticPr fontId="1"/>
  </si>
  <si>
    <t>Tianjin</t>
  </si>
  <si>
    <t>According to multiple press releases dated March 12, an FAW-VW Tianjin Branch project on new model technology transformation was recently successfully completed. The project is expected to start mass production in the second half of 2024.</t>
    <phoneticPr fontId="1"/>
  </si>
  <si>
    <t>On March 12, Dongfeng Motor Corporation (DFMC) signed an agreement on deepening strategic cooperation with China Automotive Technology and Research Center Co., Ltd. (CATARC) for cooperation in areas such as testing and certification, New Energy, intelligent connectivity, and joint tackling of key common technologies. Also held were ceremonies between the two parties for the inauguration of a joint innovation lab, the signing of an agreement on the establishment of a joint brand lab, and more.</t>
    <phoneticPr fontId="1"/>
  </si>
  <si>
    <t>https://www.marklines.com/en/global/9569</t>
    <phoneticPr fontId="1"/>
  </si>
  <si>
    <t>On March 11, JAC No.1 Truck started accepting pre-orders for the Shuailing EV5 battery electric light-duty truck. Equipped with a Prestolite flat wire motor (130kW/360Nm) and a 3rd-generation 81kWh battery pack from a well-known brand, the Shuailing EV5 delivers a range of over 180km, a top speed of over 90km/h.</t>
    <phoneticPr fontId="1"/>
  </si>
  <si>
    <t>On March 11, Geely Holding Group announced the recent signing of a strategic cooperation framework agreement with Sinopec in Beijing. According to the agreement, the two parties will strategically cooperate in areas such as green and low carbon transformation, methanol, New Energy, and new materials.</t>
    <phoneticPr fontId="1"/>
  </si>
  <si>
    <t>On March 11, Exeed, a Chery premium sub-brand, officially launched the Stellar C-DM flagship mid-to-large-size plug-in hybrid SUV. The 4WD variant employs front dual motors (165kW/390Nm), a rear single motor (175kW/310Nm), delivering a maximum system power of over 445kW, a peak system torque of over 915Nm, a WLTC electric-mode range of 150km, a WLTC combined range of 1,000km, and a 0 to 100km/h. The Stellar C-DM comes standard with configurations such as a Qualcomm Snapdragon 8155 chip.</t>
    <phoneticPr fontId="1"/>
  </si>
  <si>
    <t>On March 11, Dongfeng Motor Corporation (DFMC) signed a strategic cooperation agreement with Aluminum Corporation of China (Chinalco) in Beijing. According to the agreement, the two parties will, in the context of automotive weight reduction, intelligentization, and carbon reduction, strengthen the joint innovation and synergistic development of the industrial chain as well as the development and application of non-ferrous materials. Furthermore, they will continuously seek opportunities for cooperation in areas such as auto solutions, technology standards, brand communication, and markets outside China.</t>
    <phoneticPr fontId="1"/>
  </si>
  <si>
    <t>https://www.marklines.com/en/global/2837</t>
    <phoneticPr fontId="1"/>
  </si>
  <si>
    <t>On March 5, BYD announced the start of works in the Camaçari complex, Brazil for the construction of its new plant in the country and South America. The existing facilities used by Ford, will be used by suppliers to produce parts and components for BYD’s new vehicles. During its first phase, only PHEV and EV passenger cars of the Dolphin, Dolphin mini, Yuan Plus and Song plus models will be manufactured. The factory is expected to begin operations at the end of 2024 with a capacity of 150,000 units per year. In the next phases, more facilities are expected to be built, one of them for manufacturing batteries and one more for trucks and buses.</t>
    <phoneticPr fontId="1"/>
  </si>
  <si>
    <t>On March 13, multiple sources reported that Tesla resumed production at its Grünheide plant, after the forced production halt due to the attack on the factory's power supply. The plant has been back on the power grid since March 11, 2024. The machines were checked at the facility and production started up safely with the early shift on March 13, 2024.</t>
    <phoneticPr fontId="1"/>
  </si>
  <si>
    <t>On March 13, Polestar announced that the Polestar 3 Long range Dual motor performance SUV arrives this summer with a starting MSRP of USD 73,400, with U.S. customer deliveries beginning in Q2 2024. Production of Polestar 3 has recently started in Chengdu, China. Additional production is slated to start in Ridgeville, South Carolina, in the middle of 2024, with the first early production test series in the U.S. factory having been completed successfully.</t>
    <phoneticPr fontId="1"/>
  </si>
  <si>
    <t>https://www.marklines.com/en/global/929</t>
    <phoneticPr fontId="1"/>
  </si>
  <si>
    <t>Announced on March 12, Volkswagen Passenger Cars Malaysia (VPCM) has officially unveiled the all-new Touareg R-Line in the locally assembled form. This made Malaysia the first country outside Slovakia to locally made the Touareg. Powering the 3rd generation flagship SUV is a 3.0-liter V6 TSI engine, working with an 8-speed AT and an intelligent 4MOTION AWD system.</t>
    <phoneticPr fontId="1"/>
  </si>
  <si>
    <t>On March 11, the U.S. Justice Department announced Ford will pay USD 365 million to settle claims that it intentionally misclassified and understated the value of hundreds of thousands of imported Transit Connects from 2009 to 2013, importing the vans with "sham rear seats and other temporary features" from Turkey that made them appear to be passenger vehicles, for which an import tax of 2.5% must be paid rather than the 25% duty applicable to cargo vehicles. Ford failed to win its case in court following appeals.</t>
    <phoneticPr fontId="1"/>
  </si>
  <si>
    <t>On March 10, Farizon signed a strategic cooperation agreement with Tangshan Energy Group Co., Ltd.. According to the agreement, the two parties will cooperate in all ecological areas in Tangshan, such as methanol refueling stations. They will jointly promote New Energy heavy-duty trucks (including methanol-hydrogen electric heavy-duty trucks).</t>
    <phoneticPr fontId="1"/>
  </si>
  <si>
    <t>On March 9, BAIC BluePark New Energy Technology Co., Ltd. (BAIC BluePark) announced on the Shanghai Stock Exchange its plan to establish a platform company named BAIC Hailanxin Energy Technology (Beijing) Co., Ltd. (BAIC Hailanxin) with BAIC Group Industrial Investment Co., Ltd. and Beijing Hainachuan Automotive Parts Co., Ltd. With a registered capital of CNY 390 million that includes CNY 50 million (12.82%) from BAIC BluePark, BAIC Hailanxin will function as the main body of management and investment to establish a joint venture named Beijing CATL New Energy Technology Co., Ltd. with Contemporary Amperex Technology Co., Ltd. (CATL), Beijing Energy Technology Co., Ltd., and Xiaomi Automobile Co., Ltd.. Beijing CATL will have a registered capital of CNY 1 billion, where CNY 390 million (39%), CNY 510 million (51%), CNY 50 million (5%), and CNY 50 million (5%) are from BAIC Hailanxin, CATL, BET, and Xiaomi Auto, respectively. Upon establishment, the company will invest in building a battery cell intelligent manufacturing plant in Beijing.</t>
    <phoneticPr fontId="1"/>
  </si>
  <si>
    <t>https://www.marklines.com/en/global/1388</t>
    <phoneticPr fontId="1"/>
  </si>
  <si>
    <t>On March 12, Daimler Truck celebrated the 60th anniversary of its Tramagal, Portugal facility, third largest auto manufacturer. In 2023, the factory set a record by producing around 11,800 trucks. It serves as the production center for FUSO's Canter and eCanter light trucks for European markets. Since 2017, the factory has been producing FUSO's first eCanter in small series. From 2023 onwards, the current generation of the eCanter will be produced in large series.</t>
    <phoneticPr fontId="1"/>
  </si>
  <si>
    <t>On March 12, the Prime Minister of India virtually inaugurated the first automobile in-plant railway siding at Suzuki Motor Gujarat Private Limited (SMG), a wholly-owned subsidiary of Maruti Suzuki India Limited (MSIL). Once fully operational, the Gujarat railway siding facility can dispatch 300,000 cars annually to 15 destinations across India. It would lead to offset 1,650 MT of carbon emission per annum by cutting down almost 50,000 truck trips and saving 35 million liters of fossil fuel per annum. The project included constructing 4 electrified tracks (3 loading lines + 1 line for the engine to escape). It further, included a track conversion to broad gauge for a 65 km track and track construction of 2.5 km from Becharaji station till SMG and yard development inside the plant.</t>
    <phoneticPr fontId="1"/>
  </si>
  <si>
    <t>https://www.marklines.com/en/global/2815</t>
    <phoneticPr fontId="1"/>
  </si>
  <si>
    <t>On March 11, the VW Argentina plant located in the town of Pacheco resumed operations, which were suspended since the end of December due to lack of parts. This plant produces the Amarok and Taos models and has also begun production of the Amarok restyling pre-series. It is expected that for the first two weeks the plant will only work one shift, while the second is planned to return to work in approximately 2 weeks.</t>
    <phoneticPr fontId="1"/>
  </si>
  <si>
    <t>On March 7, YASA announced that it has secured a grant exceeding GBP 7 million from the Advanced Propulsion Centre for a project focused on developing a high-frequency capable, high-voltage dual inverter with a dual-redundant braking system. It aims to achieve substantial weight and cost savings while enhancing regenerative braking potential in BEVs, addressing market demands for improved BEV performance and efficiency. YASA has collaborated with UK based semiconductor specialists Cambridge GaN Devices and HORIBA MIRA for Project Re-Gen, a two-year initiative showcasing UK-based innovation. The collaboration aims to establish production expertise in the UK, providing immediate market access and future expansion opportunities. The project also seeks to establish a validated safety case, currently lacking in the field. The developed inverter system will be integrated closer to motors, enhancing functional safety, performance, and reliability in high-performance dual-drive vehicle powertrains.</t>
    <phoneticPr fontId="1"/>
  </si>
  <si>
    <t>On March 7, Nikola Corp. marked a significant milestone as IMC, the largest marine drayage company in the U.S., unveiled the inaugural livery that will adorn its fleet of 50 Nikola hydrogen fuel cell electric trucks. The deal has already brought IMC the initial batch of 10 trucks in Q4 2023, with an additional 10 scheduled for later in March, and the remaining 30 expected to be delivered by the end of 2024. Nilkola’s hydrogen fuel cell electric trucks are built at its plant in Coolidge, Arizona.</t>
    <phoneticPr fontId="1"/>
  </si>
  <si>
    <t>On March 6, the National Institute of Statistics and Geography, INEGI, registered the beginning of production of the new Honda Prologue, with 4,063 units manufactured during February 2024 at Ramos Arizpe plant.</t>
    <phoneticPr fontId="1"/>
  </si>
  <si>
    <t>On March 1, Hyundai Motor Brazil announced the update of its alliance with Caoa to sell vehicles within the country. The national production will happen at the Piracicaba plant by Hyundai, and at the Anápolis plant by Caoa, that will receive remuneration both per unit produced and for offering the production capacity of the plant, where a second shift recently began and is planned to expand the installed capacity with a third shift by the end of 2024. All these changes at the Anápolis plant are included in the BRL 3 billion investment plan that Caoa recently announced.</t>
    <phoneticPr fontId="1"/>
  </si>
  <si>
    <t>https://www.marklines.com/en/global/8688</t>
    <phoneticPr fontId="1"/>
  </si>
  <si>
    <t>On February 28, Nissan Mexicana announced that its plants in Mexico have assembled 2.5 million vehicles with clean energy, avoiding the emission of 668,000 tons of CO2. Nissan Mexicana has implemented the Nissan Green program since 2002. At the Aguascalientes A1 plant, 90% of the energy comes from greenhouse gas-free sources. Nissan has also established a methodology for sustainable waste management, achieving 100% utilization in all manufacturing operations in the country. Also, a packaging regulation optimization program was implemented, reducing the use of waste by 70% of new materials. Regarding air, Nissan uses high-efficiency automatic painting equipment while the Aguascalientes A2 plant uses water-based paints and low-temperature baking. It also has germinators to grow trees in reforestation, as well as rainwater collection systems to reduce water consumption.</t>
    <phoneticPr fontId="1"/>
  </si>
  <si>
    <t>https://www.marklines.com/en/global/893</t>
    <phoneticPr fontId="1"/>
  </si>
  <si>
    <t>https://www.marklines.com/en/global/895</t>
    <phoneticPr fontId="1"/>
  </si>
  <si>
    <t>On March 12, AvtoVAZ announced that it had produced 31 million vehicles from its main conveyor belt. It was a LADA Vesta sedan in a new modification with an automatic transmission. AvtoVAZ started the production of cars in the Volzhsky Automobile Plant in 1970.</t>
    <phoneticPr fontId="1"/>
  </si>
  <si>
    <t>On March 11, AGR Automobile Plant enterprise started shipping Solaris brand cars from its plant in St. Petersburg. Very shortly, Solaris HS models from the first delivery batch will appear at the dealerships of the AGR LLC network. Solaris HS is equipped with a 1.4-liter naturally aspirated gasoline engine with 100 hp power or a 1.6-liter gasoline engine with 123 hp power. The Solaris HS model is produced in a full production cycle, starting with the stamping of car body panels from steel rolls, welding and painting of the bodies by robots, and the subsequent installation of the necessary components in the assembly shop. The total number of robots exceeds 240 units. The total number of company employees is about 800 people.</t>
    <phoneticPr fontId="1"/>
  </si>
  <si>
    <t>On March 11, Volkswagen Navarra announced that in 2023, it has reduced 297 tons of cardboard and 41 tons of plastic through its waste reduction policy, the Irati Project. The measures also led to a 141-ton decrease in carbon dioxide emissions. Cardboard savings are mainly from supplier side packaging. Plastic reduction per vehicle was 0.127 kg (27% less than 2022), and paper/cardboard per vehicle reached 0.776 kg (14% reduction). Staff suggestions and collaboration with suppliers in reevaluating container capacity and conducting shipping tests with new packaging concepts to ensure quality during transport. The Irati Project, part of Volkswagen Group's Zero Impact Factory strategy since 2009, aims for environmental neutrality in production by 2050. It involves the Navarra factory and aligns with the Consortium's plants.</t>
    <phoneticPr fontId="1"/>
  </si>
  <si>
    <t>On March 11, E.dis, a division of German energy network company E.ON, restored the electricity supply at Tesla's German gigafactory for a few minutes. The energy firm is now focused on the extensive repair work on the actual site of damage, the cable end mast. According to the automaker, measures to fully resume production are in progress. The facility will take some time to fully restart the production process.</t>
    <phoneticPr fontId="1"/>
  </si>
  <si>
    <t>Alexander Dennis</t>
    <phoneticPr fontId="1"/>
  </si>
  <si>
    <t>https://www.marklines.com/en/global/10685</t>
    <phoneticPr fontId="1"/>
  </si>
  <si>
    <t>On March 11, Alexander Dennis announced that it will increase the warrantable energy throughput of its next-generation electric buses, with battery supply partner Impact Clean Power Technology. The increased longevity will improve the warrantable energy throughput for the Enviro400EV to 1.6GWh with a 472kWh battery, or 1.2GWh with a 354kWh battery, over eight years. With the Enviro100EV, an energy throughput of 1.2GWh can be warranted with a 354kWh battery system, or 800,000kWh when fitted with a 236kWh battery. According to the automaker, batteries with its electric buses provide the energy to cover two consecutive seven-year contract terms on typical Transport for London routes without a battery change, or typical provincial routes for up to 20 years with just one mid-life change of batteries.</t>
    <phoneticPr fontId="1"/>
  </si>
  <si>
    <t>https://www.marklines.com/en/global/1533</t>
    <phoneticPr fontId="1"/>
  </si>
  <si>
    <t>https://www.marklines.com/en/global/10472</t>
    <phoneticPr fontId="1"/>
  </si>
  <si>
    <t>https://www.marklines.com/en/global/2293</t>
    <phoneticPr fontId="1"/>
  </si>
  <si>
    <t>On March 11 was announced the beginning of production of the fifth generation Mini Cooper at the Oxford Plant. This model required the contribution of the 3 plants of BMW Group UK: The plant at Swindon produces body pressings and sub-assemblies; the latest highly efficient three and four-cylinder petrol engines are built at BMW Group Plant Hams Hall in North Warwickshire. All parts are sent to the MINI Plant Oxford, where body shell production, paint and final assembly take place. This is the latest Mini Cooper generation to be built in this way in the UK. The Oxford Plant is currently preparing for the all-electric Mini models from 2026. The BMW Group will then have invested a total of more than GBP 3 billion in the Swindon, Hams Hall and Oxford plants.</t>
    <phoneticPr fontId="1"/>
  </si>
  <si>
    <t>https://www.marklines.com/en/global/2289</t>
    <phoneticPr fontId="1"/>
  </si>
  <si>
    <t>https://www.marklines.com/en/global/1269</t>
    <phoneticPr fontId="1"/>
  </si>
  <si>
    <t>On March 8, Tata Motors rolled out the 1 millionth car from its facility in Sanand, Gujarat. The plant is highly mechanized and has incorporated a lean process management system. It houses a press line, a welding shop, a paint shop, an assembly line, and a powertrain shop. This facility has a flexible assembly line and is known for producing various models of passenger vehicles like Tiago, Tiago AMT, Tiago.ev, Tiago iCNG, Tigor, Tigor AMT, Tigor EV, Tigor iCNG and XPRES-T EV.</t>
    <phoneticPr fontId="1"/>
  </si>
  <si>
    <t>On March 8, GM announced it is lifting the stop-sale on its Chevrolet Blazer EV since making changes in its software and sourcing to make it compliant with U.S. federal tax credit rules, as well as lowering the price on all trim levels approximately USD 6,000. GM continued to build the EVs at its plant in Ramos Arizpe, Mexico, and will now update those EVs with appropriate software before they are shipped.</t>
    <phoneticPr fontId="1"/>
  </si>
  <si>
    <t>On March 7 when it introduced the next-gen R2 and R3 models, Rivian announced that it will begin initial production of the R2 at its Normal. Illinois plant, instead of its future planned plant in Stanton Springs, Georgia, and to do so would increase production capacity to 215,000 vehicles per year. Rivian did not say whether it would expand the footprint of the plant, or just reconfigure the workflow to increase the capacity, but is now in negotiations with the State of Illinois for incentives.</t>
    <phoneticPr fontId="1"/>
  </si>
  <si>
    <t>https://www.marklines.com/en/global/463</t>
    <phoneticPr fontId="1"/>
  </si>
  <si>
    <t>Nissan Motor Co. Ltd. (Nissan) announced on March 6 that it has developed a stationary power generation system that uses bioethanol to generate electricity with high efficiency, and that it has begun trial operations at its Tochigi plant, aiming for full-scale operation in 2030. The stationary power generation system uses solid oxide fuel cells (SOFC), in which Nissan has development experience in automotive use.  SOFCs can generate power using a variety of fuels, including ethanol, natural gas, and LP gas. Compared to polymer electrolyte fuel cells (PEFCs) which have a power generation efficiency of 60%, Nissan’s SOFCs are said to achieve a higher efficiency of 70%. Nissan plans to start procuring bioethanol as fuel from Binex Inc. (Binex, headquartered in Minato Ward, Tokyo) in 2025. The bioethanol is made from sorghum and was jointly developed by Nissan and Binex. Nissan plans to fully electrify its plant facilities by 2050. In order to achieve carbon neutrality in its production plants, all electricity will be switched to electricity generated from renewable energy sources or electricity generated in-house by fuel cells using alternative fuels.</t>
    <phoneticPr fontId="1"/>
  </si>
  <si>
    <t>On March 6, GAC Group announced that GAC Toyota officially launched the 9th-generation Camry sedan. Based on the TNGA-K platform, the 9th-generation Camry has a front-engine FWD layout. The ICE edition is powered by a 2.0L four-cylinder engine (127kW/206Nm) mated to a Direct Shift continuously variable transmission (CVT), delivering a top speed of 205km/h. The HEV edition is powered by a 2.0L or 2.5L four-cylinder engine, an E-CVT (electronically controlled CVT), and a 2.4Ah ternary lithium-ion power storage battery. With a maximum engine power of 112kW and a peak engine torque of 188Nm, the 2.0L variants are equipped with an 83kW/206Nm permanent magnet synchronous motor and deliver a maximum system output power of 145kW.</t>
    <phoneticPr fontId="1"/>
  </si>
  <si>
    <t>https://www.marklines.com/en/global/9925</t>
    <phoneticPr fontId="1"/>
  </si>
  <si>
    <t>Toyota Motor Corporation (Toyota) announced on March 5 that it will make Primearth EV Energy Co., Ltd. (PEVE), at present a joint venture with Panasonic Holdings Corporation (Panasonic HD), a wholly owned subsidiary in late March. The company intends to strengthen its capabilities in mass-producing automotive batteries. Panasonic HD has agreed to the corporate change. PEVE plans to manufacture batteries for electric vehicles (EVs) and plug-in hybrid vehicles (PHVs) in addition to its existing batteries for hybrid vehicles (HVs). PEVE was established in 1996 as Panasonic EV Energy Co., Ltd. (former name). Toyota's stake in PEVE was initially 40%, but has since gradually increased to the current level of 80.5% with the remaining 19.5% stake held by Panasonic HD.</t>
    <phoneticPr fontId="1"/>
  </si>
  <si>
    <t>https://www.marklines.com/en/global/9926</t>
    <phoneticPr fontId="1"/>
  </si>
  <si>
    <t>https://www.marklines.com/en/global/10502</t>
    <phoneticPr fontId="1"/>
  </si>
  <si>
    <t>https://www.marklines.com/en/global/9927</t>
    <phoneticPr fontId="1"/>
  </si>
  <si>
    <t>https://www.marklines.com/en/global/2781</t>
    <phoneticPr fontId="1"/>
  </si>
  <si>
    <t>On March 4, it was announced that the GM plant in Alvear, Argentina, resumed operations after almost 3 months of halt caused by a lack of parts that its suppliers could not provide due to the debt acquired in dollars to import the products into the country. At the time of resuming operations, the plant no longer produces the Cruze model, the Tracker model being the only one currently manufactured at the plant for supplying the national market and to export to Colombia.</t>
    <phoneticPr fontId="1"/>
  </si>
  <si>
    <t>Daihatsu Motor Co., Ltd. (Daihatsu) announced on February 28 that it will resume production of three models, including the Rocky, which has been suspended due to the certification irregularities issue. The three models are the Daihatsu Rocky gasoline version, the Toyota Motor Corporation Raize gasoline version, and the Subaru Corporation Rex. The Japanese Ministry of Land, Infrastructure, Transport and Tourism (MLIT) lifted the order to suspend shipments on February 16. Production of the three models will resume at the Shiga (Ryuo) Plant (2nd District) from March 18. The shipment of unshipped vehicles will resume from March 4.</t>
    <phoneticPr fontId="1"/>
  </si>
  <si>
    <t>Toyota Motor Corporation (Toyota) announced on February 28 that it will resume operations on March 4 of two lines at two plants in Japan that has been suspended due to certification irregularities by Toyota Industries Corporation (Toyota Industries). The two lines are Production Line #1 at Toyota Auto Body Co., Ltd.'s Inabe Plant and Production Line #1 at Gifu Auto Body Co., Ltd. The two lines have been shut down since the second shift on January 29 following the discovery of fraudulent engine output tests conducted by Toyota Industries. The engine (1GD) subject to the fraud was used in the Hiace and other models assembled on the two lines. The Japanese Ministry of Land, Infrastructure, Transport and Tourism (MLIT) lifted the suspension order imposed on three engine models (1GD/2GD/F33A) on February 27, and the company decided to resume operation of the two lines. Other production lines in Japan affected by the certification fraud issue have resumed operations from February 13. Among them, Toyota Auto Body’s Yoshiwara Plant Production Line #1 will resume production of the Land Cruiser 300, which is equipped with the F33A engine, for the Japanese domestic market. Production for overseas markets resumed on February 13.</t>
    <phoneticPr fontId="1"/>
  </si>
  <si>
    <t>Van Hool</t>
    <phoneticPr fontId="1"/>
  </si>
  <si>
    <t>https://www.marklines.com/en/global/9580</t>
    <phoneticPr fontId="1"/>
  </si>
  <si>
    <t>North  Macedonia</t>
    <phoneticPr fontId="1"/>
  </si>
  <si>
    <t>On March 11, Van Hool presented its Van Hool Recovery Plan to the employee representatives during a special works council. The company has expressed the intention to reorient its activities towards market segments. To support this change of course, the organization and number of employees will have to be aligned, leading to a necessary restructuring at the Koningshooikt branch, resulting in the layoff of approximately 1,100 employees in 2024-2027. The company will depart about 830 employees in 2024, including layoffs, pension plans, and natural attrition. In 2025 and 2026, the company has planned over 50 additional departures and around 220 more layoffs by 2027. The Van Hool Recovery Plan provides for direct employment of approximately 1,400 employees in the long term and almost 3,000 indirect employments. Additionally, Van Hool announced that the production of buses and coaches would mainly take place at the plant in Skopje, northern Macedonia, whereas the Koningshooikt, the IV (Industrial Vehicles) division would focus on semi-trailers. The B&amp;C (Bus &amp; Coach) division would keep its knowledge center, research &amp; development, prototype building, and after-sales in Koningshooikt.</t>
    <phoneticPr fontId="1"/>
  </si>
  <si>
    <t>https://www.marklines.com/en/global/1507</t>
    <phoneticPr fontId="1"/>
  </si>
  <si>
    <t>https://www.marklines.com/en/global/2275</t>
    <phoneticPr fontId="1"/>
  </si>
  <si>
    <t>On March 8, multiple sources reported that Volkswagen is canceling ID.3 production in the Wolfsburg plant due to low demand for electric vehicles. Earlier, VW was planning to produce this model in Wolfsburg in the summer. However, VW will continue to build the ID.3 exclusively in Zwickau and Dresden.</t>
    <phoneticPr fontId="1"/>
  </si>
  <si>
    <t>https://www.marklines.com/en/global/2277</t>
    <phoneticPr fontId="1"/>
  </si>
  <si>
    <t>https://www.marklines.com/en/global/2261</t>
    <phoneticPr fontId="1"/>
  </si>
  <si>
    <t>https://www.marklines.com/en/global/297</t>
    <phoneticPr fontId="1"/>
  </si>
  <si>
    <t>Announced on March 8, PT NETA Auto Indonesia (NETA) will officially commence the assembly of cars in Indonesia in May 2024. In collaboration with PT Handal Indonesia Motor, the assembly will take place at the Ungu Bekasi Factory and will begin with the NETA V BEV for the initial phase. With an annual capacity of up to 27,000 units, the local assembly process of NETA products at PT HIM will be implemented in the CKD form. NETA successfully inked an agreement with PT Handal Indonesia Motor in November 2023. In the future, at the PT Handal Indonesia Motor factory, NETA said it also plans to produce the latest NETA lineup that will be introduced in Q2/2024.</t>
    <phoneticPr fontId="1"/>
  </si>
  <si>
    <t>On March 8, IG Metall, a dominant metalworkers' union in Germany, asked employees at Magna, Benteler, Tenneco, Lear, and Rhenus LMS to go on an indefinite strike, starting from the morning shift. About 99% of the metal workers were gathered for the first strike meeting. Due to the strikes production in the companies came to a halt leading to the production halt in the Ford Saarlouis plant within a few hours. According to the union, the refusal and delay tactics of the company's management had led to clear results in the previous week's ballot. IG Metall will continue the strike if the companies do not present improved negotiation offers.</t>
    <phoneticPr fontId="1"/>
  </si>
  <si>
    <t>Foxconn(Hon Hai)</t>
    <phoneticPr fontId="1"/>
  </si>
  <si>
    <t>https://www.marklines.com/en/global/10773</t>
    <phoneticPr fontId="1"/>
  </si>
  <si>
    <t>On March 7, CEER announced the awarding of a SAR 5 billion (USD 1.3 billion) contract for the construction of the CEER Electric Vehicle Manufacturing Complex in King Abdullah Economic City. The contract has been awarded to Saudi company Modern Building Leaders (MBL). The plant will span over 1 million square meters. It will have an area under roof of 530,000 square meters. It will include dedicated zones for every stage of vehicle production, including a press shop, body shop, paint shop, and general assembly. It will also feature dedicated zones for logistics, waste management, warehouses, offices, a water treatment system, and a vehicle test track. </t>
    <phoneticPr fontId="1"/>
  </si>
  <si>
    <t>https://www.marklines.com/en/global/9207</t>
    <phoneticPr fontId="1"/>
  </si>
  <si>
    <t>On March 7, DPCA announced that the 4th-generation 360THP engine recently officially came off the production line at its Xiangyang Plant. The 4th-generation 360THP engine is co-developed by DPCA and the Stellantis APAC R&amp;D Center. It delivers a maximum power of 127kW and a peak torque of 255Nm.</t>
    <phoneticPr fontId="1"/>
  </si>
  <si>
    <t>Announced on February 21, Chery Indonesia officially introduced the Tiggo 5X compact SUV with a 1,500-cc engine at the Indonesia International Motor Show (IIMS) 2024. PT Handal Indonesia Motor carries out the assembly of this model.</t>
    <phoneticPr fontId="1"/>
  </si>
  <si>
    <t>On March 6, Chevrolet announced that U.S. dealer orders for the 2024 Chevrolet Silverado EV RST First Edition will open on March 11. The Chevrolet Silverado EV RST First Edition is built on the GM BT1 platform at GM’s Factory Zero in Michigan. The Chevrolet Silverado EV first went into production last summer in the Work Truck trim for fleet customers.</t>
    <phoneticPr fontId="1"/>
  </si>
  <si>
    <t>https://www.marklines.com/en/global/3197</t>
    <phoneticPr fontId="1"/>
  </si>
  <si>
    <t>On March 4, the Kenworth plant in Chillicothe, Ohio celebrated 50 years of manufacturing, building more than 782,000 trucks. As Kenworth’s largest manufacturing facility employs approximately 2,500 people. Since 2018, Kenworth has invested USD 300 million in the 622,000-square-foot facility that features advanced manufacturing technologies, including robotic assembly, and a state-of-the-art paint facility.</t>
    <phoneticPr fontId="1"/>
  </si>
  <si>
    <t>On March 21, BMW Group unveils Vision Neue Klasse X, previewing the first fully-electric SAV on the new architecture, set for production at the Debrecen plant, Hungary in 2025. Neue Klasse X features advanced drive and chassis control, driven by BMW's in-house developed super-brains, offering superior driving dynamics and automated driving capabilities. The sixth generation of BMW eDrive technology features improved e-drive units and new round lithium-ion battery cells, boosting energy density by over 20%. An 800-volt system improves charging speed by up to 30%, achieving a 300-kilometer range in 10 minutes. The interior of the Neue Klasse features eco-friendly materials like "Verdana" surface material, maritime plastics and recycled mono-materials are used for side skirts and apron attachments.</t>
    <phoneticPr fontId="1"/>
  </si>
  <si>
    <t>On March 21, Polestar announced that it is participating in the New York International Auto Show for the first time, showcasing its luxury SUVs, the Polestar 3 and Polestar 4. Sales of Polestar 4 are off to a successful start around the world and production of Polestar 3 has started in Chengdu, China, with additional production set to start in Ridgeville, South Carolina in the middle of 2024. </t>
    <phoneticPr fontId="1"/>
  </si>
  <si>
    <t>On March 20, Renault announced that its fifth generation of the Scenic marks a radical shift as it becomes a fully electric model, built on a dedicated AmpR Medium platform in the Douai plant. The transformation of the plant to accommodate the electric platform required a EUR 550 million investment. A new flexible assembly line can handle up to 4 platforms, allowing for the construction of a diverse range of vehicles. Workstations have been redesigned for maximum flexibility, with battery installation integrated into the assembly line. This transformation also includes improvements like 'full kitting', ensuring operators have all necessary parts within easy reach.</t>
    <phoneticPr fontId="1"/>
  </si>
  <si>
    <t>https://www.marklines.com/en/global/2225</t>
    <phoneticPr fontId="1"/>
  </si>
  <si>
    <t>On March 20, Mercedes Benz announced that it is implementing its first water reuse projects by saving 350,000 cubic meters annually in Sindelfingen and aims for further projects. The company achieves an overall recycling and recovery rate of 99% in its production plants worldwide.</t>
    <phoneticPr fontId="1"/>
  </si>
  <si>
    <t>https://www.marklines.com/en/global/2223</t>
    <phoneticPr fontId="1"/>
  </si>
  <si>
    <t>On March 20, Mercedes Benz announced that it plans to expand energy storage facilities by partnering with CMBlu Energy AG for Organic SolidFlow battery storage in the Rastatt plant by 2025.</t>
    <phoneticPr fontId="1"/>
  </si>
  <si>
    <t>On March 20, Mercedes Benz announced that it will focus on decarbonization with initiatives like the 'eCampus' at the Untertürkheim plant and increasing the use of secondary raw materials in vehicles. They aim to reduce primary resource use by 40% by 2030 and increase secondary raw material use to 40% for the passenger car fleet.</t>
    <phoneticPr fontId="1"/>
  </si>
  <si>
    <t>https://www.marklines.com/en/global/10534</t>
    <phoneticPr fontId="1"/>
  </si>
  <si>
    <t>On March 20, BMW Group announced that it would employ wire arc additive manufacturing (WAAM) to produce metallic vehicle components and tools at the Additive Manufacturing Campus in Oberschleißheim. In this process, a robot precisely layers welding seams made from aluminium or similar material to create components without the need to consider demouldability. WAAM enables lighter, more rigid components with lower energy requirements and less material waste compared to die-cast parts. BMW plans to integrate WAAM components into production vehicles. They also envision the possibility of producing components directly on assembly lines using WAAM technology, allowing for flexibility in manufacturing without the need for new tools.</t>
    <phoneticPr fontId="1"/>
  </si>
  <si>
    <t>On March 20, multiple sources revealed that the Stellantis' Vigo plant extends shutdown to March 27, 2024, due to supply issues. Originally, System 1 was set to be inactive from March 25 to 27, but now System 2, which is responsible for van assembly, will also be idle on March 27, 2024. Normal operations are set to resume on April 1, 2024, with the morning shift.</t>
    <phoneticPr fontId="1"/>
  </si>
  <si>
    <t>On March 20, Geely Auto unveiled results for 2023. As of the end of 2023, the lifecycle carbon emissions per Geely vehicle have been reduced by 12% y/y.</t>
    <phoneticPr fontId="1"/>
  </si>
  <si>
    <t>On March 20 in a social media posting, Tesla announced that Gigafactory Texas has been able to produce enough 4680 battery cells in one week to build 1,000 Cybertrucks. Gigafactory’s Texas’ 4680 output translates to a 6.2 GWh per year run rate, a 24% improvement compared to the 5.0 GWh per year run rate estimated back in October 2023.</t>
    <phoneticPr fontId="1"/>
  </si>
  <si>
    <t>On March 20, Tesla Gigafactory Berlin workers voted to give IG Metall the largest number of representatives (16) in the new 39-person works council, though not a majority. 39.4% of the workforce voted for the union’s candidates, followed in second place with 35.9% by the list of employees who dominated the previous works council. IG Metall says that it will push for hiring more temporary workers, longer cycle times on the assembly lines, appropriate line breaks, and no more salary deductions in case of illness.</t>
    <phoneticPr fontId="1"/>
  </si>
  <si>
    <t>On March 20, Stellantis unveiled the new Peugeot E-5008 electric SUV, the only seven-passenger model in its segment to offer 100% electric mobility. The vehicle uses Stellantis' STLA Medium platform at the Sochaux plant in France, with ACC batteries from Douvrin. The electric motor is made by the Stellantis-NIDEC joint venture in Trémery, France, and the gearbox by Stellantis in Valenciennes, France. Peugeot E-5008 offers Allure and GT versions with three option packs and three electric motors i.e., 210 hp, 230 hp long range, and 320 hp Dual Motor 4-wheel drive. It features a WLTP range of 500 to 660 km, including AWD Dual Motor and Long Range versions. Additionally, it will feature two electrified powertrains: E-5008 Hybrid 136 e-DCS6 includes the Peugeot Hybrid 48V system, pairing a 136 hp gasoline engine with a dual-clutch six-speed gearbox equipped with an electric motor and another is Plug-In Hybrid (195 e-DCS7), combining a 92 kW electric motor with a 150 hp internal combustion engine. Its high-capacity battery allows for a range of over 80 km in 100% electric mode.</t>
    <phoneticPr fontId="1"/>
  </si>
  <si>
    <t>https://www.marklines.com/en/global/161</t>
    <phoneticPr fontId="1"/>
  </si>
  <si>
    <t>On March 20, Volkswagen announced that in 1984, the first Polo rolled off the production lines at Volkswagen Navarra, marking the beginning of continuous production at the Landaben plant. Except for the initial model known as A01 in 1975, all subsequent evolutions (A02, A03, A04, A05, and the current A07) have been manufactured at Volkswagen Navarra. Since its inception in 1965, the plant has produced a total of 9,767,355 cars, with 9,351,386 being Volkswagen brand vehicles and 8,402,932 of those being Polo models.</t>
    <phoneticPr fontId="1"/>
  </si>
  <si>
    <t>Beiben</t>
    <phoneticPr fontId="1"/>
  </si>
  <si>
    <t>https://www.marklines.com/en/global/3593</t>
    <phoneticPr fontId="1"/>
  </si>
  <si>
    <t>Inner Mongolia</t>
  </si>
  <si>
    <t>On March 19, a ceremony for the launch of an industrial eco-chain in the Inner Mongolia Autonomous Region (IMAR) for “vehicles for wind power, photovoltaics, hydrogen energy, and energy storage (WPHE)”, the delivery of hydrogen energy vehicles, and the inauguration of an engineering research center for hydrogen energy storage and transportation was held at Beiben Trucks. Established by Beiben Trucks, China Huadian Corporation, Mingyang Group, and other institutions, this engineering research center went into official operation. All parties signed agreements on hydrogen energy storage and transportation equipment development and application, pure hydrogen transmission pipelines, and more to jointly promote technology research and achievement transformation.</t>
    <phoneticPr fontId="1"/>
  </si>
  <si>
    <t>Lancia</t>
    <phoneticPr fontId="1"/>
  </si>
  <si>
    <t>On March 19, Stellantis introduced a hybrid variant of the recently debuted Lancia Ypsilon Edizione Limitata Cassina. Following the release of its 100% electric model, the hybrid version is now available for orders, rounding off the top-tier lineup. The hybrid version features a 1.2-liter 3-cylinder engine which generates output of 100 hp. It accelerates 0-100 km/h in 9.3 seconds and achieves a top speed of 190 km/h. It is also equipped with a six-speed e-DCT automatic transmission.</t>
    <phoneticPr fontId="1"/>
  </si>
  <si>
    <t>https://www.marklines.com/en/global/8685</t>
    <phoneticPr fontId="1"/>
  </si>
  <si>
    <t>On March 18, Audi announced that it has produced the Audi Q6 e-tron series at its Ingolstadt headquarters, making it the first high-volume fully electric model series. Audi has modernized its systems, including a new battery assembly facility for PPE models, employing 300 workers to assemble up to 1,000 high-voltage batteries per day for the Q6 e-tron series. The facility operates with an automation rate of nearly 90%. Electric motors for the PPE platform are sourced from Audi Hungaria in Győr and transported emission-free to Ingolstadt by DB Cargo. Audi has integrated production domains such as the body shop for the PPE into existing structures at the Ingolstadt plant. An automation rate of 87% enables efficient assembly of body components for the Q6 e-tron series. The paint shop for the new fully electric series has been upgraded with an extended dryer post-CDC (cathodic dip coating) and automated hole-sealing. Robots now seal about 70 holes in the bodies after CDC, a task previously done manually, ensuring all parts reach the required temperature for curing. Automated production technology in the paint shop aids in surface inspection and finishing, enhancing process reliability and quality monitoring. In the press shop in Münchsmünster, the hot-forming process for the PPE has been upgraded to produce safety-related components. Automated setup changes result in a plant output of around 20,000 individual parts per working day.</t>
    <phoneticPr fontId="1"/>
  </si>
  <si>
    <t>On March 18, GAC Trumpchi officially debuted the GS4 Max family SUV in the CNY 100,000 range. The GS4 Max is equipped with a 3rd-generation Mega Wave Power 1.5TGDI engine and a 7-speed wet dual-clutch transmission, delivering a WLTC fuel consumption as low as 6.8L/100km.</t>
    <phoneticPr fontId="1"/>
  </si>
  <si>
    <t>https://www.marklines.com/en/global/3353</t>
    <phoneticPr fontId="1"/>
  </si>
  <si>
    <t>https://www.marklines.com/en/global/9459</t>
    <phoneticPr fontId="1"/>
  </si>
  <si>
    <t>Xinjiang</t>
  </si>
  <si>
    <t>On March 20, SAIC Motor and JSW Group, India announced the business roadmap of the joint venture - JSW MG Motor India. It aims to build an EV ecosystem and focus on building a diverse range of portfolio of vehicles. The JV plans to plans to launch a new product, including NEVs (new energy vehicles), every three to six months, beginning this festive season, with two new products slated to be launched this calendar year. It will expand its production capacity in Halol, Gujarat, focusing on producing NEVs. This will significantly increase the production capacity from 100,000 plus to 300,000 vehicles annually. JSW MG Motor India will set up an R&amp;D center to cater to car buyers' choices and develop connected new-age and local mobility solutions. The company is currently utilizing over 60% of its energy requirements for its manufacturing operations at Halol (Gujarat) from renewable resources and is working towards becoming carbon neutral by 2029.</t>
    <phoneticPr fontId="1"/>
  </si>
  <si>
    <t>On March 20, Nucor Corp. announced that it has signed an agreement with Mercedes-Benz to supply its Econiq-RE steel for Mercedes-Benz models produced at their Tuscaloosa, Alabama manufacturing plant. Econiq-RE branding certifies Nucor steel or steel products made with 100% renewable energy, greenhouse gas emissions can be reduced to less than half that of extractive blast furnace-based steel production.</t>
    <phoneticPr fontId="1"/>
  </si>
  <si>
    <t>Multiple sources in South Korea reported that Renault Korea Motors and the Busan Metropolitan Government signed a memorandum of understanding (MOU) on March 18, 2024, to invest KRW 118 billion (USD 88.2 million) in upgrading equipment at Renault Korea’s Busan plant over the next three years.Under the agreement, Renault Korea will replace existing equipment with hybrid and electric vehicle equipment over three years, creating about 200 new jobs. "With this investment, Renault Korea plans to invest KRW 700 billion in the Aurora 1 and 2 projects," Stephen DeBlaze CEO said. The Aurora project is Renault Korea’s roadmap to roll out three new vehicles: Aurora 1, the hybrid midsize SUV scheduled for the second half of this year; Aurora 2, the midsize CUV set for 2026; and Aurora 3, the electric midsize SUV expected in 2027.</t>
    <phoneticPr fontId="1"/>
  </si>
  <si>
    <t>On March 18, DECH Future officially broke ground on an innovation, verification, and R&amp;D center in Jinghe New City, Xixian New Area, Shaanxi Province. It is located in the Jinghe Intelligent Manufacturing Innovation Industrial Park (Phase II), with an estimated total equipment investment amount of CNY 270 million. Expected to go into operation at the end of 2024, the first phase of the trial production platform will come with three functions: NECV trial production, testing, and inspection. A new supporting hydrogen refueling station will be built for the platform. The first phase of the testing platform is expected to go into operation in the second half of 2026 and will work on key auto components such as hydrogen fuel cells, electric drive systems, and power batteries, plus finished vehicles.</t>
    <phoneticPr fontId="1"/>
  </si>
  <si>
    <t>Deepal</t>
    <phoneticPr fontId="1"/>
  </si>
  <si>
    <t>On March 18, Deepal, a Changan Auto sub-brand, globally debuted the new G318 mid-to-large-size range-extended off-road SUV. The vehicle employs a Deepal super range-extending technology, which consists of the Force Intelligent Range Extender 2.0, the Force Super-Integrated Electric Drive 2.0, and the Golden Shield Battery 2.0. The G318 contains a continuously variable center differential lock. It is equipped with a dual-motor 4WD system (maximum power 316kW), a CLTC electric-mode range of 190km, a CLTC combined range of over 1,000km, and a CLTC feeder fuel consumption as low as 6.7L/100km.</t>
    <phoneticPr fontId="1"/>
  </si>
  <si>
    <t>https://www.marklines.com/en/global/9538</t>
    <phoneticPr fontId="1"/>
  </si>
  <si>
    <t>On March 18, Neta Auto unveiled official images of the new Neta L midsize SUV. The Neta L comes standard with a full-stack in-house developed Hozon Range Extender 2.0 and a CATL 40kWh battery, with a feeder fuel consumption of 4.85L/100km.</t>
    <phoneticPr fontId="1"/>
  </si>
  <si>
    <t>On March 18, IM Motors announced that the VMC (Vehicle Motion Control) intelligent digital chassis, an innovative technology powering the vehicle control system with intelligent algorithms, will be first applied to the IM L6 electric vehicle to be launched in May.</t>
    <phoneticPr fontId="1"/>
  </si>
  <si>
    <t>On March 18, PT NETA Auto Indonesia (NETA) announced its official collaboration with PT Gotion Green Energy Solutions Indonesia for the provision of EV batteries. This partnership strengthens NETA's commitment to increasing domestic component content (TKDN) for NETA V and other models in the future. PT Gotion will be the supplier of Lithium Iron Phosphate (LFP) batteries for NETA's EVs. This followed NETA’s recent announcement on the local BEV production in Indonesia starting May 2024. </t>
    <phoneticPr fontId="1"/>
  </si>
  <si>
    <t>The Cadillac XT5 will be offered in the North America market for the 2025 model year in its first-generation form, with start of regular production (SORP) currently scheduled for July 8 at the GM’s Spring Hill plant in Tennessee. An all-new second-generation XT5 model will be offered exclusively in China, while the North American 2025 XT5 is expected to have only minimal changes and updates compared to its 2024 model year predecessor.</t>
    <phoneticPr fontId="1"/>
  </si>
  <si>
    <t>On March 16, Chery Auto unveiled the power information of the new Fulwin T6 compact plug-in hybrid SUV. Equipped with C-DM hybrid technology, the Fulwin T6 delivers a minimum feeder fuel consumption of 4.9L/100km, a feeder top speed of 185km/h, a CLTC electric-mode range of 120km, a CLTC combined range of over 1,300km.</t>
    <phoneticPr fontId="1"/>
  </si>
  <si>
    <t>On March 16, XPeng disclosed for the first time that it will launch a new sub-brand in the coming month to officially enter the global market of compact vehicles in the CNY 100,000 to CNY 150,000 range. Committed to developing “the first AI-powered intelligent driving vehicle for young people”, the new brand will introduce several new models with intelligent driving capabilities at different levels in the future. XPeng also said that in 2024, it will launch an “AI technology upgrade with intelligent driving at the core”, planning to invest CNY 3.5 billion in the R&amp;D of intelligentization.</t>
    <phoneticPr fontId="1"/>
  </si>
  <si>
    <t>JMC</t>
    <phoneticPr fontId="1"/>
  </si>
  <si>
    <t>https://www.marklines.com/en/global/8787</t>
    <phoneticPr fontId="1"/>
  </si>
  <si>
    <t>Jiangxi</t>
  </si>
  <si>
    <t>According to multiple press releases dated March 16, a co-invested automotive intelligent electric platform project between JMC Group and Beijing Jingwei Hirain Technologies Co., Ltd. in the Nanchang Xiaolan Economic and Technological Development Zone of Jiangxi Province broke ground. With a total investment amount of around CNY 3 billion, the project is for the R&amp;D and manufacturing of automotive electronics and New Energy Vehicle battery packs. Upon completion and commissioning of the first phase, an annual production capacity of 1 million sets of automotive electronics and 5GWh of New Energy Vehicle battery packs will be established.</t>
    <phoneticPr fontId="1"/>
  </si>
  <si>
    <t>https://www.marklines.com/en/global/3903</t>
    <phoneticPr fontId="1"/>
  </si>
  <si>
    <t>On March 16, BYD officially signed a strategic cooperation agreement with JD.com, Inc. (JD) in Beijing. The two parties will fully cooperate in areas such as passenger vehicles, commercial vehicle application scenarios, digital and intelligent supply chain services, centralized supplies procurement, and integrated services. They will jointly promote the transformation and upgrading of China’s automotive industrial chain, accelerate the export of Chinese New Energy Vehicles, and continuously enhance the international competitiveness of Chinese automobiles.</t>
    <phoneticPr fontId="1"/>
  </si>
  <si>
    <t>https://www.marklines.com/en/global/9831</t>
    <phoneticPr fontId="1"/>
  </si>
  <si>
    <t>On March 15, multiple sources reported, that Changan Motors launched the Karvaan MPV with a new 1.2L engine in Pakistan for PKR 3 million. It now comes with a new 243 cc engine which delivers a maximum power of 97hp at 6,000 rpm of power and a maximum torque of 119 nm of torque at 4,800 rpm.</t>
    <phoneticPr fontId="1"/>
  </si>
  <si>
    <t>Qingling</t>
    <phoneticPr fontId="1"/>
  </si>
  <si>
    <t>https://www.marklines.com/en/global/4173</t>
    <phoneticPr fontId="1"/>
  </si>
  <si>
    <t>According to multiple press releases dated March 15, Qingling Motors broke ground on a New Energy Vehicle (NEV) and intelligent connected vehicle (ICV) development and testing center. With a land area of 21,427 square meters, a total floor area of 15,190.68 square meters, and a total investment amount of CNY 245 million, this center will focus on battery electric vehicles, hybrid vehicles, autonomous driving, and ICVs. Capable of testing and inspecting a full range of finished commercial vehicles weighing 4.5T-49T and their component assemblies, the center can test and verify the functions, reliability, and ergonomic performance of products such as vehicle bodies, covering parts, and safety components.</t>
    <phoneticPr fontId="1"/>
  </si>
  <si>
    <t>https://www.marklines.com/en/global/10548</t>
    <phoneticPr fontId="1"/>
  </si>
  <si>
    <t>On March 20, Volkswagen expanded its partnership with Mobileye Vision Technologies Ltd. (Mobileye) to bring new automated driving functions to series production. Mobileye will provide technologies for partially and highly automated driving based on its Mobileye SuperVision and Mobileye Chauffeur platforms. Mobileye will provide technologies for Level 2 capabilities ('partially automated driving') within the Volkswagen Group. In addition, Volkswagen is working with Mobileye on Level 3 functions ('highly automated driving'). In addition, Mobileye will also offer certain production-ready functions for the new E3 1.2 premium-oriented software architecture. This new architecture is managed by Cariad and will be gradually implemented within the group by Audi, Bentley, Lamborghini, and Porsche.</t>
    <phoneticPr fontId="1"/>
  </si>
  <si>
    <t>On March 19, multiple sources revealed that Stellantis' Vigo factory will halt part of its production next week due to ongoing supply issues. System 1 which is responsible for assembling Peugeot 2008s, will cease operations on March 25 to 27, before the Easter holidays. Production is set to resume on April 1, 2024, with the 6:00 a.m. shift. However, the restart dates for the welding and paint workshops remain uncertain and will be determined immediately.</t>
    <phoneticPr fontId="1"/>
  </si>
  <si>
    <t>Haima</t>
    <phoneticPr fontId="1"/>
  </si>
  <si>
    <t>https://www.marklines.com/en/global/3573</t>
    <phoneticPr fontId="1"/>
  </si>
  <si>
    <t>Hainan</t>
  </si>
  <si>
    <t>On March 19, the FESCO transport group announced that it will provide supplies of finished vehicles and vehicle kits of the HAIMA brand from China to Russia and the CIS. FESCO signed an agreement with MVL AVTO LLC, which is the official distributor of Haima in Russia. FESCO and MVL AVTO LLC will work on issues in the field of supply chain management related to the localization of production of HAIMA cars at sites in Russia, as well as in the Republic of Kazakhstan and the Republic of Belarus.</t>
    <phoneticPr fontId="1"/>
  </si>
  <si>
    <t>https://www.marklines.com/en/global/3575</t>
    <phoneticPr fontId="1"/>
  </si>
  <si>
    <t>https://www.marklines.com/en/global/3961</t>
    <phoneticPr fontId="1"/>
  </si>
  <si>
    <t>https://www.marklines.com/en/global/2605</t>
    <phoneticPr fontId="1"/>
  </si>
  <si>
    <t>Ford is delaying planned three-row electric vehicles similar in size to the Explorer and Lincoln Aviator as it focuses on smaller, more affordable EVs, according to people familiar with recent company plans. The three-row EVs, planned to be built in Canada at Ford's future Oakville Electric Vehicle Complex, were expected to go on sale in early 2025, but Ford will instead launch an affordable EV on a small vehicle platform at the company's Louisville Assembly Plant as early as late 2026, one of the people said. Ford is reportedly planning three models on the new smaller platform: a small SUV due to launch in late 2026 at around USD 25,000, a pickup and, potentially, a ride-hailing vehicle.</t>
    <phoneticPr fontId="1"/>
  </si>
  <si>
    <t>On March 18, the Italian Metalworkers Federation (FIM-CISL) secretary emphasized prioritizing production growth in existing Stellantis factories over competing with Chinese manufacturers, ensuring Italy's interests are protected. Adequate funding is deemed essential, with current allocations considered insufficient. The proposed incentive package is seen positively, but there's a call for longer-term support and a gradual reduction in incentives as price differences decrease. Focusing on filling Italian factories and obtaining all Stellantis platforms, particularly the small ones, is advocated, aiming for a 30% production increase, starting with the Mirafiori factory. To push Stellantis and address these concerns, the unions plan for an 8-hour strike with a procession in Turin on April 12, 2024.</t>
    <phoneticPr fontId="1"/>
  </si>
  <si>
    <t>https://www.marklines.com/en/global/9429</t>
    <phoneticPr fontId="1"/>
  </si>
  <si>
    <t>On March 14, Changan Auto started accepting pre-orders for the new UNI-Z compact plug-in hybrid SUV. Based on the new Blue Core platform, the UNI-Z is available with plug-in hybrid and range-extended drive modes and delivers a maximum engine power of 158kW, a peak engine torque of 330Nm, a feeder fuel consumption of 5.15L/100km, and a combined range of 1,200km.</t>
    <phoneticPr fontId="1"/>
  </si>
  <si>
    <t>According to multiple press releases dated March 14, Hebei Farizon Green Ecological Development Co., Ltd. was recently established in Tangshan, Hebei. The new company has a registered capital of CNY 50 million and is jointly owned by Farizon and a Tangshan park management company. Its business scope includes manufacturing of road motor vehicles, manufacturing of auto components and accessories, and manufacturing of construction and engineering equipment.</t>
    <phoneticPr fontId="1"/>
  </si>
  <si>
    <t>https://www.marklines.com/en/global/2337</t>
    <phoneticPr fontId="1"/>
  </si>
  <si>
    <t>On March 19, JLR announced it would be recruiting 250 electrification engineers at its Gaydon and Whitley facilities to further accelerate the development of its next-generation pure electric vehicles under its Reimagine strategy. All the new roles will be based at JLR's Gaydon Engineering Centre and JLR's Future Energy Lab in Whitley, Coventry. Within the 250 new roles, JLR will recruit over 40 battery engineering roles, working across advanced energy storage systems, battery cell design, and cell stack assemblies, as well as hardware and software essential to the battery and electrical systems, which will be dedicated to JLR's next generation vehicle architectures. The new jobs will boost the company's expertise in battery cell chemistry, design, and systems, reinforcing a modern electric vehicle (BEV) value chain, supported by Agratas' gigafactory in Somerset, which will supply cells to JLR, serving as the main customer. The next EV JLR will launch will be the new Range Rover Electric manufactured in Solihull, UK.</t>
    <phoneticPr fontId="1"/>
  </si>
  <si>
    <t>JBM</t>
    <phoneticPr fontId="1"/>
  </si>
  <si>
    <t>https://www.marklines.com/en/global/9591</t>
    <phoneticPr fontId="1"/>
  </si>
  <si>
    <t>Uttar Pradesh</t>
  </si>
  <si>
    <t>On March 19, JBM Auto announced that JBM Ecolife Mobility Private Limited, its subsidiary has been declared as L1 and awarded the tender as a bus operator for procurement, supply, operation, and maintenance of 1,390 electric buses [approx. 65%] and development of allied electric and civil Infrastructure on gross cost contracting [GCC] under the PM-eBus Sewa Scheme. The order has an approx. value of INR 75 billion.</t>
    <phoneticPr fontId="1"/>
  </si>
  <si>
    <t>On March 18, IG Metall, a dominant work union in Germany, announced that all five companies on strike had accepted the outcome of the negotiations. The companies have agreed to significant severance payments through negotiated agreements. While the social agreements among the six companies share a similar structure, they differ in their financial arrangements. The employee voting results range from 100% approval at Lear Corp., 97.74% yes votes at Rhenus LMS, 93.33% acceptance at Benteler, 90.6% at Tenneco to 77.4% at Magna from the second ballot which was held on Monday, March 18, 2024. The excellent collective agreements give employees clarity and security for the remaining time until Ford Focus production ends in November 2025.</t>
    <phoneticPr fontId="1"/>
  </si>
  <si>
    <t>On March 18, IG Metall, a dominant work union in Germany, announced that employees of Tesla will elect a new works council in the Berlin-Brandenburg Gigafactory in Grünheide. The work council demands more humane working conditions, better planning of working hours, longer breaks on the assembly line, planned free time, better health protection, and equal opportunities for the employees. Additionally, the employees also seek a collective agreement with IG Metall and Tesla for higher wages, shorter hours, and increased vacation time. The workers union supports the construction and expansion of the plant in Grünheide and is in favor of a Tesla that offers employees the good working conditions that are usual in the industry.</t>
    <phoneticPr fontId="1"/>
  </si>
  <si>
    <t>On March 18 in an SEC regulatory filing, Fisker said that it is trying to raise USD 150 million through the sale of convertible notes to an undisclosed investor. The company also said it is pausing production for the next six weeks, after producing no vehicles in January 2024 and only 1,000 between February 1 and March 15. Fisker said that it delivered 1,300 vehicles in January and February, after having shipped roughly 5,000 of the 10,000 cars that its contract manufacturing partner, Magna Steyr, produced in Graz, Austria in 2023.</t>
    <phoneticPr fontId="1"/>
  </si>
  <si>
    <t>On March 18, workers at Volkswagen plant Chattanooga in Tennessee filed for a union election with the National Labor Relations Board. The filing comes about three months after workers at the plant launched a public campaign to organize, promoted in part by the UAW's contract wins against the Detroit Three last fall.</t>
    <phoneticPr fontId="1"/>
  </si>
  <si>
    <t>On March 15, Škoda revealed its new battery-electric city SUV crossover, the Škoda Epiq, which is set for a 2025 debut at around EUR 25,000. The vehicle is 4.1 meters long, comes with a spacious interior, and up to 490 litres of luggage capacity, with a range exceeding 400 km. The Epiq will be manufactured in Pamplona, Spain, through a joint development and production project involving Škoda, Cupra, and Volkswagen.</t>
    <phoneticPr fontId="1"/>
  </si>
  <si>
    <t>On March 15, CGT Union announced for a series of two-hour partial strikes in body shops over three days in the Renault Valladolid factory. The protest is due to the elimination of the night shift in the drawing department of the Carrocerías Valladolid factory and to demand more workload for the department. The strikes follow an 80% support in a recent referendum by the staff. CGT aims to pressure the company to reconsider the decision and bring more work to the department to prevent its decline, as the workload has decreased since 2017. The strikes are planned for April 2, 9, and 16, coinciding with the return of Holy Week when factory activity is expected to be low. They will occur during the first two hours of each shift.</t>
    <phoneticPr fontId="1"/>
  </si>
  <si>
    <t>On March 15, Porsche announced that it is advancing its Smart Factory concept in the Leipzig factory by integrating camera-based battery monitoring and automatic screw thread inspection for electric cars. Since 2023, the operational Automatic Error Detection (AFE) technology has markedly improved paint inspection efficiency. Using five image-processing computers, it generates a 3D visualization of the body, promptly informing workers of detected irregularities' location and nature. The factory generates a portion of its electricity through four photovoltaic systems with a total output of 9.4 MWp. Porsche aims for carbon-neutral production for newly produced cars by 2030. With over 4,600 employees build Macan and Panamera models at the facility, which also features a Porsche Experience Center with an FIA-certified track and off-road course.</t>
    <phoneticPr fontId="1"/>
  </si>
  <si>
    <t>On March 15, AvtoTOR announced that an electric taxi service based on AMBERAUTO A5 electric vehicles, produced at the AvtoTOR plant, has begun operating in the Kaliningrad region. By the end of April, the electric taxi fleet will consist of 50 electric vehicles. The project is implemented by the Koenig-Rent company. AMBERAUTO A5 is fully prepared for localization in the Russian Federation. AvtoTOR is implementing a project to create a production cluster for the production of automotive components and electric vehicles, and all the key components of this car. The cars will be equipped with electric motors, inverters, gearboxes, electronic systems, batteries, and other components, the production of which will start in 2024 - 2025. The AMBERAUTO A5 electric sedan has a range of up to 520 km.</t>
    <phoneticPr fontId="1"/>
  </si>
  <si>
    <t>On March 14, the Italian Federation of Metalworkers (FIOM-CGIL) announced that ACC shared its progress update in securing a building permit and EUR 4.4 billion in financing with French and German institutions during meeting with the Ministry of Business and Made in Italy. ACC plans to employ around 1,700 people for blocks 1 and 2, with potential for over 2,000 if block 3 is approved. However, ACC's stance on guaranteeing jobs for Stellantis workers in Termoli was unclear. ACC urged to clarify positions, Stellantis to advocate for worker protection, and the government to tie incentives to Stellantis employment. A transparent framework agreement and ongoing evaluation of commitments were proposed. Stellantis pledged full commitment to worker retention at Termoli, while the union requested a framework agreement ensuring a seamless transition. The Ministry stressed employment protection for Termoli workers, scheduling the next meeting for April 10, 2024.</t>
    <phoneticPr fontId="1"/>
  </si>
  <si>
    <t>https://www.marklines.com/en/global/453</t>
    <phoneticPr fontId="1"/>
  </si>
  <si>
    <t>A MarkLines investigation revealed that the production of the Honda Motor Co., Ltd. (Honda) N-VAN mini-van is now being carried out solely at Honda Auto Body Co., Ltd. (Honda Auto Body) (as of March 14). Previously, the mini-van was produced at two sites, the Suzuka Factory and Honda Auto Body. The date when production was consolidated to one site is unknown.  </t>
    <phoneticPr fontId="1"/>
  </si>
  <si>
    <t>https://www.marklines.com/en/global/443</t>
    <phoneticPr fontId="1"/>
  </si>
  <si>
    <t>https://www.marklines.com/en/global/10377</t>
    <phoneticPr fontId="1"/>
  </si>
  <si>
    <t>On March 14, Valmet Automotive announced that it had produced a total of 800,000 battery systems in 2023. The company has already produced more than 2 million battery systems since entering the battery business in 2018, with the EVS business line's gross sales exceeding EUR 1 billion for the first time. The company has increased its overall production volume raised the share of high-voltage batteries and intensified marketing of its own Modular Power Pack battery system, especially for the off-highway sector. The company became one of Europe's leading suppliers of battery systems in 2023.</t>
    <phoneticPr fontId="1"/>
  </si>
  <si>
    <t>https://www.marklines.com/en/global/9853</t>
    <phoneticPr fontId="1"/>
  </si>
  <si>
    <t>According to multiple press releases dated March 13, Beijing Smartmi Technology Co., Ltd. (Smartmi), a company in the Xiaomi Corporation ecological chain, and Chery New Energy are likely to co-develop a number of New Energy Vehicles (NEVs), with the first already in the engineering phase and several others still in the design phase. For this partnership, Smartmi is responsible for operations such as product planning, definition, and styling design, and Chery New Energy operations such as manufacturing, the supply chain, and sales channels. Established in 2014, Smartmi, one of the first companies in the Xiaomi Corporation ecological chain, mainly deals in products such as air purifiers, intelligent toilets, electric fans, humidifiers, and air conditioners.</t>
    <phoneticPr fontId="1"/>
  </si>
  <si>
    <t>On March 13, FAW Jiefang announced the recent signing of a strategic cooperation framework agreement with Mahle Automotive Technologies (China) Co., Ltd. in Changchun, Jilin. The two parties will jointly promote the innovation and development of the auto industry by establishing a long-term and stable special strategic partnership and exploring a cooperative R&amp;D model.</t>
    <phoneticPr fontId="1"/>
  </si>
  <si>
    <t>https://www.marklines.com/en/global/3469</t>
    <phoneticPr fontId="1"/>
  </si>
  <si>
    <t>On March 13, the Ministry of Industry and Information Technology of China (MIIT) released information about new products in the 381st list of the “On-road Motor Vehicle Manufacturers and Products” announcement. According to the announcement, the first cooperative model between Beijing Electric Vehicle Co., Ltd. and Huawei is named the “Stelato S9”, which is positioned as a battery electric sedan. The Stelato S9 is equipped with a ternary lithium-ion or lithium manganese iron phosphate battery from Jiangsu Contemporary Amperex Technology Ltd. and a drive motor from Huawei, delivering a maximum power of 227kW for the single-motor edition, a maximum front motor power of 158kW and a maximum rear motor power of 227kW for the dual-motor edition, and a top speed of 214km/h for both editions.</t>
    <phoneticPr fontId="1"/>
  </si>
  <si>
    <t>The Japanese Ministry of Land, Infrastructure, Transport and Tourism (MLIT) announced on March 11 that it has lifted its instruction to suspend shipments of two mini-cars, the Daihatsu Motor Co., Ltd. (Daihatsu) Tanto and the Subaru Motor Corporation Chiffon (based on the Tonto and supplied on an OEM basis). The two models are the subject of Daihatsu's procedural irregularities in its certification application and their production and shipment at the Shiga (Ryuo) Plant (2nd District) has been suspended since late December 2023. Daihatsu will work closely with suppliers and dealers to resume production and shipments as soon as they are ready.</t>
    <phoneticPr fontId="1"/>
  </si>
  <si>
    <t>Hino Motors, Ltd. (Hino) resumed production at its Hamura Plant Production Line #2 from the first shift on March 11 of vehicles equipped with 1GD engines manufactured by Toyota Industries Corporation. On February 27, the Japanese Ministry of Land, Infrastructure, Transport and Tourism (MLIT) lifted the order to suspend shipments of 1GD engines that it had issued. The 1GD engine was a model subject to the certification irregularities announced by Toyota Industries Corporation in January and production of vehicles equipped with the 1GD engine had been suspended at the Hamura Plant Production Line #2 since the second shift on January 29. The models equipped with 1GD engines are Toyota Motor Corporation's Dyna and Hino's Dutro and HINO 200 series. The suspension of shipments to Malaysia of vehicles equipped with 1GD engines will continue until approval is obtained from the local authorities.</t>
    <phoneticPr fontId="1"/>
  </si>
  <si>
    <t>Nissan Motor Co., Ltd. (Nissan) announced on March 8 that it will launch the B6 e-4ORCE, B9 2WD, B9 e-4ORCE and B9 e-4ORCE premier grades of the Ariya crossover electric vehicle (EV) in Japan in late March. Orders for the B6 2WD grade, which has already been launched, will resume after being suspended in the summer of 2022 due to the COVID pandemic and other factors. Among the Ariya models, the B6 2WD and B6 e-4ORCE grades are powered by a 66kWh lithium-ion battery and the B9 2WD, B9 e-4ORCE and B9 e-4ORCE premier grades are equipped with a 91kWh lithium-ion battery. The lineup of drive system includes 2WD and e-4ORCE, an electrically driven four-wheel control technology. The B9 e-4ORCE premier grade also comes standard with special equipment such as the ProPilot 2.0 advanced driver assistance system and exclusive 20-inch aluminum wheels. Nissan also plans to launch the Ariya NISMO, a high-performance sports version, in June.</t>
    <phoneticPr fontId="1"/>
  </si>
  <si>
    <t>https://www.marklines.com/en/global/10008</t>
    <phoneticPr fontId="1"/>
  </si>
  <si>
    <t>Toyota Central R&amp;D Labs., Inc. announced on March 6 that it has focused on lithium manganese (LiMn) oxide as a positive electrode material for lithium-ion secondary batteries (LiBs) and succeeded in improving performance by introducing a non-metallic element. With the progress of electrification of automobiles, further cost reduction and stable supply as well as higher performance are expected for LiBs for drive applications. Compared to cobalt and nickel, which are widely used as positive electrode materials for high-performance LiBs, manganese (Mn)-based materials have the advantage of having less risk of supply shortages. On the other hand, however, batteries using LiMn oxides in general have lower capacity and shorter life than batteries using cobalt or nickel as positive electrode materials. Toyota Central R&amp;D Labs has introduced the non-metallic elements boron and phosphorus into disordered rock salt-type LiMn oxides, and has demonstrated that they are effective for longer life (due to boron) and higher capacity (due to phosphorus).</t>
    <phoneticPr fontId="1"/>
  </si>
  <si>
    <t>https://www.marklines.com/en/global/2213</t>
    <phoneticPr fontId="1"/>
  </si>
  <si>
    <t>On March 15, the director of the Regensburg plant, Armin Ebner, commented that he foresees a new increase in vehicle production at the plant in 2024, being able to produce more than 300,000 units per year, if demand justifies it. Although the plant will continue to make ICE vehicles, EV production is expected to increase significantly. To meet the increase in production, it is planned to hire 600 workers in 2024, in addition to 120 new apprentices in the summer. Regarding the battery test center in Wackersdorf, Ebner commented that the first products will enter normal operation from mid-2024. In addition, EUR 200 million will be invested in the Regensburg and Wackersdorf plants until the end of 2024 to secure their long-term future and gearing up for the production of Neue Klasse from second half of the year. Also further structural measures are planned for the end of 2024 and beginning of 2025. Regarding resource preservation, at Regensburg plant one base paint line in the paint shop was converted to dry separation with limestone powder at the beginning of the year. The second line will be updated in August 2025. Regensburg also renewed its recooling systems, saving 53 million liters of water annually.</t>
    <phoneticPr fontId="1"/>
  </si>
  <si>
    <t>https://www.marklines.com/en/global/10577</t>
    <phoneticPr fontId="1"/>
  </si>
  <si>
    <t>On March 14, NextStar Energy CEO Danies Lee welcomed Canadian Prime Minister Justin Trudeau for an update tour of the 4.23-million-square-foot battery manufacturing plant site in Windsor, Ontario. Operations are on track to start in mid-2024. Once complete, NextStar Energy will have an annual production capacity of up to 49.5 gWh and a workforce of 2,500 employees.</t>
    <phoneticPr fontId="1"/>
  </si>
  <si>
    <t>On March 14, Canadian Prime Minister Justin Trudeau acknowledged that Honda and the government of Canada are continuing to discuss the possible expansion of the OEM’s assembly plant in Alliston, Ontario. Honda is expected to make a decision by the end of 2024 based on government incentives and then bring the new site online as soon as 2028.</t>
    <phoneticPr fontId="1"/>
  </si>
  <si>
    <t>https://www.marklines.com/en/global/10700</t>
    <phoneticPr fontId="1"/>
  </si>
  <si>
    <t>Tesla is making construction progress on its upcoming lithium refinery in Robbstown, Texas, with what will eventually be Production Line 1 a now visible, with other superstructure work and construction on Production Line 2 beginning. A new electrical substation has appeared at the site, while the installation of a Rotating Kiln and Cooler Set 1 equipment has mostly been completed. While production was initially expected to begin in Q1 2024, ramping throughout the latter half of the year, it appears that the site still has some work to do before the plant becomes operational.</t>
    <phoneticPr fontId="1"/>
  </si>
  <si>
    <t>https://www.marklines.com/en/global/175</t>
    <phoneticPr fontId="1"/>
  </si>
  <si>
    <t>On March 29, Renault announced that the Sandouville site will produce a new generation of electric LCVs for Flexis SAS, a joint venture of Renault with Volvo Group and CMA CGM. 550 new hires are planned over four years, in addition to 1,000 already recruited from 2014 to 2023. With an investment of EUR 300 million, the electric van production begins in 2026. The Sandouville Plant Connect digital ecosystem maximizes operational data usage for efficiency across the value chain, from suppliers to customers. The manufacturing process is optimized for decarbonization, aiming to meet the 2030 target. Initiatives include a 30% reduction in resource and energy usage through a modernized painting process and 40 hectares of photovoltaic panels.</t>
    <phoneticPr fontId="1"/>
  </si>
  <si>
    <t>On March 29, Volkswagen announced that it has began the series production of the Golf in Wolfsburg plant 50 years ago and since then over 37 million units have been produced worldwide. That's over 2,000 new Golfs sold daily. Wolfsburg alone has contributed over 20 million Golfs and other German plants, along with facilities in Belgium, Brazil, China, Malaysia, Mexico, Slovakia, and South Africa, have produced the remaining 17 million.</t>
    <phoneticPr fontId="1"/>
  </si>
  <si>
    <t>On March 28, Automotive Cells Company (ACC) announced that it has renewed its partnership with Equans France. The plant's first block was launched in May 2023 which produced a capacity of 13 GWh. ACC is currently piloting the construction of a new unit to double its production capacity by 2026. The Equans France teams, who are already leading the consortium in charge of the anhydrous rooms with IAQ for the first block, are fully mobilised to meet this new challenge and design a high-performance, safe, and energy-efficient industrial environment. Equans France leads the consortium handling anhydrous rooms and terminal distribution of fluids at the plant. Equans leverages patented technology to control N-methyl-2-pyrrolidone (NMP) vapors, aiding lithium-ion battery cathode production. They focus on recovering and recycling substances to reduce environmental impact and enhance energy efficiency. It also ensures the proper connection of process equipment to extraction networks, crucial for safety and product quality. They manage heat, dust, and solvents throughout the battery manufacturing stages. ACC is currently piloting the construction of a new unit to double its production capacity by 2026.</t>
    <phoneticPr fontId="1"/>
  </si>
  <si>
    <t>https://www.marklines.com/en/global/2907</t>
    <phoneticPr fontId="1"/>
  </si>
  <si>
    <t>On March 28, HORSE announced that it has delivered its first engine to Reborn Electric Motors for sustainable transport in South America. The engine is 1.0-liter 3-cylinder turbo gasoline engine, manufactured in Curitiba, Brazil, that powers a 24-seat bus with Range Extender technology. The engine generates output of 86kW at 5,000 rpm and 200Nm maximum torque at 1,750 rpm. A range extender charges the on-board battery, providing electricity to the electric motor driving the wheels. HORSE's Curitiba plant includes a powertrain facility and foundry, one of South America's largest industrial bases. It produces 1.0-liter (BR10) and 1.6-liter (HR16) powertrains, crankshafts, cylinder heads, and engine blocks. The on-site foundry die-casts aluminum engine components.</t>
    <phoneticPr fontId="1"/>
  </si>
  <si>
    <t>https://www.marklines.com/en/global/8736</t>
    <phoneticPr fontId="1"/>
  </si>
  <si>
    <t>On March 27, SAIC-GM announced that the first Chevrolet plug-in hybrid SUV has been named the “Equinox Plus”. The Equinox Plus employs an SAIC-GM next-generation intelligent PHEV technology, with a class-leading ultra-long range.</t>
    <phoneticPr fontId="1"/>
  </si>
  <si>
    <t>On March 27, Ford said that only one third of the 2,100 workers who make up three work crews at the Rouge Electric Vehicle Center in Dearborn will remain on-site after April 1. A crew of 700 will be transferred to the Michigan Assembly Plant, while the remaining 700 will either take a retirement package or reassignment elsewhere. Ford is currently adding a third crew at Michigan Assembly to build the Bronco and Ranger.</t>
    <phoneticPr fontId="1"/>
  </si>
  <si>
    <t>On March 27, EV charging company FLO announced it has increased the number of EV chargers at General Motors' Global Technical Center in Warren, Michigan, making it the largest workplace deployment of FLO chargers on a single site in North America. The new chargers were shipped from FLO's Auburn Hills, Michigan facility.</t>
    <phoneticPr fontId="1"/>
  </si>
  <si>
    <t>According to a Transport Bureau of Shenzhen Municipality (TBSM) press release dated March 26, all 16 plant buildings for the first phase of the Shenzhen-Shanwei BYD Automobile Industrial Park have been commissioned, where 167 production lines are manufacturing components for New Energy Vehicles (NEVs). For the second phase of the park, which is planned for the construction of a manufacturing site for NEVs and their core components, finished NEVs have rolled off the production line, and plant buildings have been relocated.</t>
    <phoneticPr fontId="1"/>
  </si>
  <si>
    <t>https://www.marklines.com/en/global/10574</t>
    <phoneticPr fontId="1"/>
  </si>
  <si>
    <t>On March 26, BYD officially launched the new Yuan UP small battery electric crossover SUV. Based on the e-Platform 3.0, the Yuan UP employs the CTB (Cell to Body) technology. The 301km-range variant is powered by a 70kW/180Nm permanent magnet synchronous motor and a 32kWh battery. Equipped with a wide-temperature-range high-efficiency heat pump system. The minimum power consumption is 12kWh/100km.</t>
    <phoneticPr fontId="1"/>
  </si>
  <si>
    <t>https://www.marklines.com/en/global/10526</t>
    <phoneticPr fontId="1"/>
  </si>
  <si>
    <t>BharatBenz</t>
    <phoneticPr fontId="1"/>
  </si>
  <si>
    <t>https://www.marklines.com/en/global/1133</t>
    <phoneticPr fontId="1"/>
  </si>
  <si>
    <t>On March 26, Daimler India Commercial Vehicles (DICV) announced it is ready to launch all its MY24 Bharat Benz heavy-duty trucks in the coming months. Scheduled for market launch in April 2024, the Bharat Benz Rigid heavy-duty range of trucks will be available in the following configurations: 2826R (6x2), 3526R (8x2), 3832R (8x2), 4232R (10x2) and 4832R (10x2). These trucks will be powered by a 6.7-litre, common-rail BSVI Stage 2 Bharat Benz engine. The new rigid range of trucks will also offer bitumen, bulker, petroleum oil &amp; lubricants (POL) payload applications. BharatBenz trucks will be offered with the 12-speed automated manual transmission (AMT) variants for the first time in its tractor-trailer and mining MY24 models. The models to be offered are 4032TT, 5532TT, 3532CM, and 2832CM for long haul and mining applications.</t>
    <phoneticPr fontId="1"/>
  </si>
  <si>
    <t>https://www.marklines.com/en/global/9045</t>
    <phoneticPr fontId="1"/>
  </si>
  <si>
    <t>On March 25, the press day of the 45th Bangkok International Motor Show, SAIC Motor-CP and MG Sales Thailand presented the new MG4 Electric hatchback, led by XPower variant, and 2 domestically manufactured variants named Standard Range and Long Range. The Standard Range (49kWh) has an estimated NEDC range of 423 km while the Long Range (64kWh) has an estimated NEDC range of 540 km on one full charge. Both versions feature an electric motor that churns out a peak output of 170 hp and 250 Nm torque. The Standard Range, the Long Range, and the XPower are priced from THB 709,900, THB 889,900, and THB 1,119,900, respectively.</t>
    <phoneticPr fontId="1"/>
  </si>
  <si>
    <t>https://www.marklines.com/en/global/3471</t>
    <phoneticPr fontId="1"/>
  </si>
  <si>
    <t>On March 25, the Tsinghua University-Toyota Joint Research Institute (the Institute) Phase II Signing Ceremony was held in Beijing. To continuously deepen these achievements, gain further achievements, and cultivate outstanding talented personnel, Toyota and Tsinghua University decided to proceed with the second phase of the Institute. For the second phase, the two parties plan to focus on studying subjects such as the environment, energy, carbon neutrality, autonomous driving, AI, and hydrogen energy from 2024 to 2029.</t>
    <phoneticPr fontId="1"/>
  </si>
  <si>
    <t>On March 28, multiple sources reported that Ford had reached an agreement with the Works Committee to produce a new model of passenger vehicle and maintain a sufficient workload at the Valencia plant. The company will share more information on this point in the coming weeks. The worker union along with the company will chair the next meeting on April 10, 2024, in Cologne (Germany), to delve into more details of the program. Once the company decides the number of units to be manufactured, as well as the employment it will guarantee, and the investment and launch dates, they will design the transit to be carried out until that car is a reality on the manufacturing lines.</t>
    <phoneticPr fontId="1"/>
  </si>
  <si>
    <t>https://www.marklines.com/en/global/9177</t>
    <phoneticPr fontId="1"/>
  </si>
  <si>
    <t>On March 27, FIM-CISL announced that Stellantis Italy has done 1,087 job cuts in several Italian factories. The most job cuts happened in Melfi with 500 workers, Pomigliano with 424 workers, Termoli with 121 workers, Cento with 30 workers, and Verrone with 12 workers. The total exits, including previous announcements, now reach 3,597 job cuts over the past two days. FIOM-CGIL union refuses to sign the agreement for incentivized exits. The situation is now leading to a united strike planned for April 12, 2024, in Turin and also prompts a call for government intervention, especially with meetings scheduled for next week. The union urges a meeting with the Prime Minister and Stellantis CEO to address the crisis.</t>
    <phoneticPr fontId="1"/>
  </si>
  <si>
    <t>https://www.marklines.com/en/global/1347</t>
    <phoneticPr fontId="1"/>
  </si>
  <si>
    <t>https://www.marklines.com/en/global/753</t>
    <phoneticPr fontId="1"/>
  </si>
  <si>
    <t>On March 27, Automotive Technologies announced that serial assembly of Citroen C5 Aircross crossovers started at the plant in Kaluga. The cars will arrive in the showrooms of official Citroen dealers in May 2024. The C5 Aircross is available with a 175 hp turbocharged gasoline engine. It has an 8-speed automatic transmission AISIN. Production of the Citroen C5 Aircross in the Kaluga region is carried out using the SKD-4 method from 800 groups of components and 1,700 parts.</t>
    <phoneticPr fontId="1"/>
  </si>
  <si>
    <t>On March 27, Valmet Automotive issued change negotiation proposals, based on financial and production-related grounds, to reduce personnel in the business lines at the Uusikaupunki plant. The change negotiations apply to production employees, salaried and senior salaried employees in the vehicle contract manufacturing, battery production business lines, and group functions. The automaker is considering temporary, part-time, and indefinite layoffs, changes in job descriptions, and a maximum of 10 terminations of jobs. The need for adjustments will be a maximum of 180 person-years. According to the automaker, the proposal was necessary, due to the challenges in the operating environment and a decrease in car production during the first half of 2024, leading to disruptions in the production chain, currently causing a two-week production halt at the car plant. The resulting financial problem is significant and could be critical if the situation continues.</t>
    <phoneticPr fontId="1"/>
  </si>
  <si>
    <t>On March 27, Nissan Motor Corporation announced its new global business plan under the Arc. During The Arc period, Nissan in India will launch three new models, and its alliance plant in Chennai (RNAIPL) will introduce two new Nissan SUVs and launch two SUVs for Renault. During this mid-term plan period, Nissan will continue the development of a new electric vehicle to be manufactured in Chennai. Further, India will join the UK as a key export hub for Nissan in AMIEO (Africa, Middle East, India, Europe, and Oceania). In the Middle East, five new Nissan SUVs will be introduced including the two new SUVs built and exported from India, and during the three years, African customers will also benefit from the two new SUVs launched from India.</t>
    <phoneticPr fontId="1"/>
  </si>
  <si>
    <t>https://www.marklines.com/en/global/9255</t>
    <phoneticPr fontId="1"/>
  </si>
  <si>
    <t>On March 27 it was announced that BMW has established May 3 as the date for the beginning of the construction of the high-voltage battery production center at its San Luis Potosi plant. The center will be located inside the plant that BMW already owns in the Mexican state of San Luis Potosi, requiring EUR 500 million out of the EUR 800 million announced last year for the project. The investment includes the expansion of the property, with the state government donating 20 additional hectares contiguous to the current surface.</t>
    <phoneticPr fontId="1"/>
  </si>
  <si>
    <t>On March 26, FIM-CISL announced that Stellantis Italy is letting go of 2,510 workers from its plants in Mirafiori, Cassino, and Pratola Serra. Most of these job cuts are happening in Turin accounts for 1,560 workers, followed by Cassino which is 850 workers (with 300 moving to the Pomigliano plant), and Pratola Serra for 100 workers. This will also affect companies that supply parts to Stellantis. The situation at Stellantis plants worsens, with Mirafiori is using safety nets like redundancy funds for the 500 BEV model and solidarity contracts for the Maserati line. Other sites are also using redundancy funds.</t>
    <phoneticPr fontId="1"/>
  </si>
  <si>
    <t>On March 25, Canoo, a high-tech advanced mobility company, completed the acquisition of a substantial portion of the advanced manufacturing assets of Arrival Automotive UK Limited. The purchased assets will be shipped to Canoo's manufacturing facilities in Oklahoma. The acquisition expands Canoo's capabilities to deliver its 2025 production at significantly lower costs. The assets purchased in this transaction will accelerate Canoo's transition to automated processes by shortening purchase lead times by over 40%, reducing capital expenditures by 20%, and lowering unit costs. Canoo expects to continue to pursue opportunistic investments and the purchase of advanced manufacturing equipment as it becomes available using a disciplined approach. The company might also utilize its recently approved Foreign Trade Zone to facilitate the purchase.</t>
    <phoneticPr fontId="1"/>
  </si>
  <si>
    <t>On March 25, Daihatsu Motor Co., Ltd. (Daihatsu) resumed shipments of the Daihatsu Tanto and the Subaru Corporation Chiffon (Tanto supplied on an OEM basis) at the Shiga (Ryuo) Plant 2nd District. The two models were the subject of Daihatsu's procedural irregularities in its certification application, and their shipment from the plant had been suspended since December 20, 2023. The Japanese Ministry of Land, Infrastructure, Transport and Tourism (MLIT) lifted the suspension order on March 11, and the company resumed shipments of vehicles that had already been produced but not yet shipped. Production of the two models is scheduled to resume on April 10.</t>
    <phoneticPr fontId="1"/>
  </si>
  <si>
    <t>On March 25, Daihatsu Motor Co., Ltd. (Daihatsu) resumed shipments at its Kyoto (Oyamazaki) plant of the Daihatsu Thor, Toyota Motor Corporation Roomy (Thor supplied on an OEM basis), and Subaru Corporation Justy (Thor supplied on an OEM basis). The three models were the subject of Daihatsu's procedural irregularities in certification application and their factory shipments had been suspended since December 20, 2023. The Japanese Ministry of Land, Infrastructure, Transport and Tourism (MLIT) lifted the suspension order on March 15, and the shipment of vehicles that had been produced but not yet shipped resumed. The date of resumption of production has not yet been determined.</t>
    <phoneticPr fontId="1"/>
  </si>
  <si>
    <t>Mazda Motor Corporation (Mazda) launched the partially upgraded “Scrum Van” mini-commercial vehicle and “Scrum Wagon” mini-passenger vehicle on March 25. With the upgrade, a CVT (continuously variable transmission) is newly available, improving fuel consumption performance and quietness. The CVT models are equipped with brake LSD traction control, which assists the driver in getting out of muddy and similar conditions. The CVT models are also available with electronically controlled part-time 4WD. All Scrum Wagon models are equipped with the CVT. The Scrum Van and Scrum Wagon are OEM-supplied vehicles based on Suzuki Motor Corporation (Suzuki)'s Every and Every Wagon, respectively. Suzuki had launched the Every and Every Wagon with partial specification changes in February.</t>
    <phoneticPr fontId="1"/>
  </si>
  <si>
    <t>On March 25, Neta Auto announced that its 400,000th production vehicle and the first Neta L SUVs recently officially rolled off the production line at Hozon New Energy Automobile Co., Ltd. in Tongxiang. Positioned as a family vehicle for young people, the Neta L is available in battery electric and range-extended variants. Breaking ground in January 2024, the Neta Auto Tongxiang No.2 final assembly plant is expected to be fully commissioned in May, with an annual production capacity of over 200,000 units. In 2024, Neta Auto plans to make deployments in 60 countries and regions outside China. By the end of the year, 5 models will be available in 50 countries worldwide.</t>
    <phoneticPr fontId="1"/>
  </si>
  <si>
    <t>https://www.marklines.com/en/global/10712</t>
    <phoneticPr fontId="1"/>
  </si>
  <si>
    <t>On March 23, FAW Jiefang announced its recent participation in a launch ceremony for a project on the establishment of the Greater Bay Area (GBA)’s first hydrogen corridor and a GBA conference on fuel cell technology and hydrogen energy industry development. At the ceremony, FAW Jiefang signed a special strategic cooperation framework agreement on hydrogen fuel cell logistics vehicles with Guangdong Guangsheng Hydrogen Energy Co., Ltd. for the development of finished vehicles, the operation of scenarios, the establishment of hydrogen corridors, the promotion of the hydrogen energy industry, and more.</t>
    <phoneticPr fontId="1"/>
  </si>
  <si>
    <t>https://www.marklines.com/en/global/9417</t>
    <phoneticPr fontId="1"/>
  </si>
  <si>
    <t>On March 21, BAIC Group launched the Mohe super electric drive solution, a new technology for New Energy off-road vehicles, and unveiled the new BJ30 electric 4WD off-road SUV, the first model to employ this technology. Powered by a Mohe 1.5T electric drive-dedicated engine, front and rear drive motors, a high-power battery, a highly integrated dedicated hybrid transmission, and an electronically controlled 4WD system, the BJ30 delivers a maximum power of 301kW, a peak torque of 685Nm, a combined fuel consumption of 6.45L/100km in 4WD mode, and a combined range of over 1,000km in 4WD mode. The BJ30 comes with features such as a Level 2.5 intelligent driver assistance system.</t>
    <phoneticPr fontId="1"/>
  </si>
  <si>
    <t>https://www.marklines.com/en/global/3925</t>
    <phoneticPr fontId="1"/>
  </si>
  <si>
    <t>Infiniti</t>
    <phoneticPr fontId="1"/>
  </si>
  <si>
    <t>https://www.marklines.com/en/global/475</t>
    <phoneticPr fontId="1"/>
  </si>
  <si>
    <t>On March 20, Nissan Motor Co., Ltd. (Nissan) unveiled the all-new QX80 for its Infiniti luxury car brand in the U.S. The all-new QX80 full-size SUV is powered by a VR35DDTT 3.5-liter twin-turbo engine (maximum output: 450hp, peak torque: 516 lb-ft), mated to a 9-speed automatic transmission. It is also the first Infiniti to feature ProPilot Assist 2.1, which enables hands-off driving on highways. The new QX80 will be manufactured by Nissan Shatai Kyushu Co., Ltd. and is scheduled to go on sale in the U.S. later summer 2024.</t>
    <phoneticPr fontId="1"/>
  </si>
  <si>
    <t>https://www.marklines.com/en/global/9252</t>
    <phoneticPr fontId="1"/>
  </si>
  <si>
    <t>On March 20, a project of DPCA on New Energy Vehicles (NEVs) and an industrial park for battery, motor, and electronic controller components was officially signed at an event in Chengdu. Located in Longquanyi District, this project is aimed at transforming and upgrading DPCA Chengdu Branch to an NEV manufacturer. For the first phase, three Dongfeng Motors Corporation in-house developed NEVs will be introduced, and the existing land will be used to build an industrial park for NEV battery, motor, and electronic controller components.</t>
    <phoneticPr fontId="1"/>
  </si>
  <si>
    <t>According to multiple press releases dated March 10, a Geely Holding Group subsidiary recently successfully acquired a land plot in Ningbo, Zhejiang to build the Geely New Energy Vehicle (NEV) project management headquarters. With a total investment amount of CNY 360 million and a land area of 13,666 square meters, this headquarters will come with functions such as R&amp;D, procurement, sales, after-sales services, manpower, finance, and administration upon completion.</t>
    <phoneticPr fontId="1"/>
  </si>
  <si>
    <t>According to Primearth EV Energy Co., Ltd. (Primearth EV Energy)'s official website, the company began production of automotive lithium-ion batteries at its Arai Plant (Kosai City, Shizuoka Prefecture) in February. </t>
    <phoneticPr fontId="1"/>
  </si>
  <si>
    <t>On March 27, Citroën unveiled the first images of Citroën Basalt Vision, a compact SUV Coupé concept that will join the Brand's range in India and South America in the second half of 2024. The new concept in the B segment is developed with the direct involvement of teams at headquarters and in each region. Citroën Basalt Vision is the 3rd model of the C-Cubed program and is part of the dedicated program of models developed and produced locally at the heart of their respective markets.</t>
    <phoneticPr fontId="1"/>
  </si>
  <si>
    <t>https://www.marklines.com/en/global/2403</t>
    <phoneticPr fontId="1"/>
  </si>
  <si>
    <t>On March 27, multiple sources reported that GM Korea has halted production at its Changwon plant due to a power outage caused by the failure of underground power line facilities on March 24. The plant, which currently builds around 1,000 Chevrolet Trax crossovers every day, is estimated to incur losses of KRW 20 billion (approximately USD 14.8 million) per day. All employees were asked to stay at home until production resumed.GM Korea and Gyeongsang Province have requested rapid recovery support from the Korea Electric Power Corporation (KEPCO), but it is expected to take a certain amount of time due to aging facilities that are over 30 years old.</t>
    <phoneticPr fontId="1"/>
  </si>
  <si>
    <t>On March 27, Volvo Cars announced that it had ended the production of diesel-powered cars. The company rolled off its last diesel-powered models, the V60 diesel car manufactured at the Ghent, Belgium plant, and the XC90 diesel model produced at its Torslanda, Sweden facility, in early February 2024. The final diesel-powered XC90 will be displayed and kept at the World of Volvo Museum in Gothenburg, Sweden. The company will continue to offer gasoline-powered models.</t>
    <phoneticPr fontId="1"/>
  </si>
  <si>
    <t>https://www.marklines.com/en/global/1921</t>
    <phoneticPr fontId="1"/>
  </si>
  <si>
    <t>On March 26, multiple sources reported that Mercedes Benz invested EUR 1 billion in the Vitoria plant, Spain to expand and redesign facilities, increasing from 696,000 to 800,000 square meters. The expansion aims to produce new electric vans starting in 2026, ensuring long-term viability and job security for its 4,700 direct workers. Construction, which began in 2023, is expected to finish by 2025.</t>
    <phoneticPr fontId="1"/>
  </si>
  <si>
    <t>On March 26, AvtoTOR signed an agreement with Rosatom for the creation of an assembly production of batteries for electric vehicles at the AvtoTOR site. This is the first time in Russia, an assembly production of batteries is being created at the site of an automobile plant. The production capacity will be up to 10 thousand pieces per year, with the possibility of further development. The commissioning of the new production site is planned approximately at the beginning of 2025. AvtoTOR will provide a 1,500-square-meter facility on which the batteries will be assembled.</t>
    <phoneticPr fontId="1"/>
  </si>
  <si>
    <t>On March 26 it was announced that Toyota in Argentina plans to reduce its staff by 400 employees using a voluntary retirement program due to decreased demand from export markets like Chile, Peru, and Colombia. Production in 2024 is expected to be 25,000 units lower than in 2023. This measure is part of the company's restructuring plan, which includes the reduction of overtime for remaining production line workers.</t>
    <phoneticPr fontId="1"/>
  </si>
  <si>
    <t>On March 26 it was announced that GM plant in Alvear, Argentina, will halt its production for the second time in the year, just 23 days after the resumption of operations at the plant on March 4. The shortage of auto parts from suppliers is the reason behind this stoppage in the activities at the plant, affecting around 1,200 employees. This halt will last from March 27 to April 14, resuming activities on Monday, April 15, 2024.</t>
    <phoneticPr fontId="1"/>
  </si>
  <si>
    <t>https://www.marklines.com/en/global/10160</t>
    <phoneticPr fontId="1"/>
  </si>
  <si>
    <t>On March 25, Ampere announced that the construction of the Innovation Battery Cell Laboratory had begun in March 2024 at the Renault Group Technical Center in Lardy, Essonne, France. It will be fully operational in the second half of 2025, supporting the development of the Renault Group's EVs. The laboratory will strengthen the group's expertise in evaluating cell suppliers' processes, identifying innovations, and ensuring optimal quality and production levels while controlling costs. With a surface area of 3,000 square metres, it will house over 120 pieces of equipment, including a 600 square metres anhydrous laboratory room. The building will cover two complementary activities: prototyping cells and electro-physico-chemical characterization, evaluating cell performance and behavior, including durability, fast charge, disassembly, and internal analysis of cells.</t>
    <phoneticPr fontId="1"/>
  </si>
  <si>
    <t>North Macedonia</t>
    <phoneticPr fontId="1"/>
  </si>
  <si>
    <t>On March 25, multiple sources reported that Van Hool is heading for bankruptcy with a possible relaunch afterward. The company also announced that implementation of the recovery plan, which was announced earlier, is no longer possible. According to the automaker, the company is in discussions with 3 potential European acquirers and does not want to decide until March 31, 2024. The company also highlighted that it would do its best to retain as many operations and employees as possible, but it depends on the potential buyer to decide.</t>
    <phoneticPr fontId="1"/>
  </si>
  <si>
    <t>On March 22, the Italian Federation of Metalworkers (FIOM-CGIL) announced that Stellantis plans to define a national trade union agreement on incentivized voluntary exits. The ongoing emptying of factories raises concerns, especially with no compensatory hiring of young workers, crucial for future prospects. The incentivized exodus procedure, discussed during the automotive roundtable with MIMIT and strongly pushed by FIOM-CGIL, aims to address the sector's crisis exacerbated by Stellantis' strategic choices in Italy. The union opposes this approach and refuses to sign the union agreement. Consequently, an 8-hour strike for the automotive sector is scheduled for April 12, 2024, in Turin to demand a sustainable industrial future, employment, and dignified work conditions.</t>
    <phoneticPr fontId="1"/>
  </si>
  <si>
    <t>On March 22, Nissan Motor Co., Ltd. announced that it will expand the lineup of its all-new "Atlas" truck (F26 type), which underwent a full model change in October 2023. Specifically, the double cab versions and 1.55t class versions (maximum payload capacity of 1.55t) will be added to the lineup and will be released in May. The 2.0t class 2WD versions (maximum payload capacity of 2t-4.6t) were already released in October 2023. The "Atlas" is an OEM consignment production model based on Isuzu Motors's "Elf" produced at Isuzu's Fujisawa Plant.</t>
    <phoneticPr fontId="1"/>
  </si>
  <si>
    <t>https://www.marklines.com/en/global/10250</t>
    <phoneticPr fontId="1"/>
  </si>
  <si>
    <t>On March 22, Xitadel announced its collaboration with Mercedes-Benz Research &amp; Development India (MBRDI) on the state-of-the-art engineering and simulation center located at its engineering headquarters in Bangalore. Together, the companies will be enhancing their capabilities for the future of automotive innovation.</t>
    <phoneticPr fontId="1"/>
  </si>
  <si>
    <t>On March 22, Indus Motor Company (IMC), the maker of Toyota in Pakistan launched the standard gasoline variants of Corolla Cross priced between PKR 8.2 million and PKR 8.9 million. It comes with a 1,798cc gasoline engine, which produces 138 hp at 6400 RPMs and 172 Nm of torque at 4,000 RPMs, mated with a continuously variable transmission (CVT).</t>
    <phoneticPr fontId="1"/>
  </si>
  <si>
    <t>On March 21, Toyota Motor Corporation announced that it will launch its evolved GR Yaris sports car in Japan on April 8. The evolved GR Yaris is now equipped with the newly developed GAZOO Racing Direct Automatic Transmission (GR-DAT) 8-speed AT. The cockpit also features improved visibility and operability. The control panel and display are tilted at a 15-degree angle toward the driver, and the switches are positioned for ease of use even when the driver's body is secured to the seat by a harness. The GR Yaris is manufactured at the Motomachi Plant.</t>
    <phoneticPr fontId="1"/>
  </si>
  <si>
    <t>https://www.marklines.com/en/global/3553</t>
    <phoneticPr fontId="1"/>
  </si>
  <si>
    <t>Gansu</t>
  </si>
  <si>
    <t>On March 21, ZD officially unveiled the Rainbow micro electric vehicle (EV), its first model. To be launched in April. It is powered by a 30kW motor and delivers a range of 205km. The company recently completed strategic reorganization and brand renewal, with investors including Geely Auto Group and Aima Technology Group. Its future focus will remain on the micro EV market.</t>
    <phoneticPr fontId="1"/>
  </si>
  <si>
    <t>https://www.marklines.com/en/global/3941</t>
    <phoneticPr fontId="1"/>
  </si>
  <si>
    <t>On March 21, King Long and National Gold Engineering Corporation of China signed a strategic cooperation framework agreement. The two parties will deepen cooperation in areas such as digital mines, green mines, New Energy heavy-duty trucks, and unmanned mining truck applications to co-build a green and intelligent industrial ecosystem.</t>
    <phoneticPr fontId="1"/>
  </si>
  <si>
    <t>Bentley</t>
    <phoneticPr fontId="1"/>
  </si>
  <si>
    <t>https://www.marklines.com/en/global/1378</t>
    <phoneticPr fontId="1"/>
  </si>
  <si>
    <t>On March 19, multiple sources reported that Bentley delayed the launch of its first battery-electric car, pushing back the target to go all-electric by 2030 and focusing more on plug-in hybrid versions. Despite the delay, Bentley remains committed to its strategy of shifting to electric-only vehicles. The company will unveil its first full-electric car in 2026, with deliveries starting in 2027 due to technical issues and software problems. The Beyond 100 plan has been postponed to prioritize plug-in hybrid models.</t>
    <phoneticPr fontId="1"/>
  </si>
  <si>
    <t>On March 18, Daihatsu Motor Co., Ltd. resumed production of three models including the "Rocky" at its  Shiga (Ryuo) Plant 2nd District, which had been suspended due to the certification fraud issue. The three models are the gasoline version of the Daihatsu "Rocky," the gasoline version of the Toyota "Raize," and the Subaru "Rex. The vehicles that had been produced before the plant shutdown but not yet shipped (the same three models) have already resumed shipments on March 4.</t>
    <phoneticPr fontId="1"/>
  </si>
  <si>
    <t>On March 15, the Ministry of Land, Infrastructure, Transport and Tourism (MLIT) announced that it has lifted its order to suspend shipments of three compact passenger car models: the Daihatsu Motor Co., Ltd. "Thor", the Toyota Motor Corporation "Roomy" (Thor-based OEM consignment production vehicle), and the Subaru Corporation "Justy" (Thor-based OEM consignment production vehicle). The three models are the subject of Daihatsu's certification fraud and their production and shipment from the Kyoto (Oyamazaki) Plant has been suspended since late December 2023. Daihatsu will work closely with suppliers and sales companies to resume production and shipments as soon as preparations are ready.</t>
    <phoneticPr fontId="1"/>
  </si>
  <si>
    <t>On March 14, Mitsubishi Motors Corporation (MMC) began sales of the partially redesigned "Minicab Van" mini commercial vehicle and "Town Box" mini passenger car in Japan. In this improvement, some grades of the Minicab Van and all grades of Town Box are equipped with a CVT for improved fuel economy, while the CVT models feature electronically controlled 4WD and a muddy road escape assist system. The Minicab Van and Town Box are OEM consignment production vehicles based on Suzuki Motor's Every and Every Wagon, respectively. Suzuki Motor already launched the partially redesigned "Every" and "Every Wagon" in February.</t>
    <phoneticPr fontId="1"/>
  </si>
  <si>
    <t>On March 13, multiple sources reported that Avtozavod St. Petersburg LLC (former Nissan plant in St. Petersburg) presented the new locally assembled car XCITE X-Cross 7. It will produce up to 25 thousand Xcite X-Cross 7 cars by the end of 2024. The car has a 1.5-liter gasoline turbo engine. It produces 147 hp of power and 210 nm of torque. The maximum speed is 186 km/h. The model is similar to the Chinese model Chery Tiggo 7 Pro. The start of sales is planned for the end of April 2024.</t>
    <phoneticPr fontId="1"/>
  </si>
  <si>
    <t>On March 25, the Ministry of Industry and Tourism, Spain announced that new projects were approved by Industry within line B of PERTE VEC II. Stellantis Figueruelas has obtained EUR 54.4 million of financing for 8 projects for the development of innovation processes for the manufacture of electric vehicles in the area of bodywork, and technological solutions in painting and assembly.</t>
    <phoneticPr fontId="1"/>
  </si>
  <si>
    <t>On March 25, Northvolt started construction of the battery gigafactory Northvolt Drei. The gigafactory will have 110 hectares of land at the industrial site outside the city of Heide, district of Dithmarschen, in Northern Germany. It will employ roughly 3000 people with a maximum annual production capacity of 60 GWh, commencing first operations in 2026. The gigafactory will utilize the renewable energy from wind power accessible in the region known to host Germany's first wind park, delivering on Northvolt's mission to mass produce the world's greenest batteries for the automotive, industrial, and energy sectors.</t>
    <phoneticPr fontId="1"/>
  </si>
  <si>
    <t>https://www.marklines.com/en/global/2189</t>
    <phoneticPr fontId="1"/>
  </si>
  <si>
    <t>On March 25, Porsche announced that it is streamlining logistics at its Zuffenhausen plant with the MHP FleetExecuter, aiming to enhance production efficiency and flexibility. This marks the first centralized fleet management system in Porsche, integrated into existing IT infrastructure for process automation. The cloud-based solution is deployed at Zuffenhausen's main plants. Plans include expanding its use to manufacturing the Taycan and deploying several hundred vehicles across various AGV fleets with over 300 functions. Currently, 27 Automated Guided Vehicles (AGVs) handle up to 1600 material transports daily, coordinated by the MHP FleetExecuter. It manages new and older assets, negotiating automatic gates, lift systems, and third-party systems. Despite involving multiple parties and connections to internal and external systems, the FleetExecuter was operational on schedule, with plants 2 and 3 at Zuffenhausen going live in June 2023.</t>
    <phoneticPr fontId="1"/>
  </si>
  <si>
    <t>On March 25, Fisker said talks with a large automaker, expected to be Nissan, for a potential transaction have been terminated, leading it to search for strategic options, including in- or out-of-court restructurings, and capital markets transactions. Fisker also said that it will be unable to meet a closing condition to raise up to USD 150 million in funding. The company moved to a dealer-partner model earlier in 2024, after delivering less than half of the vehicles produced by Magna-Steyr in Graz, Austria in 2023.</t>
    <phoneticPr fontId="1"/>
  </si>
  <si>
    <t>On March 25, Polestar announced that the total cradle-to-gate carbon footprint of Polestar’s first electric performance SUV, Polestar 3, is lower than that of the smaller Polestar 2 when it was launched in 2020. 81% of Polestar 3’s total aluminum production, the Li-ion battery cell module production as well as anode and cathode material production use 100% renewable electricity. Volvo Cars’ Chengdu factory in China and the plant in Ridgeville, South Carolina, use 100% renewable electricity.</t>
    <phoneticPr fontId="1"/>
  </si>
  <si>
    <t>On March 25, the National Labor Relations Board (NLRB) said that workers at Volkswagen’s plant in Chattanooga, Tennessee will vote from April 17 to 19 on whether they want to be represented by the United Auto Workers union. The union has come close to representing workers at the VW plant in two previous elections in 2014 and 2019.</t>
    <phoneticPr fontId="1"/>
  </si>
  <si>
    <t>On March 22, Honda Cars India Ltd. (HCIL), launched the Made-in-India Elevate SUV in the Japanese market under the brand name WR-V. It is the first time in HCIL's business that a model is being exported from India to Japan. The model was unveiled as a Honda WR-V in Japan in December 2023. HCIL has been exporting models in its line-up to left-hand drive markets in Turkey, Mexico, and the Middle East and right-hand drive markets in Nepal, Bhutan, South Africa, and SADC countries.</t>
    <phoneticPr fontId="1"/>
  </si>
  <si>
    <t>On March 21, multiple sources reported that Ford Valencia Plant in Almussafes will extend the ERTE (Temporary Employment Regulation File) at the plant until April 19, 2024. It will affect a maximum of 700 people per day in the vehicle plant. April 17, 2024, will be the last day of production of the Transit van. Besides, the Kuga model will not increase its production due to "supplier problems" until that day. In the engine assembly plant, the ERTE days will be on 27 and 28 of March, as well as 8, 15, and 19 of April, while in machining they will be on 28 of March and 13, 14, 15 and 19 April.</t>
    <phoneticPr fontId="1"/>
  </si>
  <si>
    <t>On March 21, SEAT S.A. announced its plans to launch improved plug-in hybrid and fuel-efficient cars until the end of the combustion era. The Arona and Ibiza models will receive facelift versions in 2025, and an updated SEAT Leon is set to launch soon with technical and technological upgrades. The Ateca will also receive updates and its lifecycle extended. In 2024, CUPRA introduces the Tavascan, its second all-electric model, and the electrified SUV, Terramar. Updated versions of the Leon and Formentor models are also in the pipeline. The company is establishing a battery system assembly plant in Martorell and from September 2024 onwards it will transform Line 1 at its facilities for production of the CUPRA Raval and Volkswagen ID.2all.</t>
    <phoneticPr fontId="1"/>
  </si>
  <si>
    <t>https://www.marklines.com/en/global/10464</t>
    <phoneticPr fontId="1"/>
  </si>
  <si>
    <t>On March 21, Farasis Energy Europe, a subsidiary of Farasis Energy, a leading developer and manufacturer of battery technology, announced that it is planning to introduce its next generation of cells in 2024 and expand production to 50,000 packs. The company and the Turkish car manufacturer Togg also have a battery plant in Gemlik, Turkey, with a production capacity of 8 GWh and over 700 employees. The company also plans to increase the plant's production capacity to 20 GWh/a by 2031.</t>
    <phoneticPr fontId="1"/>
  </si>
  <si>
    <t>On March 21, VW China, together with its joint ventures SAIC-VW, FAW-VW, and VW Anhui, plus its Chinese component plants, signed Memoranda of Understanding for cooperation on renewable electricity with China Datang Corporation and CGN New Energy, respectively. The partnerships aim to enhance the deployment of renewable electricity throughout VW Group’s production processes in China. According to the plan, the group’s production facilities in the country are set to use 100% renewable or clean electricity by 2030. VW Group is firmly committed to the Paris Agreement and aims to become net carbon neutral by 2050. With the “goTOzero” environmental mission statement, VW China will continue to implement a series of initiatives to create “Zero Impact Factories” in support of the 2050 target.</t>
    <phoneticPr fontId="1"/>
  </si>
  <si>
    <t>https://www.marklines.com/en/global/3341</t>
    <phoneticPr fontId="1"/>
  </si>
  <si>
    <t>On March 21, Guangxi Auto Group signed a strategic cooperation framework agreement with Guangxi Modern Logistics Group Co., Ltd. (GMLG) to jointly establish a new ecosystem for the New Energy industry. The two parties will cooperate in areas such as application of supercomputing technology in finished vehicle intelligent manufacturing and simulation experiments; testing of vehicles; co-construction of test sites; and vocational education.</t>
    <phoneticPr fontId="1"/>
  </si>
  <si>
    <t>https://www.marklines.com/en/global/1155</t>
    <phoneticPr fontId="1"/>
  </si>
  <si>
    <t>On March 21, Senior leaders from Ford Global met Tamil Nadu's governments to undertake a study to explore the future use of the Chennai manufacturing facility. It also thanked the government for its continued support of its business solutions team based out at its Global Technology &amp; Business Center which is also headquartered in Chennai. It mentioned its plans to create 2,500-3,000 additional jobs over the next three years.</t>
    <phoneticPr fontId="1"/>
  </si>
  <si>
    <t>https://www.marklines.com/en/global/10142</t>
    <phoneticPr fontId="1"/>
  </si>
  <si>
    <t>https://www.marklines.com/en/global/1153</t>
    <phoneticPr fontId="1"/>
  </si>
  <si>
    <t>On March 20, the Board of Directors of GAC Group approved the transfer of 100% equity interests in Hunan Zhixiang Automobile Management Co., Ltd. (HZAM, formerly GMMC), a subsidiary, to GAC Aion, a wholly-owned subsidiary, at CNY 191 million. While being assigned with 100% equity interests in HZAM, GAC Aion needs to inject a CNY 1.858 billion capital into the company, which, according to a GAC Group Shanghai Stock Exchange (SSE) announcement, will be self-raised. These two funds aggregate to CNY 2.049 billion.</t>
    <phoneticPr fontId="1"/>
  </si>
  <si>
    <t>https://www.marklines.com/en/global/8808</t>
    <phoneticPr fontId="1"/>
  </si>
  <si>
    <t>On March 20, Farizon signed a cooperation framework agreement with the Chaoyang Municipal People’s Government of Liaoning Province (the Government) and Windey Energy Technology Group Co., Ltd. (Windey) and discussed the development of Chaoyang’s New Energy industry with Liaoning Aerospace Linghe Automobile Co., Ltd. (Linghe Auto). Farizon, the Government, and Windey will focus on utilization of wind power and photovoltaic resources, establishment of a methanol and hydrogen ecosystem. They will establish a demonstration area for the promotion and application of methanol- and hydrogen-powered electric vehicles, promote investment in and construction of the methanol refueling and trading systems, introduce green methanol preparation projects, and strengthen cooperation on the industrial and supply chains. Linghe Auto will partner with Farizon to expand the market, develop markets based on self-owned resources, and promote the establishment of the methanol and hydrogen ecosystem.</t>
    <phoneticPr fontId="1"/>
  </si>
  <si>
    <t>On March 20, Leapmotor announced the recent official signing of an agreement for another round of strategic cooperation with Baoshan Iron &amp; Steel Co., Ltd. (Baosteel). According to Leapmotor, Baosteel’s experience in carbon reduction and development outside China is of great benefit for promoting its plans for non-Chinese markets such as the EU and the Middle East. The two parties discussed topics such as vehicle bodies and motors in depth to further deepen their strategic partnership.</t>
    <phoneticPr fontId="1"/>
  </si>
  <si>
    <t>On March 20, FAW Hongqi officially launched the new EH7 midsize 5-seater battery electric sedan. The EH7 employs an in-house developed electric drive system, with a top speed of 190km/h. The RWD variants are equipped with an in-house developed 75kWh, 85kWh, or 111kWh battery, delivering a maximum motor power of 253kW, a peak motor torque of 450Nm, and a CLTC combined range of 600km, 690km, or 820km. The 4WD variants are equipped with an in-house developed 85kWh or 111kWh battery, delivering a maximum motor power of 455kW (front 202kW and rear 253kW), a peak motor torque of 756Nm, a CLTC combined range of 640km or 670km.</t>
    <phoneticPr fontId="1"/>
  </si>
  <si>
    <t>On March 20, Neta Auto became a key business partner to the Hong Kong Government. The Hong Kong Government will offer Neta Auto an HKD 200 million subsidy and a USD 200 million cornerstone investment. Neta Auto has established a center in Hong Kong and is establishing intelligent R&amp;D and big data centers outside China as planned to custom develop localized intelligent New Energy Vehicles for users outside China. It plans to build a manufacturing plant in Hong Kong as well.</t>
    <phoneticPr fontId="1"/>
  </si>
  <si>
    <t>Tesla instructed employees at its Gigafactory Shanghai in early March to lower production of both the Model Y and Model 3 by working five days a week instead of the usual 6 1/2 days, according to people familiar with the matter, though some of the production lines, including the battery workshops, are subject to longer suspensions. Tesla has told staff and some suppliers to be prepared for extended production limits through April.</t>
    <phoneticPr fontId="1"/>
  </si>
  <si>
    <t>On March 21, Volvo Trucks North America revealed details of the all-new Volvo VNL that has gone into production at the New River Valley plant in Virginia. The new Volvo VNL introduces an advanced idle management system, featuring the ultra-quiet Volvo Parking Cooler, which leverages battery power to operate the cab’s HVAC system when parked overnight, eliminating engine idling. The cab features all-new overlapping curtains with magnetic seal that includes both windshield and bunk curtains with an optional thermal barrier for warmer or colder locations.  An optional 9-inch infotainment center can scroll through seven exterior camera views, with protective covers that open when each camera is selected.</t>
    <phoneticPr fontId="1"/>
  </si>
  <si>
    <t>On March 20, the Unifor union representing 3,000 hourly workers at Ford Motor Co.’s assembly plant in Oakville, Ontario, said it is seeking answers from the company following reports that the company is delaying production of three-row EVs at the renamed Oakville Electric Vehicle Complex expected to go on sale in early 2025, and is now to launch an affordable EV on a small vehicle platform by late 2026 at Ford’s plant in Louisville, Kentucky. In a January 20 update, the union said it was informed by the automaker that Ford Edge production at the plant was scheduled to end April 26 for the revamp of facilities, but it now wants clarification as it is only five weeks away.</t>
    <phoneticPr fontId="1"/>
  </si>
  <si>
    <t>https://www.marklines.com/en/global/869</t>
    <phoneticPr fontId="1"/>
  </si>
  <si>
    <t>On March 19, it was announced that the National Union of Automotive Industry Workers, SINTTIA and GM Silao agreed to a 9.2% direct salary increase. This negotiation began in January with the call for a strike and progressed through different stages until an agreement was reached between both parties. The implementation of these changes still must be approved by workers. Voting will take place during the first week of April.</t>
    <phoneticPr fontId="1"/>
  </si>
  <si>
    <t>VW Truck &amp; Bus / VWCO (TRATON)</t>
    <phoneticPr fontId="1"/>
  </si>
  <si>
    <t>https://www.marklines.com/en/global/2881</t>
    <phoneticPr fontId="1"/>
  </si>
  <si>
    <t>On March 18, VW Trucks and Buses Brazil announced that Carese will operate production of its cab frame modules starting April 15 at its Resende plant. Carese will replace Aethra Automotive Systems, absorbing both activities and employees. The company will begin the assembly of the cabins, carrying out the entire welding and sheet metal finishing process, in addition to the surface preparation and painting work.</t>
    <phoneticPr fontId="1"/>
  </si>
  <si>
    <t>On March 15, The Independent Union of Volkswagen Automotive Workers, SITIAVW, announced that WV would pause production of the Tiguan model from March 11, so workers in that segment (C) would be out of work. Through a statement, the SITIAVW announced the negotiation with VW so that the 668 employees of the Tiguan production line would be moved to the Jetta model line, where they will begin work from March 19 for 5 weeks. After that date, they will return to their normal work schedule. The reason for the Tiguan production halt has not been officially announced.</t>
    <phoneticPr fontId="1"/>
  </si>
  <si>
    <t>Isuzu Motors Limited (Isuzu) has newly added the Elfmio EV, which has a gross vehicle weight of less than 3.5 tons, to its light electric truck (EV) Elf EV lineup, and sales began in Japan on January 5. The vehicle price is not disclosed because it will be sold on a lease basis. It is produced at its Fujisawa Plant. In Japan, a cap on overtime work for truck drivers (960 hours per year) will be applied from April, and there are concerns that logistics will stagnate (the 2024 problem). By introducing a small EV truck with a gross vehicle weight of less than 3.5 tons that can be driven with a regular driver's license, the company aims to broaden the range of drivers and contribute to addressing the 2024 problem. According to the announcement, the body size of the main Elfmio EV model is 4,690mm long, 1,695mm wide, and 1,965mm high. Equipped with a 40kWh lithium-ion battery, it can travel 115km on a single charge (WLTC mode). Despite its small size, it is equipped with advanced safety equipment and driving assist functions such as all-speed inter-vehicle cruise and a driver emergency response system. Isuzu plans to release the "Elfmio" equipped with a diesel engine around the summer of 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</si>
</sst>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8"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b/>
      <sz val="11"/>
      <color theme="1"/>
      <name val="ＭＳ Ｐゴシック"/>
      <family val="3"/>
      <charset val="128"/>
      <scheme val="minor"/>
    </font>
    <font>
      <sz val="11"/>
      <name val="ＭＳ Ｐゴシック"/>
      <family val="3"/>
      <charset val="128"/>
      <scheme val="minor"/>
    </font>
    <font>
      <sz val="11"/>
      <name val="ＭＳ Ｐゴシック"/>
      <family val="3"/>
      <charset val="128"/>
    </font>
    <font>
      <u/>
      <sz val="10"/>
      <color theme="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6">
    <xf numFmtId="0" fontId="0" fillId="0" borderId="0" xfId="0">
      <alignment vertical="center"/>
    </xf>
    <xf numFmtId="176" fontId="0" fillId="0" borderId="0" xfId="0" applyNumberForma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xf>
    <xf numFmtId="0" fontId="3" fillId="2" borderId="0" xfId="0" applyFont="1" applyFill="1" applyAlignment="1">
      <alignment horizontal="left" vertical="center"/>
    </xf>
    <xf numFmtId="176" fontId="0" fillId="0" borderId="0" xfId="0" applyNumberFormat="1" applyAlignment="1">
      <alignment horizontal="left" vertical="center"/>
    </xf>
    <xf numFmtId="0" fontId="3" fillId="2" borderId="0" xfId="0" applyFont="1" applyFill="1">
      <alignment vertical="center"/>
    </xf>
    <xf numFmtId="14" fontId="4" fillId="0" borderId="0" xfId="0" applyNumberFormat="1" applyFont="1" applyAlignment="1">
      <alignment horizontal="left" vertical="center"/>
    </xf>
    <xf numFmtId="0" fontId="4" fillId="0" borderId="0" xfId="0" applyFont="1">
      <alignment vertical="center"/>
    </xf>
    <xf numFmtId="0" fontId="2" fillId="0" borderId="0" xfId="1" applyAlignment="1" applyProtection="1">
      <alignment vertical="center"/>
    </xf>
    <xf numFmtId="176" fontId="4" fillId="0" borderId="0" xfId="0" applyNumberFormat="1" applyFont="1" applyAlignment="1">
      <alignment horizontal="left" vertical="center"/>
    </xf>
    <xf numFmtId="14" fontId="5" fillId="0" borderId="0" xfId="0" applyNumberFormat="1" applyFont="1" applyAlignment="1">
      <alignment horizontal="left" vertical="center"/>
    </xf>
    <xf numFmtId="0" fontId="5" fillId="0" borderId="0" xfId="0" applyFont="1">
      <alignment vertical="center"/>
    </xf>
    <xf numFmtId="0" fontId="6" fillId="0" borderId="0" xfId="1" applyFont="1" applyAlignment="1" applyProtection="1">
      <alignment vertical="center"/>
    </xf>
    <xf numFmtId="176" fontId="5" fillId="0" borderId="0" xfId="0" applyNumberFormat="1" applyFont="1" applyAlignment="1">
      <alignment horizontal="left" vertical="center"/>
    </xf>
    <xf numFmtId="0" fontId="7"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94"/>
  <sheetViews>
    <sheetView tabSelected="1" zoomScaleNormal="100" workbookViewId="0"/>
  </sheetViews>
  <sheetFormatPr defaultRowHeight="13.5" x14ac:dyDescent="0.15"/>
  <cols>
    <col min="1" max="1" width="12.875" customWidth="1"/>
    <col min="2" max="2" width="18.75" bestFit="1" customWidth="1"/>
    <col min="3" max="3" width="14.875" bestFit="1" customWidth="1"/>
    <col min="4" max="4" width="39.375" customWidth="1"/>
    <col min="6" max="6" width="22.25" bestFit="1" customWidth="1"/>
    <col min="7" max="7" width="14.25" bestFit="1" customWidth="1"/>
    <col min="8" max="8" width="14.875" bestFit="1" customWidth="1"/>
    <col min="9" max="9" width="13.75" style="5" bestFit="1" customWidth="1"/>
    <col min="10" max="10" width="62.875" customWidth="1"/>
  </cols>
  <sheetData>
    <row r="1" spans="1:10" x14ac:dyDescent="0.15">
      <c r="D1" t="s">
        <v>8</v>
      </c>
      <c r="I1" s="1"/>
    </row>
    <row r="2" spans="1:10" x14ac:dyDescent="0.15">
      <c r="A2" s="6" t="s">
        <v>5</v>
      </c>
      <c r="B2" s="2" t="s">
        <v>4</v>
      </c>
      <c r="C2" s="2" t="s">
        <v>3</v>
      </c>
      <c r="D2" s="2" t="s">
        <v>9</v>
      </c>
      <c r="E2" s="2" t="s">
        <v>2</v>
      </c>
      <c r="F2" s="2" t="s">
        <v>1</v>
      </c>
      <c r="G2" s="2" t="s">
        <v>0</v>
      </c>
      <c r="H2" s="2" t="s">
        <v>10</v>
      </c>
      <c r="I2" s="3" t="s">
        <v>6</v>
      </c>
      <c r="J2" s="4" t="s">
        <v>7</v>
      </c>
    </row>
    <row r="3" spans="1:10" s="15" customFormat="1" x14ac:dyDescent="0.15">
      <c r="A3" s="11">
        <v>45380</v>
      </c>
      <c r="B3" s="12" t="s">
        <v>252</v>
      </c>
      <c r="C3" s="12" t="s">
        <v>252</v>
      </c>
      <c r="D3" s="13" t="str">
        <f>HYPERLINK("https://www.marklines.com/en/global/175","Renault S.A., Sandouville Plant")</f>
        <v>Renault S.A., Sandouville Plant</v>
      </c>
      <c r="E3" s="12" t="s">
        <v>1596</v>
      </c>
      <c r="F3" s="12" t="s">
        <v>16</v>
      </c>
      <c r="G3" s="12" t="s">
        <v>285</v>
      </c>
      <c r="H3" s="12"/>
      <c r="I3" s="14">
        <v>45380</v>
      </c>
      <c r="J3" s="12" t="s">
        <v>1597</v>
      </c>
    </row>
    <row r="4" spans="1:10" s="15" customFormat="1" x14ac:dyDescent="0.15">
      <c r="A4" s="11">
        <v>45380</v>
      </c>
      <c r="B4" s="12" t="s">
        <v>582</v>
      </c>
      <c r="C4" s="12" t="s">
        <v>582</v>
      </c>
      <c r="D4" s="13" t="str">
        <f>HYPERLINK("https://www.marklines.com/en/global/175","Renault S.A., Sandouville Plant")</f>
        <v>Renault S.A., Sandouville Plant</v>
      </c>
      <c r="E4" s="12" t="s">
        <v>1596</v>
      </c>
      <c r="F4" s="12" t="s">
        <v>16</v>
      </c>
      <c r="G4" s="12" t="s">
        <v>285</v>
      </c>
      <c r="H4" s="12"/>
      <c r="I4" s="14">
        <v>45380</v>
      </c>
      <c r="J4" s="12" t="s">
        <v>1597</v>
      </c>
    </row>
    <row r="5" spans="1:10" s="15" customFormat="1" x14ac:dyDescent="0.15">
      <c r="A5" s="11">
        <v>45380</v>
      </c>
      <c r="B5" s="12" t="s">
        <v>28</v>
      </c>
      <c r="C5" s="12" t="s">
        <v>35</v>
      </c>
      <c r="D5" s="13" t="str">
        <f>HYPERLINK("https://www.marklines.com/en/global/2261","Volkswagen AG, Wolfsburg Plant")</f>
        <v>Volkswagen AG, Wolfsburg Plant</v>
      </c>
      <c r="E5" s="12" t="s">
        <v>1478</v>
      </c>
      <c r="F5" s="12" t="s">
        <v>16</v>
      </c>
      <c r="G5" s="12" t="s">
        <v>208</v>
      </c>
      <c r="H5" s="12"/>
      <c r="I5" s="14">
        <v>45380</v>
      </c>
      <c r="J5" s="12" t="s">
        <v>1598</v>
      </c>
    </row>
    <row r="6" spans="1:10" s="15" customFormat="1" x14ac:dyDescent="0.15">
      <c r="A6" s="11">
        <v>45380</v>
      </c>
      <c r="B6" s="12" t="s">
        <v>36</v>
      </c>
      <c r="C6" s="12" t="s">
        <v>36</v>
      </c>
      <c r="D6" s="13" t="str">
        <f>HYPERLINK("https://www.marklines.com/en/global/10614","Automotive Cell Company (ACC), Douvrin/Billy-Berclau Plant")</f>
        <v>Automotive Cell Company (ACC), Douvrin/Billy-Berclau Plant</v>
      </c>
      <c r="E6" s="12" t="s">
        <v>311</v>
      </c>
      <c r="F6" s="12" t="s">
        <v>16</v>
      </c>
      <c r="G6" s="12" t="s">
        <v>285</v>
      </c>
      <c r="H6" s="12"/>
      <c r="I6" s="14">
        <v>45379</v>
      </c>
      <c r="J6" s="12" t="s">
        <v>1599</v>
      </c>
    </row>
    <row r="7" spans="1:10" s="15" customFormat="1" x14ac:dyDescent="0.15">
      <c r="A7" s="11">
        <v>45380</v>
      </c>
      <c r="B7" s="12" t="s">
        <v>252</v>
      </c>
      <c r="C7" s="12" t="s">
        <v>252</v>
      </c>
      <c r="D7" s="13" t="str">
        <f>HYPERLINK("https://www.marklines.com/en/global/2907","Renault do Brasil S.A., Curitiba/Sao Jose dos Pinhais Plant")</f>
        <v>Renault do Brasil S.A., Curitiba/Sao Jose dos Pinhais Plant</v>
      </c>
      <c r="E7" s="12" t="s">
        <v>1600</v>
      </c>
      <c r="F7" s="12" t="s">
        <v>66</v>
      </c>
      <c r="G7" s="12" t="s">
        <v>67</v>
      </c>
      <c r="H7" s="12"/>
      <c r="I7" s="14">
        <v>45379</v>
      </c>
      <c r="J7" s="12" t="s">
        <v>1601</v>
      </c>
    </row>
    <row r="8" spans="1:10" s="15" customFormat="1" x14ac:dyDescent="0.15">
      <c r="A8" s="11">
        <v>45380</v>
      </c>
      <c r="B8" s="12" t="s">
        <v>350</v>
      </c>
      <c r="C8" s="12" t="s">
        <v>646</v>
      </c>
      <c r="D8" s="13" t="str">
        <f>HYPERLINK("https://www.marklines.com/en/global/8736","SAIC General Motors Co., Ltd. Wuhan Branch")</f>
        <v>SAIC General Motors Co., Ltd. Wuhan Branch</v>
      </c>
      <c r="E8" s="12" t="s">
        <v>1602</v>
      </c>
      <c r="F8" s="12" t="s">
        <v>18</v>
      </c>
      <c r="G8" s="12" t="s">
        <v>24</v>
      </c>
      <c r="H8" s="12" t="s">
        <v>76</v>
      </c>
      <c r="I8" s="14">
        <v>45378</v>
      </c>
      <c r="J8" s="12" t="s">
        <v>1603</v>
      </c>
    </row>
    <row r="9" spans="1:10" s="15" customFormat="1" x14ac:dyDescent="0.15">
      <c r="A9" s="11">
        <v>45380</v>
      </c>
      <c r="B9" s="12" t="s">
        <v>21</v>
      </c>
      <c r="C9" s="12" t="s">
        <v>21</v>
      </c>
      <c r="D9" s="13" t="str">
        <f>HYPERLINK("https://www.marklines.com/en/global/2569","Ford Motor, Michigan Assembly Plant")</f>
        <v>Ford Motor, Michigan Assembly Plant</v>
      </c>
      <c r="E9" s="12" t="s">
        <v>623</v>
      </c>
      <c r="F9" s="12" t="s">
        <v>15</v>
      </c>
      <c r="G9" s="12" t="s">
        <v>11</v>
      </c>
      <c r="H9" s="12" t="s">
        <v>505</v>
      </c>
      <c r="I9" s="14">
        <v>45378</v>
      </c>
      <c r="J9" s="12" t="s">
        <v>1604</v>
      </c>
    </row>
    <row r="10" spans="1:10" s="15" customFormat="1" x14ac:dyDescent="0.15">
      <c r="A10" s="11">
        <v>45380</v>
      </c>
      <c r="B10" s="12" t="s">
        <v>21</v>
      </c>
      <c r="C10" s="12" t="s">
        <v>21</v>
      </c>
      <c r="D10" s="13" t="str">
        <f>HYPERLINK("https://www.marklines.com/en/global/10376","Ford Motor, Rouge Electric Vehicle Center")</f>
        <v>Ford Motor, Rouge Electric Vehicle Center</v>
      </c>
      <c r="E10" s="12" t="s">
        <v>625</v>
      </c>
      <c r="F10" s="12" t="s">
        <v>15</v>
      </c>
      <c r="G10" s="12" t="s">
        <v>11</v>
      </c>
      <c r="H10" s="12" t="s">
        <v>505</v>
      </c>
      <c r="I10" s="14">
        <v>45378</v>
      </c>
      <c r="J10" s="12" t="s">
        <v>1604</v>
      </c>
    </row>
    <row r="11" spans="1:10" s="15" customFormat="1" x14ac:dyDescent="0.15">
      <c r="A11" s="11">
        <v>45380</v>
      </c>
      <c r="B11" s="12" t="s">
        <v>350</v>
      </c>
      <c r="C11" s="12" t="s">
        <v>350</v>
      </c>
      <c r="D11" s="13" t="str">
        <f>HYPERLINK("https://www.marklines.com/en/global/9900","General Motors Technical Center (Warren)")</f>
        <v>General Motors Technical Center (Warren)</v>
      </c>
      <c r="E11" s="12" t="s">
        <v>611</v>
      </c>
      <c r="F11" s="12" t="s">
        <v>15</v>
      </c>
      <c r="G11" s="12" t="s">
        <v>11</v>
      </c>
      <c r="H11" s="12" t="s">
        <v>505</v>
      </c>
      <c r="I11" s="14">
        <v>45378</v>
      </c>
      <c r="J11" s="12" t="s">
        <v>1605</v>
      </c>
    </row>
    <row r="12" spans="1:10" s="15" customFormat="1" x14ac:dyDescent="0.15">
      <c r="A12" s="11">
        <v>45380</v>
      </c>
      <c r="B12" s="12" t="s">
        <v>57</v>
      </c>
      <c r="C12" s="12" t="s">
        <v>57</v>
      </c>
      <c r="D12" s="13" t="str">
        <f>HYPERLINK("https://www.marklines.com/en/global/9500","BYD Co., Ltd.")</f>
        <v>BYD Co., Ltd.</v>
      </c>
      <c r="E12" s="12" t="s">
        <v>120</v>
      </c>
      <c r="F12" s="12" t="s">
        <v>18</v>
      </c>
      <c r="G12" s="12" t="s">
        <v>24</v>
      </c>
      <c r="H12" s="12" t="s">
        <v>63</v>
      </c>
      <c r="I12" s="14">
        <v>45377</v>
      </c>
      <c r="J12" s="12" t="s">
        <v>1606</v>
      </c>
    </row>
    <row r="13" spans="1:10" s="15" customFormat="1" x14ac:dyDescent="0.15">
      <c r="A13" s="11">
        <v>45380</v>
      </c>
      <c r="B13" s="12" t="s">
        <v>57</v>
      </c>
      <c r="C13" s="12" t="s">
        <v>57</v>
      </c>
      <c r="D13" s="13" t="str">
        <f>HYPERLINK("https://www.marklines.com/en/global/4125","BYD Automobile Industry Co., Ltd., Shenzhen Plant")</f>
        <v>BYD Automobile Industry Co., Ltd., Shenzhen Plant</v>
      </c>
      <c r="E13" s="12" t="s">
        <v>395</v>
      </c>
      <c r="F13" s="12" t="s">
        <v>18</v>
      </c>
      <c r="G13" s="12" t="s">
        <v>24</v>
      </c>
      <c r="H13" s="12" t="s">
        <v>63</v>
      </c>
      <c r="I13" s="14">
        <v>45377</v>
      </c>
      <c r="J13" s="12" t="s">
        <v>1606</v>
      </c>
    </row>
    <row r="14" spans="1:10" s="15" customFormat="1" x14ac:dyDescent="0.15">
      <c r="A14" s="11">
        <v>45380</v>
      </c>
      <c r="B14" s="12" t="s">
        <v>57</v>
      </c>
      <c r="C14" s="12" t="s">
        <v>57</v>
      </c>
      <c r="D14" s="13" t="str">
        <f>HYPERLINK("https://www.marklines.com/en/global/10574","BYD Automobile Industry Co., Ltd., Jinan Branch")</f>
        <v>BYD Automobile Industry Co., Ltd., Jinan Branch</v>
      </c>
      <c r="E14" s="12" t="s">
        <v>1607</v>
      </c>
      <c r="F14" s="12" t="s">
        <v>18</v>
      </c>
      <c r="G14" s="12" t="s">
        <v>24</v>
      </c>
      <c r="H14" s="12" t="s">
        <v>62</v>
      </c>
      <c r="I14" s="14">
        <v>45377</v>
      </c>
      <c r="J14" s="12" t="s">
        <v>1608</v>
      </c>
    </row>
    <row r="15" spans="1:10" s="15" customFormat="1" x14ac:dyDescent="0.15">
      <c r="A15" s="11">
        <v>45380</v>
      </c>
      <c r="B15" s="12" t="s">
        <v>57</v>
      </c>
      <c r="C15" s="12" t="s">
        <v>57</v>
      </c>
      <c r="D15" s="13" t="str">
        <f>HYPERLINK("https://www.marklines.com/en/global/4043","BYD Automobile Industry Co., Ltd., Changsha Branch")</f>
        <v>BYD Automobile Industry Co., Ltd., Changsha Branch</v>
      </c>
      <c r="E15" s="12" t="s">
        <v>953</v>
      </c>
      <c r="F15" s="12" t="s">
        <v>18</v>
      </c>
      <c r="G15" s="12" t="s">
        <v>24</v>
      </c>
      <c r="H15" s="12" t="s">
        <v>398</v>
      </c>
      <c r="I15" s="14">
        <v>45377</v>
      </c>
      <c r="J15" s="12" t="s">
        <v>1608</v>
      </c>
    </row>
    <row r="16" spans="1:10" s="15" customFormat="1" x14ac:dyDescent="0.15">
      <c r="A16" s="11">
        <v>45380</v>
      </c>
      <c r="B16" s="12" t="s">
        <v>57</v>
      </c>
      <c r="C16" s="12" t="s">
        <v>57</v>
      </c>
      <c r="D16" s="13" t="str">
        <f>HYPERLINK("https://www.marklines.com/en/global/10526","BYD Automobile Industry Co., Ltd., Hefei Branch")</f>
        <v>BYD Automobile Industry Co., Ltd., Hefei Branch</v>
      </c>
      <c r="E16" s="12" t="s">
        <v>1609</v>
      </c>
      <c r="F16" s="12" t="s">
        <v>18</v>
      </c>
      <c r="G16" s="12" t="s">
        <v>24</v>
      </c>
      <c r="H16" s="12" t="s">
        <v>55</v>
      </c>
      <c r="I16" s="14">
        <v>45377</v>
      </c>
      <c r="J16" s="12" t="s">
        <v>1608</v>
      </c>
    </row>
    <row r="17" spans="1:10" s="15" customFormat="1" x14ac:dyDescent="0.15">
      <c r="A17" s="11">
        <v>45380</v>
      </c>
      <c r="B17" s="12" t="s">
        <v>224</v>
      </c>
      <c r="C17" s="12" t="s">
        <v>1610</v>
      </c>
      <c r="D17" s="13" t="str">
        <f>HYPERLINK("https://www.marklines.com/en/global/1133","Daimler India Commercial Vehicles (DICV), Oragadam (Chennai) Plant")</f>
        <v>Daimler India Commercial Vehicles (DICV), Oragadam (Chennai) Plant</v>
      </c>
      <c r="E17" s="12" t="s">
        <v>1611</v>
      </c>
      <c r="F17" s="12" t="s">
        <v>22</v>
      </c>
      <c r="G17" s="12" t="s">
        <v>23</v>
      </c>
      <c r="H17" s="12" t="s">
        <v>254</v>
      </c>
      <c r="I17" s="14">
        <v>45377</v>
      </c>
      <c r="J17" s="12" t="s">
        <v>1612</v>
      </c>
    </row>
    <row r="18" spans="1:10" s="15" customFormat="1" x14ac:dyDescent="0.15">
      <c r="A18" s="11">
        <v>45380</v>
      </c>
      <c r="B18" s="12" t="s">
        <v>248</v>
      </c>
      <c r="C18" s="12" t="s">
        <v>249</v>
      </c>
      <c r="D18" s="13" t="str">
        <f>HYPERLINK("https://www.marklines.com/en/global/9045","SAIC Motor - CP Co., Ltd., Chonburi Plant")</f>
        <v>SAIC Motor - CP Co., Ltd., Chonburi Plant</v>
      </c>
      <c r="E18" s="12" t="s">
        <v>1613</v>
      </c>
      <c r="F18" s="12" t="s">
        <v>29</v>
      </c>
      <c r="G18" s="12" t="s">
        <v>301</v>
      </c>
      <c r="H18" s="12" t="s">
        <v>422</v>
      </c>
      <c r="I18" s="14">
        <v>45376</v>
      </c>
      <c r="J18" s="12" t="s">
        <v>1614</v>
      </c>
    </row>
    <row r="19" spans="1:10" s="15" customFormat="1" x14ac:dyDescent="0.15">
      <c r="A19" s="11">
        <v>45380</v>
      </c>
      <c r="B19" s="12" t="s">
        <v>19</v>
      </c>
      <c r="C19" s="12" t="s">
        <v>19</v>
      </c>
      <c r="D19" s="13" t="str">
        <f>HYPERLINK("https://www.marklines.com/en/global/3471","Toyota Motor (China) Investment Co., Ltd. (TMCI) ")</f>
        <v xml:space="preserve">Toyota Motor (China) Investment Co., Ltd. (TMCI) </v>
      </c>
      <c r="E19" s="12" t="s">
        <v>1615</v>
      </c>
      <c r="F19" s="12" t="s">
        <v>18</v>
      </c>
      <c r="G19" s="12" t="s">
        <v>24</v>
      </c>
      <c r="H19" s="12" t="s">
        <v>71</v>
      </c>
      <c r="I19" s="14">
        <v>45376</v>
      </c>
      <c r="J19" s="12" t="s">
        <v>1616</v>
      </c>
    </row>
    <row r="20" spans="1:10" s="15" customFormat="1" x14ac:dyDescent="0.15">
      <c r="A20" s="11">
        <v>45379</v>
      </c>
      <c r="B20" s="12" t="s">
        <v>21</v>
      </c>
      <c r="C20" s="12" t="s">
        <v>21</v>
      </c>
      <c r="D20" s="13" t="str">
        <f>HYPERLINK("https://www.marklines.com/en/global/1901","Ford Motor Spain, Valencia (Almussafes) Plant")</f>
        <v>Ford Motor Spain, Valencia (Almussafes) Plant</v>
      </c>
      <c r="E20" s="12" t="s">
        <v>485</v>
      </c>
      <c r="F20" s="12" t="s">
        <v>16</v>
      </c>
      <c r="G20" s="12" t="s">
        <v>42</v>
      </c>
      <c r="H20" s="12"/>
      <c r="I20" s="14">
        <v>45379</v>
      </c>
      <c r="J20" s="12" t="s">
        <v>1617</v>
      </c>
    </row>
    <row r="21" spans="1:10" s="15" customFormat="1" x14ac:dyDescent="0.15">
      <c r="A21" s="11">
        <v>45379</v>
      </c>
      <c r="B21" s="12" t="s">
        <v>36</v>
      </c>
      <c r="C21" s="12" t="s">
        <v>36</v>
      </c>
      <c r="D21" s="13" t="str">
        <f>HYPERLINK("https://www.marklines.com/en/global/9177","VM Motori S.p.A., Cento Plant")</f>
        <v>VM Motori S.p.A., Cento Plant</v>
      </c>
      <c r="E21" s="12" t="s">
        <v>1618</v>
      </c>
      <c r="F21" s="12" t="s">
        <v>16</v>
      </c>
      <c r="G21" s="12" t="s">
        <v>37</v>
      </c>
      <c r="H21" s="12"/>
      <c r="I21" s="14">
        <v>45378</v>
      </c>
      <c r="J21" s="12" t="s">
        <v>1619</v>
      </c>
    </row>
    <row r="22" spans="1:10" s="15" customFormat="1" x14ac:dyDescent="0.15">
      <c r="A22" s="11">
        <v>45379</v>
      </c>
      <c r="B22" s="12" t="s">
        <v>36</v>
      </c>
      <c r="C22" s="12" t="s">
        <v>36</v>
      </c>
      <c r="D22" s="13" t="str">
        <f>HYPERLINK("https://www.marklines.com/en/global/1347","Stellantis, Fiat Powertrain Technologies, Verrone Plant")</f>
        <v>Stellantis, Fiat Powertrain Technologies, Verrone Plant</v>
      </c>
      <c r="E22" s="12" t="s">
        <v>1620</v>
      </c>
      <c r="F22" s="12" t="s">
        <v>16</v>
      </c>
      <c r="G22" s="12" t="s">
        <v>37</v>
      </c>
      <c r="H22" s="12"/>
      <c r="I22" s="14">
        <v>45378</v>
      </c>
      <c r="J22" s="12" t="s">
        <v>1619</v>
      </c>
    </row>
    <row r="23" spans="1:10" s="15" customFormat="1" x14ac:dyDescent="0.15">
      <c r="A23" s="11">
        <v>45379</v>
      </c>
      <c r="B23" s="12" t="s">
        <v>36</v>
      </c>
      <c r="C23" s="12" t="s">
        <v>36</v>
      </c>
      <c r="D23" s="13" t="str">
        <f>HYPERLINK("https://www.marklines.com/en/global/1337","Stellantis, Fiat Powertrain Technologies, Mirafiori (Turin) Plant")</f>
        <v>Stellantis, Fiat Powertrain Technologies, Mirafiori (Turin) Plant</v>
      </c>
      <c r="E23" s="12" t="s">
        <v>1028</v>
      </c>
      <c r="F23" s="12" t="s">
        <v>16</v>
      </c>
      <c r="G23" s="12" t="s">
        <v>37</v>
      </c>
      <c r="H23" s="12"/>
      <c r="I23" s="14">
        <v>45378</v>
      </c>
      <c r="J23" s="12" t="s">
        <v>1619</v>
      </c>
    </row>
    <row r="24" spans="1:10" s="15" customFormat="1" x14ac:dyDescent="0.15">
      <c r="A24" s="11">
        <v>45379</v>
      </c>
      <c r="B24" s="12" t="s">
        <v>36</v>
      </c>
      <c r="C24" s="12" t="s">
        <v>36</v>
      </c>
      <c r="D24" s="13" t="str">
        <f>HYPERLINK("https://www.marklines.com/en/global/1325","Stellantis, FCA Italy, Melfi Plant")</f>
        <v>Stellantis, FCA Italy, Melfi Plant</v>
      </c>
      <c r="E24" s="12" t="s">
        <v>1121</v>
      </c>
      <c r="F24" s="12" t="s">
        <v>16</v>
      </c>
      <c r="G24" s="12" t="s">
        <v>37</v>
      </c>
      <c r="H24" s="12"/>
      <c r="I24" s="14">
        <v>45378</v>
      </c>
      <c r="J24" s="12" t="s">
        <v>1619</v>
      </c>
    </row>
    <row r="25" spans="1:10" s="15" customFormat="1" x14ac:dyDescent="0.15">
      <c r="A25" s="11">
        <v>45379</v>
      </c>
      <c r="B25" s="12" t="s">
        <v>36</v>
      </c>
      <c r="C25" s="12" t="s">
        <v>36</v>
      </c>
      <c r="D25" s="13" t="str">
        <f>HYPERLINK("https://www.marklines.com/en/global/1327","Stellantis, FCA Italy, Mirafiori (Turin) Plant")</f>
        <v>Stellantis, FCA Italy, Mirafiori (Turin) Plant</v>
      </c>
      <c r="E25" s="12" t="s">
        <v>82</v>
      </c>
      <c r="F25" s="12" t="s">
        <v>16</v>
      </c>
      <c r="G25" s="12" t="s">
        <v>37</v>
      </c>
      <c r="H25" s="12"/>
      <c r="I25" s="14">
        <v>45378</v>
      </c>
      <c r="J25" s="12" t="s">
        <v>1619</v>
      </c>
    </row>
    <row r="26" spans="1:10" s="15" customFormat="1" x14ac:dyDescent="0.15">
      <c r="A26" s="11">
        <v>45379</v>
      </c>
      <c r="B26" s="12" t="s">
        <v>36</v>
      </c>
      <c r="C26" s="12" t="s">
        <v>36</v>
      </c>
      <c r="D26" s="13" t="str">
        <f>HYPERLINK("https://www.marklines.com/en/global/1343","Stellantis, Fiat Powertrain Technologies, Termoli Plant / Automotive Cell Company (ACC), Termoli Plant")</f>
        <v>Stellantis, Fiat Powertrain Technologies, Termoli Plant / Automotive Cell Company (ACC), Termoli Plant</v>
      </c>
      <c r="E26" s="12" t="s">
        <v>296</v>
      </c>
      <c r="F26" s="12" t="s">
        <v>16</v>
      </c>
      <c r="G26" s="12" t="s">
        <v>37</v>
      </c>
      <c r="H26" s="12"/>
      <c r="I26" s="14">
        <v>45378</v>
      </c>
      <c r="J26" s="12" t="s">
        <v>1619</v>
      </c>
    </row>
    <row r="27" spans="1:10" s="15" customFormat="1" x14ac:dyDescent="0.15">
      <c r="A27" s="11">
        <v>45379</v>
      </c>
      <c r="B27" s="12" t="s">
        <v>36</v>
      </c>
      <c r="C27" s="12" t="s">
        <v>36</v>
      </c>
      <c r="D27" s="13" t="str">
        <f>HYPERLINK("https://www.marklines.com/en/global/1329","Stellantis, FCA Italy, Giambattista Vico (Pomigliano d'Arco) Plant")</f>
        <v>Stellantis, FCA Italy, Giambattista Vico (Pomigliano d'Arco) Plant</v>
      </c>
      <c r="E27" s="12" t="s">
        <v>857</v>
      </c>
      <c r="F27" s="12" t="s">
        <v>16</v>
      </c>
      <c r="G27" s="12" t="s">
        <v>37</v>
      </c>
      <c r="H27" s="12"/>
      <c r="I27" s="14">
        <v>45378</v>
      </c>
      <c r="J27" s="12" t="s">
        <v>1619</v>
      </c>
    </row>
    <row r="28" spans="1:10" s="15" customFormat="1" x14ac:dyDescent="0.15">
      <c r="A28" s="11">
        <v>45379</v>
      </c>
      <c r="B28" s="12" t="s">
        <v>36</v>
      </c>
      <c r="C28" s="12" t="s">
        <v>481</v>
      </c>
      <c r="D28" s="13" t="str">
        <f>HYPERLINK("https://www.marklines.com/en/global/753","LLC PCMA Rus (Peugeot Citroen Mitsubishi Automotiv Rus), Kaluga Plant")</f>
        <v>LLC PCMA Rus (Peugeot Citroen Mitsubishi Automotiv Rus), Kaluga Plant</v>
      </c>
      <c r="E28" s="12" t="s">
        <v>1621</v>
      </c>
      <c r="F28" s="12" t="s">
        <v>17</v>
      </c>
      <c r="G28" s="12" t="s">
        <v>13</v>
      </c>
      <c r="H28" s="12"/>
      <c r="I28" s="14">
        <v>45378</v>
      </c>
      <c r="J28" s="12" t="s">
        <v>1622</v>
      </c>
    </row>
    <row r="29" spans="1:10" s="15" customFormat="1" x14ac:dyDescent="0.15">
      <c r="A29" s="11">
        <v>45379</v>
      </c>
      <c r="B29" s="12" t="s">
        <v>12</v>
      </c>
      <c r="C29" s="12" t="s">
        <v>12</v>
      </c>
      <c r="D29" s="13" t="str">
        <f>HYPERLINK("https://www.marklines.com/en/global/753","LLC PCMA Rus (Peugeot Citroen Mitsubishi Automotiv Rus), Kaluga Plant")</f>
        <v>LLC PCMA Rus (Peugeot Citroen Mitsubishi Automotiv Rus), Kaluga Plant</v>
      </c>
      <c r="E29" s="12" t="s">
        <v>1621</v>
      </c>
      <c r="F29" s="12" t="s">
        <v>17</v>
      </c>
      <c r="G29" s="12" t="s">
        <v>13</v>
      </c>
      <c r="H29" s="12"/>
      <c r="I29" s="14">
        <v>45378</v>
      </c>
      <c r="J29" s="12" t="s">
        <v>1622</v>
      </c>
    </row>
    <row r="30" spans="1:10" s="15" customFormat="1" x14ac:dyDescent="0.15">
      <c r="A30" s="11">
        <v>45379</v>
      </c>
      <c r="B30" s="12" t="s">
        <v>12</v>
      </c>
      <c r="C30" s="12" t="s">
        <v>383</v>
      </c>
      <c r="D30" s="13" t="str">
        <f>HYPERLINK("https://www.marklines.com/en/global/2749","Valmet Automotive Inc., Uusikaupunki Plant")</f>
        <v>Valmet Automotive Inc., Uusikaupunki Plant</v>
      </c>
      <c r="E30" s="12" t="s">
        <v>384</v>
      </c>
      <c r="F30" s="12" t="s">
        <v>16</v>
      </c>
      <c r="G30" s="12" t="s">
        <v>385</v>
      </c>
      <c r="H30" s="12"/>
      <c r="I30" s="14">
        <v>45378</v>
      </c>
      <c r="J30" s="12" t="s">
        <v>1623</v>
      </c>
    </row>
    <row r="31" spans="1:10" s="15" customFormat="1" x14ac:dyDescent="0.15">
      <c r="A31" s="11">
        <v>45379</v>
      </c>
      <c r="B31" s="12" t="s">
        <v>346</v>
      </c>
      <c r="C31" s="12" t="s">
        <v>346</v>
      </c>
      <c r="D31" s="13" t="str">
        <f>HYPERLINK("https://www.marklines.com/en/global/1089","Renault Nissan Automotive India (RNAIPL), Oragadam (Chennai) Plant")</f>
        <v>Renault Nissan Automotive India (RNAIPL), Oragadam (Chennai) Plant</v>
      </c>
      <c r="E31" s="12" t="s">
        <v>253</v>
      </c>
      <c r="F31" s="12" t="s">
        <v>22</v>
      </c>
      <c r="G31" s="12" t="s">
        <v>23</v>
      </c>
      <c r="H31" s="12" t="s">
        <v>254</v>
      </c>
      <c r="I31" s="14">
        <v>45378</v>
      </c>
      <c r="J31" s="12" t="s">
        <v>1624</v>
      </c>
    </row>
    <row r="32" spans="1:10" s="15" customFormat="1" x14ac:dyDescent="0.15">
      <c r="A32" s="11">
        <v>45379</v>
      </c>
      <c r="B32" s="12" t="s">
        <v>27</v>
      </c>
      <c r="C32" s="12" t="s">
        <v>27</v>
      </c>
      <c r="D32" s="13" t="str">
        <f>HYPERLINK("https://www.marklines.com/en/global/9255","BMW Mexico, San Luis Potosi Plant")</f>
        <v>BMW Mexico, San Luis Potosi Plant</v>
      </c>
      <c r="E32" s="12" t="s">
        <v>1625</v>
      </c>
      <c r="F32" s="12" t="s">
        <v>15</v>
      </c>
      <c r="G32" s="12" t="s">
        <v>218</v>
      </c>
      <c r="H32" s="12"/>
      <c r="I32" s="14">
        <v>45378</v>
      </c>
      <c r="J32" s="12" t="s">
        <v>1626</v>
      </c>
    </row>
    <row r="33" spans="1:10" s="15" customFormat="1" x14ac:dyDescent="0.15">
      <c r="A33" s="11">
        <v>45379</v>
      </c>
      <c r="B33" s="12" t="s">
        <v>36</v>
      </c>
      <c r="C33" s="12" t="s">
        <v>36</v>
      </c>
      <c r="D33" s="13" t="str">
        <f>HYPERLINK("https://www.marklines.com/en/global/1339","Stellantis, Fiat Powertrain Technologies, Pratola Serra Plant")</f>
        <v>Stellantis, Fiat Powertrain Technologies, Pratola Serra Plant</v>
      </c>
      <c r="E33" s="12" t="s">
        <v>1051</v>
      </c>
      <c r="F33" s="12" t="s">
        <v>16</v>
      </c>
      <c r="G33" s="12" t="s">
        <v>37</v>
      </c>
      <c r="H33" s="12"/>
      <c r="I33" s="14">
        <v>45377</v>
      </c>
      <c r="J33" s="12" t="s">
        <v>1627</v>
      </c>
    </row>
    <row r="34" spans="1:10" s="15" customFormat="1" x14ac:dyDescent="0.15">
      <c r="A34" s="11">
        <v>45379</v>
      </c>
      <c r="B34" s="12" t="s">
        <v>36</v>
      </c>
      <c r="C34" s="12" t="s">
        <v>36</v>
      </c>
      <c r="D34" s="13" t="str">
        <f>HYPERLINK("https://www.marklines.com/en/global/1337","Stellantis, Fiat Powertrain Technologies, Mirafiori (Turin) Plant")</f>
        <v>Stellantis, Fiat Powertrain Technologies, Mirafiori (Turin) Plant</v>
      </c>
      <c r="E34" s="12" t="s">
        <v>1028</v>
      </c>
      <c r="F34" s="12" t="s">
        <v>16</v>
      </c>
      <c r="G34" s="12" t="s">
        <v>37</v>
      </c>
      <c r="H34" s="12"/>
      <c r="I34" s="14">
        <v>45377</v>
      </c>
      <c r="J34" s="12" t="s">
        <v>1627</v>
      </c>
    </row>
    <row r="35" spans="1:10" s="15" customFormat="1" x14ac:dyDescent="0.15">
      <c r="A35" s="11">
        <v>45379</v>
      </c>
      <c r="B35" s="12" t="s">
        <v>36</v>
      </c>
      <c r="C35" s="12" t="s">
        <v>36</v>
      </c>
      <c r="D35" s="13" t="str">
        <f>HYPERLINK("https://www.marklines.com/en/global/1323","Stellantis, FCA Italy, Cassino Plant")</f>
        <v>Stellantis, FCA Italy, Cassino Plant</v>
      </c>
      <c r="E35" s="12" t="s">
        <v>278</v>
      </c>
      <c r="F35" s="12" t="s">
        <v>16</v>
      </c>
      <c r="G35" s="12" t="s">
        <v>37</v>
      </c>
      <c r="H35" s="12"/>
      <c r="I35" s="14">
        <v>45377</v>
      </c>
      <c r="J35" s="12" t="s">
        <v>1627</v>
      </c>
    </row>
    <row r="36" spans="1:10" s="15" customFormat="1" x14ac:dyDescent="0.15">
      <c r="A36" s="11">
        <v>45379</v>
      </c>
      <c r="B36" s="12" t="s">
        <v>36</v>
      </c>
      <c r="C36" s="12" t="s">
        <v>36</v>
      </c>
      <c r="D36" s="13" t="str">
        <f>HYPERLINK("https://www.marklines.com/en/global/1327","Stellantis, FCA Italy, Mirafiori (Turin) Plant")</f>
        <v>Stellantis, FCA Italy, Mirafiori (Turin) Plant</v>
      </c>
      <c r="E36" s="12" t="s">
        <v>82</v>
      </c>
      <c r="F36" s="12" t="s">
        <v>16</v>
      </c>
      <c r="G36" s="12" t="s">
        <v>37</v>
      </c>
      <c r="H36" s="12"/>
      <c r="I36" s="14">
        <v>45377</v>
      </c>
      <c r="J36" s="12" t="s">
        <v>1627</v>
      </c>
    </row>
    <row r="37" spans="1:10" s="15" customFormat="1" x14ac:dyDescent="0.15">
      <c r="A37" s="11">
        <v>45379</v>
      </c>
      <c r="B37" s="12" t="s">
        <v>36</v>
      </c>
      <c r="C37" s="12" t="s">
        <v>36</v>
      </c>
      <c r="D37" s="13" t="str">
        <f>HYPERLINK("https://www.marklines.com/en/global/1329","Stellantis, FCA Italy, Giambattista Vico (Pomigliano d'Arco) Plant")</f>
        <v>Stellantis, FCA Italy, Giambattista Vico (Pomigliano d'Arco) Plant</v>
      </c>
      <c r="E37" s="12" t="s">
        <v>857</v>
      </c>
      <c r="F37" s="12" t="s">
        <v>16</v>
      </c>
      <c r="G37" s="12" t="s">
        <v>37</v>
      </c>
      <c r="H37" s="12"/>
      <c r="I37" s="14">
        <v>45377</v>
      </c>
      <c r="J37" s="12" t="s">
        <v>1627</v>
      </c>
    </row>
    <row r="38" spans="1:10" s="15" customFormat="1" x14ac:dyDescent="0.15">
      <c r="A38" s="11">
        <v>45379</v>
      </c>
      <c r="B38" s="12" t="s">
        <v>12</v>
      </c>
      <c r="C38" s="12" t="s">
        <v>719</v>
      </c>
      <c r="D38" s="13" t="str">
        <f>HYPERLINK("https://www.marklines.com/en/global/10552","Arrival UK LTD., Bicester Plant")</f>
        <v>Arrival UK LTD., Bicester Plant</v>
      </c>
      <c r="E38" s="12" t="s">
        <v>720</v>
      </c>
      <c r="F38" s="12" t="s">
        <v>16</v>
      </c>
      <c r="G38" s="12" t="s">
        <v>233</v>
      </c>
      <c r="H38" s="12"/>
      <c r="I38" s="14">
        <v>45376</v>
      </c>
      <c r="J38" s="12" t="s">
        <v>1628</v>
      </c>
    </row>
    <row r="39" spans="1:10" s="15" customFormat="1" x14ac:dyDescent="0.15">
      <c r="A39" s="11">
        <v>45379</v>
      </c>
      <c r="B39" s="12" t="s">
        <v>19</v>
      </c>
      <c r="C39" s="12" t="s">
        <v>512</v>
      </c>
      <c r="D39" s="13" t="str">
        <f>HYPERLINK("https://www.marklines.com/en/global/543","Daihatsu Motor, Shiga (Ryuo) Plant")</f>
        <v>Daihatsu Motor, Shiga (Ryuo) Plant</v>
      </c>
      <c r="E39" s="12" t="s">
        <v>513</v>
      </c>
      <c r="F39" s="12" t="s">
        <v>18</v>
      </c>
      <c r="G39" s="12" t="s">
        <v>20</v>
      </c>
      <c r="H39" s="12" t="s">
        <v>514</v>
      </c>
      <c r="I39" s="14">
        <v>45376</v>
      </c>
      <c r="J39" s="12" t="s">
        <v>1629</v>
      </c>
    </row>
    <row r="40" spans="1:10" s="15" customFormat="1" x14ac:dyDescent="0.15">
      <c r="A40" s="11">
        <v>45379</v>
      </c>
      <c r="B40" s="12" t="s">
        <v>956</v>
      </c>
      <c r="C40" s="12" t="s">
        <v>956</v>
      </c>
      <c r="D40" s="13" t="str">
        <f>HYPERLINK("https://www.marklines.com/en/global/543","Daihatsu Motor, Shiga (Ryuo) Plant")</f>
        <v>Daihatsu Motor, Shiga (Ryuo) Plant</v>
      </c>
      <c r="E40" s="12" t="s">
        <v>513</v>
      </c>
      <c r="F40" s="12" t="s">
        <v>18</v>
      </c>
      <c r="G40" s="12" t="s">
        <v>20</v>
      </c>
      <c r="H40" s="12" t="s">
        <v>514</v>
      </c>
      <c r="I40" s="14">
        <v>45376</v>
      </c>
      <c r="J40" s="12" t="s">
        <v>1629</v>
      </c>
    </row>
    <row r="41" spans="1:10" s="15" customFormat="1" x14ac:dyDescent="0.15">
      <c r="A41" s="11">
        <v>45379</v>
      </c>
      <c r="B41" s="12" t="s">
        <v>19</v>
      </c>
      <c r="C41" s="12" t="s">
        <v>19</v>
      </c>
      <c r="D41" s="13" t="str">
        <f>HYPERLINK("https://www.marklines.com/en/global/541","Daihatsu Motor, Kyoto (Oyamazaki) Plant")</f>
        <v>Daihatsu Motor, Kyoto (Oyamazaki) Plant</v>
      </c>
      <c r="E41" s="12" t="s">
        <v>518</v>
      </c>
      <c r="F41" s="12" t="s">
        <v>18</v>
      </c>
      <c r="G41" s="12" t="s">
        <v>20</v>
      </c>
      <c r="H41" s="12" t="s">
        <v>519</v>
      </c>
      <c r="I41" s="14">
        <v>45376</v>
      </c>
      <c r="J41" s="12" t="s">
        <v>1630</v>
      </c>
    </row>
    <row r="42" spans="1:10" s="15" customFormat="1" x14ac:dyDescent="0.15">
      <c r="A42" s="11">
        <v>45379</v>
      </c>
      <c r="B42" s="12" t="s">
        <v>19</v>
      </c>
      <c r="C42" s="12" t="s">
        <v>512</v>
      </c>
      <c r="D42" s="13" t="str">
        <f>HYPERLINK("https://www.marklines.com/en/global/541","Daihatsu Motor, Kyoto (Oyamazaki) Plant")</f>
        <v>Daihatsu Motor, Kyoto (Oyamazaki) Plant</v>
      </c>
      <c r="E42" s="12" t="s">
        <v>518</v>
      </c>
      <c r="F42" s="12" t="s">
        <v>18</v>
      </c>
      <c r="G42" s="12" t="s">
        <v>20</v>
      </c>
      <c r="H42" s="12" t="s">
        <v>519</v>
      </c>
      <c r="I42" s="14">
        <v>45376</v>
      </c>
      <c r="J42" s="12" t="s">
        <v>1630</v>
      </c>
    </row>
    <row r="43" spans="1:10" s="15" customFormat="1" x14ac:dyDescent="0.15">
      <c r="A43" s="11">
        <v>45379</v>
      </c>
      <c r="B43" s="12" t="s">
        <v>956</v>
      </c>
      <c r="C43" s="12" t="s">
        <v>956</v>
      </c>
      <c r="D43" s="13" t="str">
        <f>HYPERLINK("https://www.marklines.com/en/global/541","Daihatsu Motor, Kyoto (Oyamazaki) Plant")</f>
        <v>Daihatsu Motor, Kyoto (Oyamazaki) Plant</v>
      </c>
      <c r="E43" s="12" t="s">
        <v>518</v>
      </c>
      <c r="F43" s="12" t="s">
        <v>18</v>
      </c>
      <c r="G43" s="12" t="s">
        <v>20</v>
      </c>
      <c r="H43" s="12" t="s">
        <v>519</v>
      </c>
      <c r="I43" s="14">
        <v>45376</v>
      </c>
      <c r="J43" s="12" t="s">
        <v>1630</v>
      </c>
    </row>
    <row r="44" spans="1:10" s="15" customFormat="1" x14ac:dyDescent="0.15">
      <c r="A44" s="11">
        <v>45379</v>
      </c>
      <c r="B44" s="12" t="s">
        <v>78</v>
      </c>
      <c r="C44" s="12" t="s">
        <v>78</v>
      </c>
      <c r="D44" s="13" t="str">
        <f>HYPERLINK("https://www.marklines.com/en/global/497","Suzuki Motor, Iwata Plant")</f>
        <v>Suzuki Motor, Iwata Plant</v>
      </c>
      <c r="E44" s="12" t="s">
        <v>1213</v>
      </c>
      <c r="F44" s="12" t="s">
        <v>18</v>
      </c>
      <c r="G44" s="12" t="s">
        <v>20</v>
      </c>
      <c r="H44" s="12" t="s">
        <v>107</v>
      </c>
      <c r="I44" s="14">
        <v>45376</v>
      </c>
      <c r="J44" s="12" t="s">
        <v>1631</v>
      </c>
    </row>
    <row r="45" spans="1:10" s="15" customFormat="1" x14ac:dyDescent="0.15">
      <c r="A45" s="11">
        <v>45379</v>
      </c>
      <c r="B45" s="12" t="s">
        <v>429</v>
      </c>
      <c r="C45" s="12" t="s">
        <v>430</v>
      </c>
      <c r="D45" s="13" t="str">
        <f>HYPERLINK("https://www.marklines.com/en/global/9538","Hozon New Energy Automobile Co., Ltd. (formerly Zhejiang Hozon New Energy Automobile Co., Ltd.)")</f>
        <v>Hozon New Energy Automobile Co., Ltd. (formerly Zhejiang Hozon New Energy Automobile Co., Ltd.)</v>
      </c>
      <c r="E45" s="12" t="s">
        <v>1526</v>
      </c>
      <c r="F45" s="12" t="s">
        <v>18</v>
      </c>
      <c r="G45" s="12" t="s">
        <v>24</v>
      </c>
      <c r="H45" s="12" t="s">
        <v>61</v>
      </c>
      <c r="I45" s="14">
        <v>45376</v>
      </c>
      <c r="J45" s="12" t="s">
        <v>1632</v>
      </c>
    </row>
    <row r="46" spans="1:10" s="15" customFormat="1" x14ac:dyDescent="0.15">
      <c r="A46" s="11">
        <v>45379</v>
      </c>
      <c r="B46" s="12" t="s">
        <v>429</v>
      </c>
      <c r="C46" s="12" t="s">
        <v>430</v>
      </c>
      <c r="D46" s="13" t="str">
        <f>HYPERLINK("https://www.marklines.com/en/global/10712","Neta Zhihe New Energy Vehicle Technology (Shanghai) Co., Ltd.")</f>
        <v>Neta Zhihe New Energy Vehicle Technology (Shanghai) Co., Ltd.</v>
      </c>
      <c r="E46" s="12" t="s">
        <v>1633</v>
      </c>
      <c r="F46" s="12" t="s">
        <v>18</v>
      </c>
      <c r="G46" s="12" t="s">
        <v>24</v>
      </c>
      <c r="H46" s="12" t="s">
        <v>56</v>
      </c>
      <c r="I46" s="14">
        <v>45376</v>
      </c>
      <c r="J46" s="12" t="s">
        <v>1632</v>
      </c>
    </row>
    <row r="47" spans="1:10" s="15" customFormat="1" x14ac:dyDescent="0.15">
      <c r="A47" s="11">
        <v>45379</v>
      </c>
      <c r="B47" s="12" t="s">
        <v>390</v>
      </c>
      <c r="C47" s="12" t="s">
        <v>390</v>
      </c>
      <c r="D47" s="13" t="str">
        <f>HYPERLINK("https://www.marklines.com/en/global/3349","FAW Jiefang Automotive Co., Ltd.")</f>
        <v>FAW Jiefang Automotive Co., Ltd.</v>
      </c>
      <c r="E47" s="12" t="s">
        <v>391</v>
      </c>
      <c r="F47" s="12" t="s">
        <v>18</v>
      </c>
      <c r="G47" s="12" t="s">
        <v>24</v>
      </c>
      <c r="H47" s="12" t="s">
        <v>392</v>
      </c>
      <c r="I47" s="14">
        <v>45374</v>
      </c>
      <c r="J47" s="12" t="s">
        <v>1634</v>
      </c>
    </row>
    <row r="48" spans="1:10" s="15" customFormat="1" x14ac:dyDescent="0.15">
      <c r="A48" s="11">
        <v>45379</v>
      </c>
      <c r="B48" s="12" t="s">
        <v>58</v>
      </c>
      <c r="C48" s="12" t="s">
        <v>58</v>
      </c>
      <c r="D48" s="13" t="str">
        <f>HYPERLINK("https://www.marklines.com/en/global/9417","Jiangxi Zhicheng Automobile Co., Ltd. Jingdezhen Branch  (formerly: Jiangxi Changhe Suzuki Automobile Co., Ltd. Jingdezhen Plant)")</f>
        <v>Jiangxi Zhicheng Automobile Co., Ltd. Jingdezhen Branch  (formerly: Jiangxi Changhe Suzuki Automobile Co., Ltd. Jingdezhen Plant)</v>
      </c>
      <c r="E48" s="12" t="s">
        <v>1635</v>
      </c>
      <c r="F48" s="12" t="s">
        <v>18</v>
      </c>
      <c r="G48" s="12" t="s">
        <v>24</v>
      </c>
      <c r="H48" s="12" t="s">
        <v>1535</v>
      </c>
      <c r="I48" s="14">
        <v>45372</v>
      </c>
      <c r="J48" s="12" t="s">
        <v>1636</v>
      </c>
    </row>
    <row r="49" spans="1:10" s="15" customFormat="1" x14ac:dyDescent="0.15">
      <c r="A49" s="11">
        <v>45379</v>
      </c>
      <c r="B49" s="12" t="s">
        <v>58</v>
      </c>
      <c r="C49" s="12" t="s">
        <v>58</v>
      </c>
      <c r="D49" s="13" t="str">
        <f>HYPERLINK("https://www.marklines.com/en/global/3925","Jiangxi Changhe Automobile Co., Ltd.")</f>
        <v>Jiangxi Changhe Automobile Co., Ltd.</v>
      </c>
      <c r="E49" s="12" t="s">
        <v>1637</v>
      </c>
      <c r="F49" s="12" t="s">
        <v>18</v>
      </c>
      <c r="G49" s="12" t="s">
        <v>24</v>
      </c>
      <c r="H49" s="12" t="s">
        <v>1535</v>
      </c>
      <c r="I49" s="14">
        <v>45372</v>
      </c>
      <c r="J49" s="12" t="s">
        <v>1636</v>
      </c>
    </row>
    <row r="50" spans="1:10" s="15" customFormat="1" x14ac:dyDescent="0.15">
      <c r="A50" s="11">
        <v>45379</v>
      </c>
      <c r="B50" s="12" t="s">
        <v>346</v>
      </c>
      <c r="C50" s="12" t="s">
        <v>1638</v>
      </c>
      <c r="D50" s="13" t="str">
        <f>HYPERLINK("https://www.marklines.com/en/global/475","Nissan Shatai Kyushu Co., Ltd.")</f>
        <v>Nissan Shatai Kyushu Co., Ltd.</v>
      </c>
      <c r="E50" s="12" t="s">
        <v>1639</v>
      </c>
      <c r="F50" s="12" t="s">
        <v>18</v>
      </c>
      <c r="G50" s="12" t="s">
        <v>20</v>
      </c>
      <c r="H50" s="12" t="s">
        <v>199</v>
      </c>
      <c r="I50" s="14">
        <v>45371</v>
      </c>
      <c r="J50" s="12" t="s">
        <v>1640</v>
      </c>
    </row>
    <row r="51" spans="1:10" s="15" customFormat="1" x14ac:dyDescent="0.15">
      <c r="A51" s="11">
        <v>45379</v>
      </c>
      <c r="B51" s="12" t="s">
        <v>36</v>
      </c>
      <c r="C51" s="12" t="s">
        <v>36</v>
      </c>
      <c r="D51" s="13" t="str">
        <f>HYPERLINK("https://www.marklines.com/en/global/9252","Dongfeng-Peugeot-Citroen Automobile Co., Ltd., Chengdu Branch")</f>
        <v>Dongfeng-Peugeot-Citroen Automobile Co., Ltd., Chengdu Branch</v>
      </c>
      <c r="E51" s="12" t="s">
        <v>1641</v>
      </c>
      <c r="F51" s="12" t="s">
        <v>18</v>
      </c>
      <c r="G51" s="12" t="s">
        <v>24</v>
      </c>
      <c r="H51" s="12" t="s">
        <v>330</v>
      </c>
      <c r="I51" s="14">
        <v>45371</v>
      </c>
      <c r="J51" s="12" t="s">
        <v>1642</v>
      </c>
    </row>
    <row r="52" spans="1:10" s="15" customFormat="1" x14ac:dyDescent="0.15">
      <c r="A52" s="11">
        <v>45379</v>
      </c>
      <c r="B52" s="12" t="s">
        <v>237</v>
      </c>
      <c r="C52" s="12" t="s">
        <v>237</v>
      </c>
      <c r="D52" s="13" t="str">
        <f>HYPERLINK("https://www.marklines.com/en/global/9252","Dongfeng-Peugeot-Citroen Automobile Co., Ltd., Chengdu Branch")</f>
        <v>Dongfeng-Peugeot-Citroen Automobile Co., Ltd., Chengdu Branch</v>
      </c>
      <c r="E52" s="12" t="s">
        <v>1641</v>
      </c>
      <c r="F52" s="12" t="s">
        <v>18</v>
      </c>
      <c r="G52" s="12" t="s">
        <v>24</v>
      </c>
      <c r="H52" s="12" t="s">
        <v>330</v>
      </c>
      <c r="I52" s="14">
        <v>45371</v>
      </c>
      <c r="J52" s="12" t="s">
        <v>1642</v>
      </c>
    </row>
    <row r="53" spans="1:10" s="15" customFormat="1" x14ac:dyDescent="0.15">
      <c r="A53" s="11">
        <v>45379</v>
      </c>
      <c r="B53" s="12" t="s">
        <v>65</v>
      </c>
      <c r="C53" s="12" t="s">
        <v>65</v>
      </c>
      <c r="D53" s="13" t="str">
        <f>HYPERLINK("https://www.marklines.com/en/global/3807","Zhejiang Geely Holding Group Co., Ltd.")</f>
        <v>Zhejiang Geely Holding Group Co., Ltd.</v>
      </c>
      <c r="E53" s="12" t="s">
        <v>229</v>
      </c>
      <c r="F53" s="12" t="s">
        <v>18</v>
      </c>
      <c r="G53" s="12" t="s">
        <v>24</v>
      </c>
      <c r="H53" s="12" t="s">
        <v>61</v>
      </c>
      <c r="I53" s="14">
        <v>45361</v>
      </c>
      <c r="J53" s="12" t="s">
        <v>1643</v>
      </c>
    </row>
    <row r="54" spans="1:10" s="15" customFormat="1" x14ac:dyDescent="0.15">
      <c r="A54" s="11">
        <v>45379</v>
      </c>
      <c r="B54" s="12" t="s">
        <v>19</v>
      </c>
      <c r="C54" s="12" t="s">
        <v>19</v>
      </c>
      <c r="D54" s="13" t="str">
        <f>HYPERLINK("https://www.marklines.com/en/global/10502","Primearth EV Energy, Arai Plant")</f>
        <v>Primearth EV Energy, Arai Plant</v>
      </c>
      <c r="E54" s="12" t="s">
        <v>1464</v>
      </c>
      <c r="F54" s="12" t="s">
        <v>18</v>
      </c>
      <c r="G54" s="12" t="s">
        <v>20</v>
      </c>
      <c r="H54" s="12" t="s">
        <v>107</v>
      </c>
      <c r="I54" s="14">
        <v>45351</v>
      </c>
      <c r="J54" s="12" t="s">
        <v>1644</v>
      </c>
    </row>
    <row r="55" spans="1:10" s="15" customFormat="1" x14ac:dyDescent="0.15">
      <c r="A55" s="11">
        <v>45378</v>
      </c>
      <c r="B55" s="12" t="s">
        <v>36</v>
      </c>
      <c r="C55" s="12" t="s">
        <v>481</v>
      </c>
      <c r="D55" s="13" t="str">
        <f>HYPERLINK("https://www.marklines.com/en/global/1165","PCA Motors Private Limited (Stellantis PSA Group), Thiruvallur plant  (formerly Hindustan Motor)")</f>
        <v>PCA Motors Private Limited (Stellantis PSA Group), Thiruvallur plant  (formerly Hindustan Motor)</v>
      </c>
      <c r="E55" s="12" t="s">
        <v>484</v>
      </c>
      <c r="F55" s="12" t="s">
        <v>22</v>
      </c>
      <c r="G55" s="12" t="s">
        <v>23</v>
      </c>
      <c r="H55" s="12" t="s">
        <v>254</v>
      </c>
      <c r="I55" s="14">
        <v>45378</v>
      </c>
      <c r="J55" s="12" t="s">
        <v>1645</v>
      </c>
    </row>
    <row r="56" spans="1:10" s="15" customFormat="1" x14ac:dyDescent="0.15">
      <c r="A56" s="11">
        <v>45378</v>
      </c>
      <c r="B56" s="12" t="s">
        <v>350</v>
      </c>
      <c r="C56" s="12" t="s">
        <v>646</v>
      </c>
      <c r="D56" s="13" t="str">
        <f>HYPERLINK("https://www.marklines.com/en/global/2403","GM Korea, Changwon Plant")</f>
        <v>GM Korea, Changwon Plant</v>
      </c>
      <c r="E56" s="12" t="s">
        <v>1646</v>
      </c>
      <c r="F56" s="12" t="s">
        <v>18</v>
      </c>
      <c r="G56" s="12" t="s">
        <v>404</v>
      </c>
      <c r="H56" s="12"/>
      <c r="I56" s="14">
        <v>45378</v>
      </c>
      <c r="J56" s="12" t="s">
        <v>1647</v>
      </c>
    </row>
    <row r="57" spans="1:10" s="15" customFormat="1" x14ac:dyDescent="0.15">
      <c r="A57" s="11">
        <v>45378</v>
      </c>
      <c r="B57" s="12" t="s">
        <v>65</v>
      </c>
      <c r="C57" s="12" t="s">
        <v>312</v>
      </c>
      <c r="D57" s="13" t="str">
        <f>HYPERLINK("https://www.marklines.com/en/global/2729","Volvo Cars, Torslanda, Goteborg Plant")</f>
        <v>Volvo Cars, Torslanda, Goteborg Plant</v>
      </c>
      <c r="E57" s="12" t="s">
        <v>985</v>
      </c>
      <c r="F57" s="12" t="s">
        <v>16</v>
      </c>
      <c r="G57" s="12" t="s">
        <v>314</v>
      </c>
      <c r="H57" s="12"/>
      <c r="I57" s="14">
        <v>45378</v>
      </c>
      <c r="J57" s="12" t="s">
        <v>1648</v>
      </c>
    </row>
    <row r="58" spans="1:10" s="15" customFormat="1" x14ac:dyDescent="0.15">
      <c r="A58" s="11">
        <v>45378</v>
      </c>
      <c r="B58" s="12" t="s">
        <v>65</v>
      </c>
      <c r="C58" s="12" t="s">
        <v>312</v>
      </c>
      <c r="D58" s="13" t="str">
        <f>HYPERLINK("https://www.marklines.com/en/global/1512","Volvo Cars N.V., Ghent Plant")</f>
        <v>Volvo Cars N.V., Ghent Plant</v>
      </c>
      <c r="E58" s="12" t="s">
        <v>436</v>
      </c>
      <c r="F58" s="12" t="s">
        <v>16</v>
      </c>
      <c r="G58" s="12" t="s">
        <v>437</v>
      </c>
      <c r="H58" s="12"/>
      <c r="I58" s="14">
        <v>45378</v>
      </c>
      <c r="J58" s="12" t="s">
        <v>1648</v>
      </c>
    </row>
    <row r="59" spans="1:10" s="15" customFormat="1" x14ac:dyDescent="0.15">
      <c r="A59" s="11">
        <v>45378</v>
      </c>
      <c r="B59" s="12" t="s">
        <v>454</v>
      </c>
      <c r="C59" s="12" t="s">
        <v>455</v>
      </c>
      <c r="D59" s="13" t="str">
        <f>HYPERLINK("https://www.marklines.com/en/global/1921","Mercedes-Benz Spain, Vitoria (Alava) Plant")</f>
        <v>Mercedes-Benz Spain, Vitoria (Alava) Plant</v>
      </c>
      <c r="E59" s="12" t="s">
        <v>1649</v>
      </c>
      <c r="F59" s="12" t="s">
        <v>16</v>
      </c>
      <c r="G59" s="12" t="s">
        <v>42</v>
      </c>
      <c r="H59" s="12"/>
      <c r="I59" s="14">
        <v>45377</v>
      </c>
      <c r="J59" s="12" t="s">
        <v>1650</v>
      </c>
    </row>
    <row r="60" spans="1:10" s="15" customFormat="1" x14ac:dyDescent="0.15">
      <c r="A60" s="11">
        <v>45378</v>
      </c>
      <c r="B60" s="12" t="s">
        <v>915</v>
      </c>
      <c r="C60" s="12" t="s">
        <v>915</v>
      </c>
      <c r="D60" s="13" t="str">
        <f>HYPERLINK("https://www.marklines.com/en/global/671","ZAO AvtoTOR, Kaliningrad Plant")</f>
        <v>ZAO AvtoTOR, Kaliningrad Plant</v>
      </c>
      <c r="E60" s="12" t="s">
        <v>717</v>
      </c>
      <c r="F60" s="12" t="s">
        <v>17</v>
      </c>
      <c r="G60" s="12" t="s">
        <v>13</v>
      </c>
      <c r="H60" s="12"/>
      <c r="I60" s="14">
        <v>45377</v>
      </c>
      <c r="J60" s="12" t="s">
        <v>1651</v>
      </c>
    </row>
    <row r="61" spans="1:10" s="15" customFormat="1" x14ac:dyDescent="0.15">
      <c r="A61" s="11">
        <v>45378</v>
      </c>
      <c r="B61" s="12" t="s">
        <v>19</v>
      </c>
      <c r="C61" s="12" t="s">
        <v>19</v>
      </c>
      <c r="D61" s="13" t="str">
        <f>HYPERLINK("https://www.marklines.com/en/global/2811","Toyota Argentina S.A. (TASA), Zarate Plant")</f>
        <v>Toyota Argentina S.A. (TASA), Zarate Plant</v>
      </c>
      <c r="E61" s="12" t="s">
        <v>1169</v>
      </c>
      <c r="F61" s="12" t="s">
        <v>66</v>
      </c>
      <c r="G61" s="12" t="s">
        <v>1170</v>
      </c>
      <c r="H61" s="12"/>
      <c r="I61" s="14">
        <v>45377</v>
      </c>
      <c r="J61" s="12" t="s">
        <v>1652</v>
      </c>
    </row>
    <row r="62" spans="1:10" s="15" customFormat="1" x14ac:dyDescent="0.15">
      <c r="A62" s="11">
        <v>45378</v>
      </c>
      <c r="B62" s="12" t="s">
        <v>350</v>
      </c>
      <c r="C62" s="12" t="s">
        <v>646</v>
      </c>
      <c r="D62" s="13" t="str">
        <f>HYPERLINK("https://www.marklines.com/en/global/2781","General Motors Argentina, Rosario Plant")</f>
        <v>General Motors Argentina, Rosario Plant</v>
      </c>
      <c r="E62" s="12" t="s">
        <v>1466</v>
      </c>
      <c r="F62" s="12" t="s">
        <v>66</v>
      </c>
      <c r="G62" s="12" t="s">
        <v>1170</v>
      </c>
      <c r="H62" s="12"/>
      <c r="I62" s="14">
        <v>45377</v>
      </c>
      <c r="J62" s="12" t="s">
        <v>1653</v>
      </c>
    </row>
    <row r="63" spans="1:10" s="15" customFormat="1" x14ac:dyDescent="0.15">
      <c r="A63" s="11">
        <v>45378</v>
      </c>
      <c r="B63" s="12" t="s">
        <v>252</v>
      </c>
      <c r="C63" s="12" t="s">
        <v>252</v>
      </c>
      <c r="D63" s="13" t="str">
        <f>HYPERLINK("https://www.marklines.com/en/global/10160","Renault Technical Center of Lardy")</f>
        <v>Renault Technical Center of Lardy</v>
      </c>
      <c r="E63" s="12" t="s">
        <v>1654</v>
      </c>
      <c r="F63" s="12" t="s">
        <v>16</v>
      </c>
      <c r="G63" s="12" t="s">
        <v>285</v>
      </c>
      <c r="H63" s="12"/>
      <c r="I63" s="14">
        <v>45376</v>
      </c>
      <c r="J63" s="12" t="s">
        <v>1655</v>
      </c>
    </row>
    <row r="64" spans="1:10" s="15" customFormat="1" x14ac:dyDescent="0.15">
      <c r="A64" s="11">
        <v>45378</v>
      </c>
      <c r="B64" s="12" t="s">
        <v>12</v>
      </c>
      <c r="C64" s="12" t="s">
        <v>1470</v>
      </c>
      <c r="D64" s="13" t="str">
        <f>HYPERLINK("https://www.marklines.com/en/global/9580","Van Hool Macedonia (coaches and buses), Skopje Plant")</f>
        <v>Van Hool Macedonia (coaches and buses), Skopje Plant</v>
      </c>
      <c r="E64" s="12" t="s">
        <v>1471</v>
      </c>
      <c r="F64" s="12"/>
      <c r="G64" s="12" t="s">
        <v>1656</v>
      </c>
      <c r="H64" s="12"/>
      <c r="I64" s="14">
        <v>45376</v>
      </c>
      <c r="J64" s="12" t="s">
        <v>1657</v>
      </c>
    </row>
    <row r="65" spans="1:10" s="15" customFormat="1" x14ac:dyDescent="0.15">
      <c r="A65" s="11">
        <v>45378</v>
      </c>
      <c r="B65" s="12" t="s">
        <v>12</v>
      </c>
      <c r="C65" s="12" t="s">
        <v>1470</v>
      </c>
      <c r="D65" s="13" t="str">
        <f>HYPERLINK("https://www.marklines.com/en/global/1507","Van Hool N.V., Koningshooikt Plant")</f>
        <v>Van Hool N.V., Koningshooikt Plant</v>
      </c>
      <c r="E65" s="12" t="s">
        <v>1474</v>
      </c>
      <c r="F65" s="12" t="s">
        <v>16</v>
      </c>
      <c r="G65" s="12" t="s">
        <v>437</v>
      </c>
      <c r="H65" s="12"/>
      <c r="I65" s="14">
        <v>45376</v>
      </c>
      <c r="J65" s="12" t="s">
        <v>1657</v>
      </c>
    </row>
    <row r="66" spans="1:10" s="15" customFormat="1" x14ac:dyDescent="0.15">
      <c r="A66" s="11">
        <v>45378</v>
      </c>
      <c r="B66" s="12" t="s">
        <v>36</v>
      </c>
      <c r="C66" s="12" t="s">
        <v>36</v>
      </c>
      <c r="D66" s="13" t="str">
        <f>HYPERLINK("https://www.marklines.com/en/global/1337","Stellantis, Fiat Powertrain Technologies, Mirafiori (Turin) Plant")</f>
        <v>Stellantis, Fiat Powertrain Technologies, Mirafiori (Turin) Plant</v>
      </c>
      <c r="E66" s="12" t="s">
        <v>1028</v>
      </c>
      <c r="F66" s="12" t="s">
        <v>16</v>
      </c>
      <c r="G66" s="12" t="s">
        <v>37</v>
      </c>
      <c r="H66" s="12"/>
      <c r="I66" s="14">
        <v>45373</v>
      </c>
      <c r="J66" s="12" t="s">
        <v>1658</v>
      </c>
    </row>
    <row r="67" spans="1:10" s="15" customFormat="1" x14ac:dyDescent="0.15">
      <c r="A67" s="11">
        <v>45378</v>
      </c>
      <c r="B67" s="12" t="s">
        <v>36</v>
      </c>
      <c r="C67" s="12" t="s">
        <v>36</v>
      </c>
      <c r="D67" s="13" t="str">
        <f>HYPERLINK("https://www.marklines.com/en/global/1327","Stellantis, FCA Italy, Mirafiori (Turin) Plant")</f>
        <v>Stellantis, FCA Italy, Mirafiori (Turin) Plant</v>
      </c>
      <c r="E67" s="12" t="s">
        <v>82</v>
      </c>
      <c r="F67" s="12" t="s">
        <v>16</v>
      </c>
      <c r="G67" s="12" t="s">
        <v>37</v>
      </c>
      <c r="H67" s="12"/>
      <c r="I67" s="14">
        <v>45373</v>
      </c>
      <c r="J67" s="12" t="s">
        <v>1658</v>
      </c>
    </row>
    <row r="68" spans="1:10" s="15" customFormat="1" x14ac:dyDescent="0.15">
      <c r="A68" s="11">
        <v>45378</v>
      </c>
      <c r="B68" s="12" t="s">
        <v>346</v>
      </c>
      <c r="C68" s="12" t="s">
        <v>346</v>
      </c>
      <c r="D68" s="13" t="str">
        <f>HYPERLINK("https://www.marklines.com/en/global/553","Isuzu Motors, Fujisawa Plant")</f>
        <v>Isuzu Motors, Fujisawa Plant</v>
      </c>
      <c r="E68" s="12" t="s">
        <v>282</v>
      </c>
      <c r="F68" s="12" t="s">
        <v>18</v>
      </c>
      <c r="G68" s="12" t="s">
        <v>20</v>
      </c>
      <c r="H68" s="12" t="s">
        <v>283</v>
      </c>
      <c r="I68" s="14">
        <v>45373</v>
      </c>
      <c r="J68" s="12" t="s">
        <v>1659</v>
      </c>
    </row>
    <row r="69" spans="1:10" s="15" customFormat="1" x14ac:dyDescent="0.15">
      <c r="A69" s="11">
        <v>45378</v>
      </c>
      <c r="B69" s="12" t="s">
        <v>454</v>
      </c>
      <c r="C69" s="12" t="s">
        <v>455</v>
      </c>
      <c r="D69" s="13" t="str">
        <f>HYPERLINK("https://www.marklines.com/en/global/10250","Mercedes-Benz Research and Development India Private Limited (MBRDI)(Bangalore)")</f>
        <v>Mercedes-Benz Research and Development India Private Limited (MBRDI)(Bangalore)</v>
      </c>
      <c r="E69" s="12" t="s">
        <v>1660</v>
      </c>
      <c r="F69" s="12" t="s">
        <v>22</v>
      </c>
      <c r="G69" s="12" t="s">
        <v>23</v>
      </c>
      <c r="H69" s="12" t="s">
        <v>657</v>
      </c>
      <c r="I69" s="14">
        <v>45373</v>
      </c>
      <c r="J69" s="12" t="s">
        <v>1661</v>
      </c>
    </row>
    <row r="70" spans="1:10" s="15" customFormat="1" x14ac:dyDescent="0.15">
      <c r="A70" s="11">
        <v>45378</v>
      </c>
      <c r="B70" s="12" t="s">
        <v>19</v>
      </c>
      <c r="C70" s="12" t="s">
        <v>19</v>
      </c>
      <c r="D70" s="13" t="str">
        <f>HYPERLINK("https://www.marklines.com/en/global/1065","Indus Motor Company Ltd. (IMC), Karachi Plant")</f>
        <v>Indus Motor Company Ltd. (IMC), Karachi Plant</v>
      </c>
      <c r="E70" s="12" t="s">
        <v>1053</v>
      </c>
      <c r="F70" s="12" t="s">
        <v>22</v>
      </c>
      <c r="G70" s="12" t="s">
        <v>257</v>
      </c>
      <c r="H70" s="12"/>
      <c r="I70" s="14">
        <v>45373</v>
      </c>
      <c r="J70" s="12" t="s">
        <v>1662</v>
      </c>
    </row>
    <row r="71" spans="1:10" s="15" customFormat="1" x14ac:dyDescent="0.15">
      <c r="A71" s="11">
        <v>45378</v>
      </c>
      <c r="B71" s="12" t="s">
        <v>19</v>
      </c>
      <c r="C71" s="12" t="s">
        <v>19</v>
      </c>
      <c r="D71" s="13" t="str">
        <f>HYPERLINK("https://www.marklines.com/en/global/373","Toyota Motor, Motomachi Plant")</f>
        <v>Toyota Motor, Motomachi Plant</v>
      </c>
      <c r="E71" s="12" t="s">
        <v>188</v>
      </c>
      <c r="F71" s="12" t="s">
        <v>18</v>
      </c>
      <c r="G71" s="12" t="s">
        <v>20</v>
      </c>
      <c r="H71" s="12" t="s">
        <v>189</v>
      </c>
      <c r="I71" s="14">
        <v>45372</v>
      </c>
      <c r="J71" s="12" t="s">
        <v>1663</v>
      </c>
    </row>
    <row r="72" spans="1:10" s="15" customFormat="1" x14ac:dyDescent="0.15">
      <c r="A72" s="11">
        <v>45378</v>
      </c>
      <c r="B72" s="12" t="s">
        <v>65</v>
      </c>
      <c r="C72" s="12" t="s">
        <v>65</v>
      </c>
      <c r="D72" s="13" t="str">
        <f>HYPERLINK("https://www.marklines.com/en/global/3553","Lanzhou Zhidou Electric Vehicles Company Limited")</f>
        <v>Lanzhou Zhidou Electric Vehicles Company Limited</v>
      </c>
      <c r="E72" s="12" t="s">
        <v>1664</v>
      </c>
      <c r="F72" s="12" t="s">
        <v>18</v>
      </c>
      <c r="G72" s="12" t="s">
        <v>24</v>
      </c>
      <c r="H72" s="12" t="s">
        <v>1665</v>
      </c>
      <c r="I72" s="14">
        <v>45372</v>
      </c>
      <c r="J72" s="12" t="s">
        <v>1666</v>
      </c>
    </row>
    <row r="73" spans="1:10" s="15" customFormat="1" x14ac:dyDescent="0.15">
      <c r="A73" s="11">
        <v>45378</v>
      </c>
      <c r="B73" s="12" t="s">
        <v>102</v>
      </c>
      <c r="C73" s="12" t="s">
        <v>103</v>
      </c>
      <c r="D73" s="13" t="str">
        <f>HYPERLINK("https://www.marklines.com/en/global/3941","Xiamen King Long United Automotive Industry Co., Ltd. ")</f>
        <v xml:space="preserve">Xiamen King Long United Automotive Industry Co., Ltd. </v>
      </c>
      <c r="E73" s="12" t="s">
        <v>1667</v>
      </c>
      <c r="F73" s="12" t="s">
        <v>18</v>
      </c>
      <c r="G73" s="12" t="s">
        <v>24</v>
      </c>
      <c r="H73" s="12" t="s">
        <v>710</v>
      </c>
      <c r="I73" s="14">
        <v>45372</v>
      </c>
      <c r="J73" s="12" t="s">
        <v>1668</v>
      </c>
    </row>
    <row r="74" spans="1:10" s="15" customFormat="1" x14ac:dyDescent="0.15">
      <c r="A74" s="11">
        <v>45378</v>
      </c>
      <c r="B74" s="12" t="s">
        <v>28</v>
      </c>
      <c r="C74" s="12" t="s">
        <v>1669</v>
      </c>
      <c r="D74" s="13" t="str">
        <f>HYPERLINK("https://www.marklines.com/en/global/1378","Bentley Motors Ltd., Crewe Plant")</f>
        <v>Bentley Motors Ltd., Crewe Plant</v>
      </c>
      <c r="E74" s="12" t="s">
        <v>1670</v>
      </c>
      <c r="F74" s="12" t="s">
        <v>16</v>
      </c>
      <c r="G74" s="12" t="s">
        <v>233</v>
      </c>
      <c r="H74" s="12"/>
      <c r="I74" s="14">
        <v>45370</v>
      </c>
      <c r="J74" s="12" t="s">
        <v>1671</v>
      </c>
    </row>
    <row r="75" spans="1:10" s="15" customFormat="1" x14ac:dyDescent="0.15">
      <c r="A75" s="11">
        <v>45378</v>
      </c>
      <c r="B75" s="12" t="s">
        <v>19</v>
      </c>
      <c r="C75" s="12" t="s">
        <v>19</v>
      </c>
      <c r="D75" s="13" t="str">
        <f>HYPERLINK("https://www.marklines.com/en/global/543","Daihatsu Motor, Shiga (Ryuo) Plant")</f>
        <v>Daihatsu Motor, Shiga (Ryuo) Plant</v>
      </c>
      <c r="E75" s="12" t="s">
        <v>513</v>
      </c>
      <c r="F75" s="12" t="s">
        <v>18</v>
      </c>
      <c r="G75" s="12" t="s">
        <v>20</v>
      </c>
      <c r="H75" s="12" t="s">
        <v>514</v>
      </c>
      <c r="I75" s="14">
        <v>45369</v>
      </c>
      <c r="J75" s="12" t="s">
        <v>1672</v>
      </c>
    </row>
    <row r="76" spans="1:10" s="15" customFormat="1" x14ac:dyDescent="0.15">
      <c r="A76" s="11">
        <v>45378</v>
      </c>
      <c r="B76" s="12" t="s">
        <v>19</v>
      </c>
      <c r="C76" s="12" t="s">
        <v>512</v>
      </c>
      <c r="D76" s="13" t="str">
        <f>HYPERLINK("https://www.marklines.com/en/global/543","Daihatsu Motor, Shiga (Ryuo) Plant")</f>
        <v>Daihatsu Motor, Shiga (Ryuo) Plant</v>
      </c>
      <c r="E76" s="12" t="s">
        <v>513</v>
      </c>
      <c r="F76" s="12" t="s">
        <v>18</v>
      </c>
      <c r="G76" s="12" t="s">
        <v>20</v>
      </c>
      <c r="H76" s="12" t="s">
        <v>514</v>
      </c>
      <c r="I76" s="14">
        <v>45369</v>
      </c>
      <c r="J76" s="12" t="s">
        <v>1672</v>
      </c>
    </row>
    <row r="77" spans="1:10" s="15" customFormat="1" x14ac:dyDescent="0.15">
      <c r="A77" s="11">
        <v>45378</v>
      </c>
      <c r="B77" s="12" t="s">
        <v>956</v>
      </c>
      <c r="C77" s="12" t="s">
        <v>956</v>
      </c>
      <c r="D77" s="13" t="str">
        <f>HYPERLINK("https://www.marklines.com/en/global/543","Daihatsu Motor, Shiga (Ryuo) Plant")</f>
        <v>Daihatsu Motor, Shiga (Ryuo) Plant</v>
      </c>
      <c r="E77" s="12" t="s">
        <v>513</v>
      </c>
      <c r="F77" s="12" t="s">
        <v>18</v>
      </c>
      <c r="G77" s="12" t="s">
        <v>20</v>
      </c>
      <c r="H77" s="12" t="s">
        <v>514</v>
      </c>
      <c r="I77" s="14">
        <v>45369</v>
      </c>
      <c r="J77" s="12" t="s">
        <v>1672</v>
      </c>
    </row>
    <row r="78" spans="1:10" s="15" customFormat="1" x14ac:dyDescent="0.15">
      <c r="A78" s="11">
        <v>45378</v>
      </c>
      <c r="B78" s="12" t="s">
        <v>19</v>
      </c>
      <c r="C78" s="12" t="s">
        <v>19</v>
      </c>
      <c r="D78" s="13" t="str">
        <f>HYPERLINK("https://www.marklines.com/en/global/541","Daihatsu Motor, Kyoto (Oyamazaki) Plant")</f>
        <v>Daihatsu Motor, Kyoto (Oyamazaki) Plant</v>
      </c>
      <c r="E78" s="12" t="s">
        <v>518</v>
      </c>
      <c r="F78" s="12" t="s">
        <v>18</v>
      </c>
      <c r="G78" s="12" t="s">
        <v>20</v>
      </c>
      <c r="H78" s="12" t="s">
        <v>519</v>
      </c>
      <c r="I78" s="14">
        <v>45366</v>
      </c>
      <c r="J78" s="12" t="s">
        <v>1673</v>
      </c>
    </row>
    <row r="79" spans="1:10" s="15" customFormat="1" x14ac:dyDescent="0.15">
      <c r="A79" s="11">
        <v>45378</v>
      </c>
      <c r="B79" s="12" t="s">
        <v>19</v>
      </c>
      <c r="C79" s="12" t="s">
        <v>512</v>
      </c>
      <c r="D79" s="13" t="str">
        <f>HYPERLINK("https://www.marklines.com/en/global/541","Daihatsu Motor, Kyoto (Oyamazaki) Plant")</f>
        <v>Daihatsu Motor, Kyoto (Oyamazaki) Plant</v>
      </c>
      <c r="E79" s="12" t="s">
        <v>518</v>
      </c>
      <c r="F79" s="12" t="s">
        <v>18</v>
      </c>
      <c r="G79" s="12" t="s">
        <v>20</v>
      </c>
      <c r="H79" s="12" t="s">
        <v>519</v>
      </c>
      <c r="I79" s="14">
        <v>45366</v>
      </c>
      <c r="J79" s="12" t="s">
        <v>1673</v>
      </c>
    </row>
    <row r="80" spans="1:10" s="15" customFormat="1" x14ac:dyDescent="0.15">
      <c r="A80" s="11">
        <v>45378</v>
      </c>
      <c r="B80" s="12" t="s">
        <v>956</v>
      </c>
      <c r="C80" s="12" t="s">
        <v>956</v>
      </c>
      <c r="D80" s="13" t="str">
        <f>HYPERLINK("https://www.marklines.com/en/global/541","Daihatsu Motor, Kyoto (Oyamazaki) Plant")</f>
        <v>Daihatsu Motor, Kyoto (Oyamazaki) Plant</v>
      </c>
      <c r="E80" s="12" t="s">
        <v>518</v>
      </c>
      <c r="F80" s="12" t="s">
        <v>18</v>
      </c>
      <c r="G80" s="12" t="s">
        <v>20</v>
      </c>
      <c r="H80" s="12" t="s">
        <v>519</v>
      </c>
      <c r="I80" s="14">
        <v>45366</v>
      </c>
      <c r="J80" s="12" t="s">
        <v>1673</v>
      </c>
    </row>
    <row r="81" spans="1:10" s="15" customFormat="1" x14ac:dyDescent="0.15">
      <c r="A81" s="11">
        <v>45378</v>
      </c>
      <c r="B81" s="12" t="s">
        <v>298</v>
      </c>
      <c r="C81" s="12" t="s">
        <v>299</v>
      </c>
      <c r="D81" s="13" t="str">
        <f>HYPERLINK("https://www.marklines.com/en/global/497","Suzuki Motor, Iwata Plant")</f>
        <v>Suzuki Motor, Iwata Plant</v>
      </c>
      <c r="E81" s="12" t="s">
        <v>1213</v>
      </c>
      <c r="F81" s="12" t="s">
        <v>18</v>
      </c>
      <c r="G81" s="12" t="s">
        <v>20</v>
      </c>
      <c r="H81" s="12" t="s">
        <v>107</v>
      </c>
      <c r="I81" s="14">
        <v>45365</v>
      </c>
      <c r="J81" s="12" t="s">
        <v>1674</v>
      </c>
    </row>
    <row r="82" spans="1:10" s="15" customFormat="1" x14ac:dyDescent="0.15">
      <c r="A82" s="11">
        <v>45378</v>
      </c>
      <c r="B82" s="12" t="s">
        <v>346</v>
      </c>
      <c r="C82" s="12" t="s">
        <v>346</v>
      </c>
      <c r="D82" s="13" t="str">
        <f>HYPERLINK("https://www.marklines.com/en/global/749","Avtozavod Saint Petersburg (former Nissan Manufacturing Rus OOO, Kamenka (St. Petersburg) Plant)")</f>
        <v>Avtozavod Saint Petersburg (former Nissan Manufacturing Rus OOO, Kamenka (St. Petersburg) Plant)</v>
      </c>
      <c r="E82" s="12" t="s">
        <v>100</v>
      </c>
      <c r="F82" s="12" t="s">
        <v>17</v>
      </c>
      <c r="G82" s="12" t="s">
        <v>13</v>
      </c>
      <c r="H82" s="12"/>
      <c r="I82" s="14">
        <v>45364</v>
      </c>
      <c r="J82" s="12" t="s">
        <v>1675</v>
      </c>
    </row>
    <row r="83" spans="1:10" s="15" customFormat="1" x14ac:dyDescent="0.15">
      <c r="A83" s="11">
        <v>45378</v>
      </c>
      <c r="B83" s="12" t="s">
        <v>12</v>
      </c>
      <c r="C83" s="12" t="s">
        <v>12</v>
      </c>
      <c r="D83" s="13" t="str">
        <f>HYPERLINK("https://www.marklines.com/en/global/749","Avtozavod Saint Petersburg (former Nissan Manufacturing Rus OOO, Kamenka (St. Petersburg) Plant)")</f>
        <v>Avtozavod Saint Petersburg (former Nissan Manufacturing Rus OOO, Kamenka (St. Petersburg) Plant)</v>
      </c>
      <c r="E83" s="12" t="s">
        <v>100</v>
      </c>
      <c r="F83" s="12" t="s">
        <v>17</v>
      </c>
      <c r="G83" s="12" t="s">
        <v>13</v>
      </c>
      <c r="H83" s="12"/>
      <c r="I83" s="14">
        <v>45364</v>
      </c>
      <c r="J83" s="12" t="s">
        <v>1675</v>
      </c>
    </row>
    <row r="84" spans="1:10" s="15" customFormat="1" x14ac:dyDescent="0.15">
      <c r="A84" s="11">
        <v>45377</v>
      </c>
      <c r="B84" s="12" t="s">
        <v>36</v>
      </c>
      <c r="C84" s="12" t="s">
        <v>36</v>
      </c>
      <c r="D84" s="13" t="str">
        <f>HYPERLINK("https://www.marklines.com/en/global/1931","Stellantis, Opel Espana de Automoviles, S.A., Zaragoza (Figueruelas) Plant")</f>
        <v>Stellantis, Opel Espana de Automoviles, S.A., Zaragoza (Figueruelas) Plant</v>
      </c>
      <c r="E84" s="12" t="s">
        <v>52</v>
      </c>
      <c r="F84" s="12" t="s">
        <v>16</v>
      </c>
      <c r="G84" s="12" t="s">
        <v>42</v>
      </c>
      <c r="H84" s="12"/>
      <c r="I84" s="14">
        <v>45376</v>
      </c>
      <c r="J84" s="12" t="s">
        <v>1676</v>
      </c>
    </row>
    <row r="85" spans="1:10" s="15" customFormat="1" x14ac:dyDescent="0.15">
      <c r="A85" s="11">
        <v>45377</v>
      </c>
      <c r="B85" s="12" t="s">
        <v>28</v>
      </c>
      <c r="C85" s="12" t="s">
        <v>353</v>
      </c>
      <c r="D85" s="13" t="str">
        <f>HYPERLINK("https://www.marklines.com/en/global/10750","Northvolt Drei, Heide Plant (tentative name）")</f>
        <v>Northvolt Drei, Heide Plant (tentative name）</v>
      </c>
      <c r="E85" s="12" t="s">
        <v>354</v>
      </c>
      <c r="F85" s="12" t="s">
        <v>16</v>
      </c>
      <c r="G85" s="12" t="s">
        <v>208</v>
      </c>
      <c r="H85" s="12"/>
      <c r="I85" s="14">
        <v>45376</v>
      </c>
      <c r="J85" s="12" t="s">
        <v>1677</v>
      </c>
    </row>
    <row r="86" spans="1:10" s="15" customFormat="1" x14ac:dyDescent="0.15">
      <c r="A86" s="11">
        <v>45377</v>
      </c>
      <c r="B86" s="12" t="s">
        <v>28</v>
      </c>
      <c r="C86" s="12" t="s">
        <v>800</v>
      </c>
      <c r="D86" s="13" t="str">
        <f>HYPERLINK("https://www.marklines.com/en/global/2189","Porsche AG, Stuttgart-Zuffenhausen Plant")</f>
        <v>Porsche AG, Stuttgart-Zuffenhausen Plant</v>
      </c>
      <c r="E86" s="12" t="s">
        <v>1678</v>
      </c>
      <c r="F86" s="12" t="s">
        <v>16</v>
      </c>
      <c r="G86" s="12" t="s">
        <v>208</v>
      </c>
      <c r="H86" s="12"/>
      <c r="I86" s="14">
        <v>45376</v>
      </c>
      <c r="J86" s="12" t="s">
        <v>1679</v>
      </c>
    </row>
    <row r="87" spans="1:10" s="15" customFormat="1" x14ac:dyDescent="0.15">
      <c r="A87" s="11">
        <v>45377</v>
      </c>
      <c r="B87" s="12" t="s">
        <v>674</v>
      </c>
      <c r="C87" s="12" t="s">
        <v>674</v>
      </c>
      <c r="D87" s="13" t="str">
        <f>HYPERLINK("https://www.marklines.com/en/global/1809","Magna Steyr Fahrzeugtechnik AG &amp; Co KG, Graz Plant")</f>
        <v>Magna Steyr Fahrzeugtechnik AG &amp; Co KG, Graz Plant</v>
      </c>
      <c r="E87" s="12" t="s">
        <v>675</v>
      </c>
      <c r="F87" s="12" t="s">
        <v>16</v>
      </c>
      <c r="G87" s="12" t="s">
        <v>637</v>
      </c>
      <c r="H87" s="12"/>
      <c r="I87" s="14">
        <v>45376</v>
      </c>
      <c r="J87" s="12" t="s">
        <v>1680</v>
      </c>
    </row>
    <row r="88" spans="1:10" s="15" customFormat="1" x14ac:dyDescent="0.15">
      <c r="A88" s="11">
        <v>45377</v>
      </c>
      <c r="B88" s="12" t="s">
        <v>65</v>
      </c>
      <c r="C88" s="12" t="s">
        <v>316</v>
      </c>
      <c r="D88" s="13" t="str">
        <f>HYPERLINK("https://www.marklines.com/en/global/4303","Volvo Car Chengdu Manufacturing Plant")</f>
        <v>Volvo Car Chengdu Manufacturing Plant</v>
      </c>
      <c r="E88" s="12" t="s">
        <v>1221</v>
      </c>
      <c r="F88" s="12" t="s">
        <v>18</v>
      </c>
      <c r="G88" s="12" t="s">
        <v>24</v>
      </c>
      <c r="H88" s="12" t="s">
        <v>330</v>
      </c>
      <c r="I88" s="14">
        <v>45376</v>
      </c>
      <c r="J88" s="12" t="s">
        <v>1681</v>
      </c>
    </row>
    <row r="89" spans="1:10" s="15" customFormat="1" x14ac:dyDescent="0.15">
      <c r="A89" s="11">
        <v>45377</v>
      </c>
      <c r="B89" s="12" t="s">
        <v>65</v>
      </c>
      <c r="C89" s="12" t="s">
        <v>316</v>
      </c>
      <c r="D89" s="13" t="str">
        <f>HYPERLINK("https://www.marklines.com/en/global/9324","Volvo Cars, Ridgeville Plant")</f>
        <v>Volvo Cars, Ridgeville Plant</v>
      </c>
      <c r="E89" s="12" t="s">
        <v>1219</v>
      </c>
      <c r="F89" s="12" t="s">
        <v>15</v>
      </c>
      <c r="G89" s="12" t="s">
        <v>11</v>
      </c>
      <c r="H89" s="12" t="s">
        <v>627</v>
      </c>
      <c r="I89" s="14">
        <v>45376</v>
      </c>
      <c r="J89" s="12" t="s">
        <v>1681</v>
      </c>
    </row>
    <row r="90" spans="1:10" s="15" customFormat="1" x14ac:dyDescent="0.15">
      <c r="A90" s="11">
        <v>45377</v>
      </c>
      <c r="B90" s="12" t="s">
        <v>28</v>
      </c>
      <c r="C90" s="12" t="s">
        <v>35</v>
      </c>
      <c r="D90" s="13" t="str">
        <f>HYPERLINK("https://www.marklines.com/en/global/3309","Volkswagen Group of America Chattanooga Operations, LLC, Chattanooga Plant")</f>
        <v>Volkswagen Group of America Chattanooga Operations, LLC, Chattanooga Plant</v>
      </c>
      <c r="E90" s="12" t="s">
        <v>829</v>
      </c>
      <c r="F90" s="12" t="s">
        <v>15</v>
      </c>
      <c r="G90" s="12" t="s">
        <v>11</v>
      </c>
      <c r="H90" s="12" t="s">
        <v>348</v>
      </c>
      <c r="I90" s="14">
        <v>45376</v>
      </c>
      <c r="J90" s="12" t="s">
        <v>1682</v>
      </c>
    </row>
    <row r="91" spans="1:10" s="15" customFormat="1" x14ac:dyDescent="0.15">
      <c r="A91" s="11">
        <v>45377</v>
      </c>
      <c r="B91" s="12" t="s">
        <v>14</v>
      </c>
      <c r="C91" s="12" t="s">
        <v>14</v>
      </c>
      <c r="D91" s="13" t="str">
        <f>HYPERLINK("https://www.marklines.com/en/global/1173","Honda Cars India (HCIL), Tapukara Plant")</f>
        <v>Honda Cars India (HCIL), Tapukara Plant</v>
      </c>
      <c r="E91" s="12" t="s">
        <v>1056</v>
      </c>
      <c r="F91" s="12" t="s">
        <v>22</v>
      </c>
      <c r="G91" s="12" t="s">
        <v>23</v>
      </c>
      <c r="H91" s="12" t="s">
        <v>1057</v>
      </c>
      <c r="I91" s="14">
        <v>45373</v>
      </c>
      <c r="J91" s="12" t="s">
        <v>1683</v>
      </c>
    </row>
    <row r="92" spans="1:10" s="15" customFormat="1" x14ac:dyDescent="0.15">
      <c r="A92" s="11">
        <v>45377</v>
      </c>
      <c r="B92" s="12" t="s">
        <v>21</v>
      </c>
      <c r="C92" s="12" t="s">
        <v>21</v>
      </c>
      <c r="D92" s="13" t="str">
        <f>HYPERLINK("https://www.marklines.com/en/global/1901","Ford Motor Spain, Valencia (Almussafes) Plant")</f>
        <v>Ford Motor Spain, Valencia (Almussafes) Plant</v>
      </c>
      <c r="E92" s="12" t="s">
        <v>485</v>
      </c>
      <c r="F92" s="12" t="s">
        <v>16</v>
      </c>
      <c r="G92" s="12" t="s">
        <v>42</v>
      </c>
      <c r="H92" s="12"/>
      <c r="I92" s="14">
        <v>45372</v>
      </c>
      <c r="J92" s="12" t="s">
        <v>1684</v>
      </c>
    </row>
    <row r="93" spans="1:10" s="15" customFormat="1" x14ac:dyDescent="0.15">
      <c r="A93" s="11">
        <v>45377</v>
      </c>
      <c r="B93" s="12" t="s">
        <v>28</v>
      </c>
      <c r="C93" s="12" t="s">
        <v>187</v>
      </c>
      <c r="D93" s="13" t="str">
        <f>HYPERLINK("https://www.marklines.com/en/global/1955","SEAT S.A., Martorell Plant")</f>
        <v>SEAT S.A., Martorell Plant</v>
      </c>
      <c r="E93" s="12" t="s">
        <v>185</v>
      </c>
      <c r="F93" s="12" t="s">
        <v>16</v>
      </c>
      <c r="G93" s="12" t="s">
        <v>42</v>
      </c>
      <c r="H93" s="12"/>
      <c r="I93" s="14">
        <v>45372</v>
      </c>
      <c r="J93" s="12" t="s">
        <v>1685</v>
      </c>
    </row>
    <row r="94" spans="1:10" s="15" customFormat="1" x14ac:dyDescent="0.15">
      <c r="A94" s="11">
        <v>45377</v>
      </c>
      <c r="B94" s="12" t="s">
        <v>28</v>
      </c>
      <c r="C94" s="12" t="s">
        <v>105</v>
      </c>
      <c r="D94" s="13" t="str">
        <f>HYPERLINK("https://www.marklines.com/en/global/1955","SEAT S.A., Martorell Plant")</f>
        <v>SEAT S.A., Martorell Plant</v>
      </c>
      <c r="E94" s="12" t="s">
        <v>185</v>
      </c>
      <c r="F94" s="12" t="s">
        <v>16</v>
      </c>
      <c r="G94" s="12" t="s">
        <v>42</v>
      </c>
      <c r="H94" s="12"/>
      <c r="I94" s="14">
        <v>45372</v>
      </c>
      <c r="J94" s="12" t="s">
        <v>1685</v>
      </c>
    </row>
    <row r="95" spans="1:10" s="15" customFormat="1" x14ac:dyDescent="0.15">
      <c r="A95" s="11">
        <v>45377</v>
      </c>
      <c r="B95" s="12" t="s">
        <v>12</v>
      </c>
      <c r="C95" s="12" t="s">
        <v>179</v>
      </c>
      <c r="D95" s="13" t="str">
        <f>HYPERLINK("https://www.marklines.com/en/global/10464","Siro Silk Road Clean Energy Storage Technologies (formerly SIRO Silk Road Temiz Enerji Çözümleri San. Tic. A.Ş.)")</f>
        <v>Siro Silk Road Clean Energy Storage Technologies (formerly SIRO Silk Road Temiz Enerji Çözümleri San. Tic. A.Ş.)</v>
      </c>
      <c r="E95" s="12" t="s">
        <v>1686</v>
      </c>
      <c r="F95" s="12" t="s">
        <v>181</v>
      </c>
      <c r="G95" s="12" t="s">
        <v>182</v>
      </c>
      <c r="H95" s="12"/>
      <c r="I95" s="14">
        <v>45372</v>
      </c>
      <c r="J95" s="12" t="s">
        <v>1687</v>
      </c>
    </row>
    <row r="96" spans="1:10" s="15" customFormat="1" x14ac:dyDescent="0.15">
      <c r="A96" s="11">
        <v>45377</v>
      </c>
      <c r="B96" s="12" t="s">
        <v>28</v>
      </c>
      <c r="C96" s="12" t="s">
        <v>35</v>
      </c>
      <c r="D96" s="13" t="str">
        <f>HYPERLINK("https://www.marklines.com/en/global/9517","Volkswagen (Anhui) Automotive Company Limited  (formerly JAC Volkswagen Automotive Co., Ltd.)")</f>
        <v>Volkswagen (Anhui) Automotive Company Limited  (formerly JAC Volkswagen Automotive Co., Ltd.)</v>
      </c>
      <c r="E96" s="12" t="s">
        <v>115</v>
      </c>
      <c r="F96" s="12" t="s">
        <v>18</v>
      </c>
      <c r="G96" s="12" t="s">
        <v>24</v>
      </c>
      <c r="H96" s="12" t="s">
        <v>55</v>
      </c>
      <c r="I96" s="14">
        <v>45372</v>
      </c>
      <c r="J96" s="12" t="s">
        <v>1688</v>
      </c>
    </row>
    <row r="97" spans="1:10" s="15" customFormat="1" x14ac:dyDescent="0.15">
      <c r="A97" s="11">
        <v>45377</v>
      </c>
      <c r="B97" s="12" t="s">
        <v>28</v>
      </c>
      <c r="C97" s="12" t="s">
        <v>35</v>
      </c>
      <c r="D97" s="13" t="str">
        <f>HYPERLINK("https://www.marklines.com/en/global/3481","Volkswagen (China) Investment Co., Ltd. ")</f>
        <v xml:space="preserve">Volkswagen (China) Investment Co., Ltd. </v>
      </c>
      <c r="E97" s="12" t="s">
        <v>739</v>
      </c>
      <c r="F97" s="12" t="s">
        <v>18</v>
      </c>
      <c r="G97" s="12" t="s">
        <v>24</v>
      </c>
      <c r="H97" s="12" t="s">
        <v>71</v>
      </c>
      <c r="I97" s="14">
        <v>45372</v>
      </c>
      <c r="J97" s="12" t="s">
        <v>1688</v>
      </c>
    </row>
    <row r="98" spans="1:10" s="15" customFormat="1" x14ac:dyDescent="0.15">
      <c r="A98" s="11">
        <v>45377</v>
      </c>
      <c r="B98" s="12" t="s">
        <v>28</v>
      </c>
      <c r="C98" s="12" t="s">
        <v>35</v>
      </c>
      <c r="D98" s="13" t="str">
        <f>HYPERLINK("https://www.marklines.com/en/global/3341","FAW-Volkswagen Automotive Co., Ltd.")</f>
        <v>FAW-Volkswagen Automotive Co., Ltd.</v>
      </c>
      <c r="E98" s="12" t="s">
        <v>1689</v>
      </c>
      <c r="F98" s="12" t="s">
        <v>18</v>
      </c>
      <c r="G98" s="12" t="s">
        <v>24</v>
      </c>
      <c r="H98" s="12" t="s">
        <v>392</v>
      </c>
      <c r="I98" s="14">
        <v>45372</v>
      </c>
      <c r="J98" s="12" t="s">
        <v>1688</v>
      </c>
    </row>
    <row r="99" spans="1:10" s="15" customFormat="1" x14ac:dyDescent="0.15">
      <c r="A99" s="11">
        <v>45377</v>
      </c>
      <c r="B99" s="12" t="s">
        <v>28</v>
      </c>
      <c r="C99" s="12" t="s">
        <v>35</v>
      </c>
      <c r="D99" s="13" t="str">
        <f>HYPERLINK("https://www.marklines.com/en/global/3615","SAIC Volkswagen Automotive Co., Ltd.")</f>
        <v>SAIC Volkswagen Automotive Co., Ltd.</v>
      </c>
      <c r="E99" s="12" t="s">
        <v>116</v>
      </c>
      <c r="F99" s="12" t="s">
        <v>18</v>
      </c>
      <c r="G99" s="12" t="s">
        <v>24</v>
      </c>
      <c r="H99" s="12" t="s">
        <v>56</v>
      </c>
      <c r="I99" s="14">
        <v>45372</v>
      </c>
      <c r="J99" s="12" t="s">
        <v>1688</v>
      </c>
    </row>
    <row r="100" spans="1:10" s="15" customFormat="1" x14ac:dyDescent="0.15">
      <c r="A100" s="11">
        <v>45377</v>
      </c>
      <c r="B100" s="12" t="s">
        <v>12</v>
      </c>
      <c r="C100" s="12" t="s">
        <v>324</v>
      </c>
      <c r="D100" s="13" t="str">
        <f>HYPERLINK("https://www.marklines.com/en/global/4149","Guangxi Automobile Group Co., Ltd.")</f>
        <v>Guangxi Automobile Group Co., Ltd.</v>
      </c>
      <c r="E100" s="12" t="s">
        <v>773</v>
      </c>
      <c r="F100" s="12" t="s">
        <v>18</v>
      </c>
      <c r="G100" s="12" t="s">
        <v>24</v>
      </c>
      <c r="H100" s="12" t="s">
        <v>326</v>
      </c>
      <c r="I100" s="14">
        <v>45372</v>
      </c>
      <c r="J100" s="12" t="s">
        <v>1690</v>
      </c>
    </row>
    <row r="101" spans="1:10" s="15" customFormat="1" x14ac:dyDescent="0.15">
      <c r="A101" s="11">
        <v>45377</v>
      </c>
      <c r="B101" s="12" t="s">
        <v>21</v>
      </c>
      <c r="C101" s="12" t="s">
        <v>21</v>
      </c>
      <c r="D101" s="13" t="str">
        <f>HYPERLINK("https://www.marklines.com/en/global/1155","Ford India, Chennai (Maraimalai Nagar) Plant")</f>
        <v>Ford India, Chennai (Maraimalai Nagar) Plant</v>
      </c>
      <c r="E101" s="12" t="s">
        <v>1691</v>
      </c>
      <c r="F101" s="12" t="s">
        <v>22</v>
      </c>
      <c r="G101" s="12" t="s">
        <v>23</v>
      </c>
      <c r="H101" s="12" t="s">
        <v>254</v>
      </c>
      <c r="I101" s="14">
        <v>45372</v>
      </c>
      <c r="J101" s="12" t="s">
        <v>1692</v>
      </c>
    </row>
    <row r="102" spans="1:10" s="15" customFormat="1" x14ac:dyDescent="0.15">
      <c r="A102" s="11">
        <v>45377</v>
      </c>
      <c r="B102" s="12" t="s">
        <v>21</v>
      </c>
      <c r="C102" s="12" t="s">
        <v>21</v>
      </c>
      <c r="D102" s="13" t="str">
        <f>HYPERLINK("https://www.marklines.com/en/global/10142","Ford Global Technology &amp; Business center (Chennai)")</f>
        <v>Ford Global Technology &amp; Business center (Chennai)</v>
      </c>
      <c r="E102" s="12" t="s">
        <v>1693</v>
      </c>
      <c r="F102" s="12" t="s">
        <v>22</v>
      </c>
      <c r="G102" s="12" t="s">
        <v>23</v>
      </c>
      <c r="H102" s="12" t="s">
        <v>254</v>
      </c>
      <c r="I102" s="14">
        <v>45372</v>
      </c>
      <c r="J102" s="12" t="s">
        <v>1692</v>
      </c>
    </row>
    <row r="103" spans="1:10" s="15" customFormat="1" x14ac:dyDescent="0.15">
      <c r="A103" s="11">
        <v>45377</v>
      </c>
      <c r="B103" s="12" t="s">
        <v>21</v>
      </c>
      <c r="C103" s="12" t="s">
        <v>21</v>
      </c>
      <c r="D103" s="13" t="str">
        <f>HYPERLINK("https://www.marklines.com/en/global/1153","Ford India Pvt. Ltd.")</f>
        <v>Ford India Pvt. Ltd.</v>
      </c>
      <c r="E103" s="12" t="s">
        <v>1694</v>
      </c>
      <c r="F103" s="12" t="s">
        <v>22</v>
      </c>
      <c r="G103" s="12" t="s">
        <v>23</v>
      </c>
      <c r="H103" s="12" t="s">
        <v>254</v>
      </c>
      <c r="I103" s="14">
        <v>45372</v>
      </c>
      <c r="J103" s="12" t="s">
        <v>1692</v>
      </c>
    </row>
    <row r="104" spans="1:10" s="15" customFormat="1" x14ac:dyDescent="0.15">
      <c r="A104" s="11">
        <v>45377</v>
      </c>
      <c r="B104" s="12" t="s">
        <v>571</v>
      </c>
      <c r="C104" s="12" t="s">
        <v>652</v>
      </c>
      <c r="D104" s="13" t="str">
        <f>HYPERLINK("https://www.marklines.com/en/global/9824","GAC Aion New Energy Automobile Co., Ltd.")</f>
        <v>GAC Aion New Energy Automobile Co., Ltd.</v>
      </c>
      <c r="E104" s="12" t="s">
        <v>653</v>
      </c>
      <c r="F104" s="12" t="s">
        <v>18</v>
      </c>
      <c r="G104" s="12" t="s">
        <v>24</v>
      </c>
      <c r="H104" s="12" t="s">
        <v>63</v>
      </c>
      <c r="I104" s="14">
        <v>45371</v>
      </c>
      <c r="J104" s="12" t="s">
        <v>1695</v>
      </c>
    </row>
    <row r="105" spans="1:10" s="15" customFormat="1" x14ac:dyDescent="0.15">
      <c r="A105" s="11">
        <v>45377</v>
      </c>
      <c r="B105" s="12" t="s">
        <v>571</v>
      </c>
      <c r="C105" s="12" t="s">
        <v>652</v>
      </c>
      <c r="D105" s="13" t="str">
        <f>HYPERLINK("https://www.marklines.com/en/global/8808","GAC Aion New Energy Automobile Co., Ltd. Changsha Branch (formerly GAC Mitsubishi Motors Co., Ltd.)")</f>
        <v>GAC Aion New Energy Automobile Co., Ltd. Changsha Branch (formerly GAC Mitsubishi Motors Co., Ltd.)</v>
      </c>
      <c r="E105" s="12" t="s">
        <v>1696</v>
      </c>
      <c r="F105" s="12" t="s">
        <v>18</v>
      </c>
      <c r="G105" s="12" t="s">
        <v>24</v>
      </c>
      <c r="H105" s="12" t="s">
        <v>398</v>
      </c>
      <c r="I105" s="14">
        <v>45371</v>
      </c>
      <c r="J105" s="12" t="s">
        <v>1695</v>
      </c>
    </row>
    <row r="106" spans="1:10" s="15" customFormat="1" x14ac:dyDescent="0.15">
      <c r="A106" s="11">
        <v>45376</v>
      </c>
      <c r="B106" s="12" t="s">
        <v>65</v>
      </c>
      <c r="C106" s="12" t="s">
        <v>328</v>
      </c>
      <c r="D106" s="13" t="str">
        <f>HYPERLINK("https://www.marklines.com/en/global/10797","Zhejiang Geely Farizon New Energy Commercial Vehicle Group Co., Ltd. ")</f>
        <v xml:space="preserve">Zhejiang Geely Farizon New Energy Commercial Vehicle Group Co., Ltd. </v>
      </c>
      <c r="E106" s="12" t="s">
        <v>726</v>
      </c>
      <c r="F106" s="12" t="s">
        <v>18</v>
      </c>
      <c r="G106" s="12" t="s">
        <v>24</v>
      </c>
      <c r="H106" s="12" t="s">
        <v>61</v>
      </c>
      <c r="I106" s="14">
        <v>45371</v>
      </c>
      <c r="J106" s="12" t="s">
        <v>1697</v>
      </c>
    </row>
    <row r="107" spans="1:10" s="15" customFormat="1" x14ac:dyDescent="0.15">
      <c r="A107" s="11">
        <v>45376</v>
      </c>
      <c r="B107" s="12" t="s">
        <v>448</v>
      </c>
      <c r="C107" s="12" t="s">
        <v>448</v>
      </c>
      <c r="D107" s="13" t="str">
        <f>HYPERLINK("https://www.marklines.com/en/global/9536","Zhejiang Leapmotor Technology Co., Ltd.")</f>
        <v>Zhejiang Leapmotor Technology Co., Ltd.</v>
      </c>
      <c r="E107" s="12" t="s">
        <v>575</v>
      </c>
      <c r="F107" s="12" t="s">
        <v>18</v>
      </c>
      <c r="G107" s="12" t="s">
        <v>24</v>
      </c>
      <c r="H107" s="12" t="s">
        <v>61</v>
      </c>
      <c r="I107" s="14">
        <v>45371</v>
      </c>
      <c r="J107" s="12" t="s">
        <v>1698</v>
      </c>
    </row>
    <row r="108" spans="1:10" s="15" customFormat="1" x14ac:dyDescent="0.15">
      <c r="A108" s="11">
        <v>45376</v>
      </c>
      <c r="B108" s="12" t="s">
        <v>390</v>
      </c>
      <c r="C108" s="12" t="s">
        <v>930</v>
      </c>
      <c r="D108" s="13" t="str">
        <f>HYPERLINK("https://www.marklines.com/en/global/10437","FAW Hongqi New Energy Car Plant")</f>
        <v>FAW Hongqi New Energy Car Plant</v>
      </c>
      <c r="E108" s="12" t="s">
        <v>933</v>
      </c>
      <c r="F108" s="12" t="s">
        <v>18</v>
      </c>
      <c r="G108" s="12" t="s">
        <v>24</v>
      </c>
      <c r="H108" s="12" t="s">
        <v>392</v>
      </c>
      <c r="I108" s="14">
        <v>45371</v>
      </c>
      <c r="J108" s="12" t="s">
        <v>1699</v>
      </c>
    </row>
    <row r="109" spans="1:10" s="15" customFormat="1" x14ac:dyDescent="0.15">
      <c r="A109" s="11">
        <v>45376</v>
      </c>
      <c r="B109" s="12" t="s">
        <v>429</v>
      </c>
      <c r="C109" s="12" t="s">
        <v>430</v>
      </c>
      <c r="D109" s="13" t="str">
        <f>HYPERLINK("https://www.marklines.com/en/global/10712","Neta Zhihe New Energy Vehicle Technology (Shanghai) Co., Ltd.")</f>
        <v>Neta Zhihe New Energy Vehicle Technology (Shanghai) Co., Ltd.</v>
      </c>
      <c r="E109" s="12" t="s">
        <v>1633</v>
      </c>
      <c r="F109" s="12" t="s">
        <v>18</v>
      </c>
      <c r="G109" s="12" t="s">
        <v>24</v>
      </c>
      <c r="H109" s="12" t="s">
        <v>56</v>
      </c>
      <c r="I109" s="14">
        <v>45371</v>
      </c>
      <c r="J109" s="12" t="s">
        <v>1700</v>
      </c>
    </row>
    <row r="110" spans="1:10" s="15" customFormat="1" x14ac:dyDescent="0.15">
      <c r="A110" s="11">
        <v>45374</v>
      </c>
      <c r="B110" s="12" t="s">
        <v>50</v>
      </c>
      <c r="C110" s="12" t="s">
        <v>50</v>
      </c>
      <c r="D110" s="13" t="str">
        <f>HYPERLINK("https://www.marklines.com/en/global/9812","Tesla (Shanghai) Co., Ltd.")</f>
        <v>Tesla (Shanghai) Co., Ltd.</v>
      </c>
      <c r="E110" s="12" t="s">
        <v>125</v>
      </c>
      <c r="F110" s="12" t="s">
        <v>18</v>
      </c>
      <c r="G110" s="12" t="s">
        <v>24</v>
      </c>
      <c r="H110" s="12" t="s">
        <v>56</v>
      </c>
      <c r="I110" s="14">
        <v>45373</v>
      </c>
      <c r="J110" s="12" t="s">
        <v>1701</v>
      </c>
    </row>
    <row r="111" spans="1:10" s="15" customFormat="1" x14ac:dyDescent="0.15">
      <c r="A111" s="11">
        <v>45374</v>
      </c>
      <c r="B111" s="12" t="s">
        <v>582</v>
      </c>
      <c r="C111" s="12" t="s">
        <v>582</v>
      </c>
      <c r="D111" s="13" t="str">
        <f>HYPERLINK("https://www.marklines.com/en/global/3287","Volvo Trucks North America Inc., New River Valley (Dublin) Plant")</f>
        <v>Volvo Trucks North America Inc., New River Valley (Dublin) Plant</v>
      </c>
      <c r="E111" s="12" t="s">
        <v>583</v>
      </c>
      <c r="F111" s="12" t="s">
        <v>15</v>
      </c>
      <c r="G111" s="12" t="s">
        <v>11</v>
      </c>
      <c r="H111" s="12" t="s">
        <v>584</v>
      </c>
      <c r="I111" s="14">
        <v>45372</v>
      </c>
      <c r="J111" s="12" t="s">
        <v>1702</v>
      </c>
    </row>
    <row r="112" spans="1:10" s="15" customFormat="1" x14ac:dyDescent="0.15">
      <c r="A112" s="11">
        <v>45374</v>
      </c>
      <c r="B112" s="12" t="s">
        <v>21</v>
      </c>
      <c r="C112" s="12" t="s">
        <v>21</v>
      </c>
      <c r="D112" s="13" t="str">
        <f>HYPERLINK("https://www.marklines.com/en/global/2605","Ford Motor, Louisville Assembly Plant")</f>
        <v>Ford Motor, Louisville Assembly Plant</v>
      </c>
      <c r="E112" s="12" t="s">
        <v>1553</v>
      </c>
      <c r="F112" s="12" t="s">
        <v>15</v>
      </c>
      <c r="G112" s="12" t="s">
        <v>11</v>
      </c>
      <c r="H112" s="12" t="s">
        <v>892</v>
      </c>
      <c r="I112" s="14">
        <v>45371</v>
      </c>
      <c r="J112" s="12" t="s">
        <v>1703</v>
      </c>
    </row>
    <row r="113" spans="1:10" s="15" customFormat="1" x14ac:dyDescent="0.15">
      <c r="A113" s="11">
        <v>45374</v>
      </c>
      <c r="B113" s="12" t="s">
        <v>21</v>
      </c>
      <c r="C113" s="12" t="s">
        <v>21</v>
      </c>
      <c r="D113" s="13" t="str">
        <f>HYPERLINK("https://www.marklines.com/en/global/2617","Ford Motor Canada, Oakville Assembly Plant")</f>
        <v>Ford Motor Canada, Oakville Assembly Plant</v>
      </c>
      <c r="E113" s="12" t="s">
        <v>760</v>
      </c>
      <c r="F113" s="12" t="s">
        <v>15</v>
      </c>
      <c r="G113" s="12" t="s">
        <v>260</v>
      </c>
      <c r="H113" s="12"/>
      <c r="I113" s="14">
        <v>45371</v>
      </c>
      <c r="J113" s="12" t="s">
        <v>1703</v>
      </c>
    </row>
    <row r="114" spans="1:10" s="15" customFormat="1" x14ac:dyDescent="0.15">
      <c r="A114" s="11">
        <v>45374</v>
      </c>
      <c r="B114" s="12" t="s">
        <v>350</v>
      </c>
      <c r="C114" s="12" t="s">
        <v>646</v>
      </c>
      <c r="D114" s="13" t="str">
        <f>HYPERLINK("https://www.marklines.com/en/global/869","General Motors Mexico, Silao Plant")</f>
        <v>General Motors Mexico, Silao Plant</v>
      </c>
      <c r="E114" s="12" t="s">
        <v>1704</v>
      </c>
      <c r="F114" s="12" t="s">
        <v>15</v>
      </c>
      <c r="G114" s="12" t="s">
        <v>218</v>
      </c>
      <c r="H114" s="12"/>
      <c r="I114" s="14">
        <v>45370</v>
      </c>
      <c r="J114" s="12" t="s">
        <v>1705</v>
      </c>
    </row>
    <row r="115" spans="1:10" s="15" customFormat="1" x14ac:dyDescent="0.15">
      <c r="A115" s="11">
        <v>45374</v>
      </c>
      <c r="B115" s="12" t="s">
        <v>350</v>
      </c>
      <c r="C115" s="12" t="s">
        <v>679</v>
      </c>
      <c r="D115" s="13" t="str">
        <f>HYPERLINK("https://www.marklines.com/en/global/869","General Motors Mexico, Silao Plant")</f>
        <v>General Motors Mexico, Silao Plant</v>
      </c>
      <c r="E115" s="12" t="s">
        <v>1704</v>
      </c>
      <c r="F115" s="12" t="s">
        <v>15</v>
      </c>
      <c r="G115" s="12" t="s">
        <v>218</v>
      </c>
      <c r="H115" s="12"/>
      <c r="I115" s="14">
        <v>45370</v>
      </c>
      <c r="J115" s="12" t="s">
        <v>1705</v>
      </c>
    </row>
    <row r="116" spans="1:10" s="15" customFormat="1" x14ac:dyDescent="0.15">
      <c r="A116" s="11">
        <v>45374</v>
      </c>
      <c r="B116" s="12" t="s">
        <v>28</v>
      </c>
      <c r="C116" s="12" t="s">
        <v>1706</v>
      </c>
      <c r="D116" s="13" t="str">
        <f>HYPERLINK("https://www.marklines.com/en/global/2881","Volkswagen Truck &amp; Bus (VWTB) / Volkswagen Caminhões e Ônibus (VWCO), Resende Plant (formerly MAN Latin America Indústira e Comércio de Veículos, Ltda.)")</f>
        <v>Volkswagen Truck &amp; Bus (VWTB) / Volkswagen Caminhões e Ônibus (VWCO), Resende Plant (formerly MAN Latin America Indústira e Comércio de Veículos, Ltda.)</v>
      </c>
      <c r="E116" s="12" t="s">
        <v>1707</v>
      </c>
      <c r="F116" s="12" t="s">
        <v>66</v>
      </c>
      <c r="G116" s="12" t="s">
        <v>67</v>
      </c>
      <c r="H116" s="12"/>
      <c r="I116" s="14">
        <v>45369</v>
      </c>
      <c r="J116" s="12" t="s">
        <v>1708</v>
      </c>
    </row>
    <row r="117" spans="1:10" s="15" customFormat="1" x14ac:dyDescent="0.15">
      <c r="A117" s="11">
        <v>45374</v>
      </c>
      <c r="B117" s="12" t="s">
        <v>28</v>
      </c>
      <c r="C117" s="12" t="s">
        <v>35</v>
      </c>
      <c r="D117" s="13" t="str">
        <f>HYPERLINK("https://www.marklines.com/en/global/911","Volkswagen Mexico, Puebla Plant")</f>
        <v>Volkswagen Mexico, Puebla Plant</v>
      </c>
      <c r="E117" s="12" t="s">
        <v>1114</v>
      </c>
      <c r="F117" s="12" t="s">
        <v>15</v>
      </c>
      <c r="G117" s="12" t="s">
        <v>218</v>
      </c>
      <c r="H117" s="12"/>
      <c r="I117" s="14">
        <v>45366</v>
      </c>
      <c r="J117" s="12" t="s">
        <v>1709</v>
      </c>
    </row>
    <row r="118" spans="1:10" s="15" customFormat="1" x14ac:dyDescent="0.15">
      <c r="A118" s="11">
        <v>45373</v>
      </c>
      <c r="B118" s="12" t="s">
        <v>27</v>
      </c>
      <c r="C118" s="12" t="s">
        <v>27</v>
      </c>
      <c r="D118" s="13" t="str">
        <f>HYPERLINK("https://www.marklines.com/en/global/9879","BMW Manufacturing Hungary Kft., Debrecen Gyar plant")</f>
        <v>BMW Manufacturing Hungary Kft., Debrecen Gyar plant</v>
      </c>
      <c r="E118" s="12" t="s">
        <v>1035</v>
      </c>
      <c r="F118" s="12" t="s">
        <v>17</v>
      </c>
      <c r="G118" s="12" t="s">
        <v>417</v>
      </c>
      <c r="H118" s="12"/>
      <c r="I118" s="14">
        <v>45372</v>
      </c>
      <c r="J118" s="12" t="s">
        <v>1491</v>
      </c>
    </row>
    <row r="119" spans="1:10" s="15" customFormat="1" x14ac:dyDescent="0.15">
      <c r="A119" s="11">
        <v>45373</v>
      </c>
      <c r="B119" s="12" t="s">
        <v>65</v>
      </c>
      <c r="C119" s="12" t="s">
        <v>316</v>
      </c>
      <c r="D119" s="13" t="str">
        <f>HYPERLINK("https://www.marklines.com/en/global/4303","Volvo Car Chengdu Manufacturing Plant")</f>
        <v>Volvo Car Chengdu Manufacturing Plant</v>
      </c>
      <c r="E119" s="12" t="s">
        <v>1221</v>
      </c>
      <c r="F119" s="12" t="s">
        <v>18</v>
      </c>
      <c r="G119" s="12" t="s">
        <v>24</v>
      </c>
      <c r="H119" s="12" t="s">
        <v>330</v>
      </c>
      <c r="I119" s="14">
        <v>45372</v>
      </c>
      <c r="J119" s="12" t="s">
        <v>1492</v>
      </c>
    </row>
    <row r="120" spans="1:10" s="15" customFormat="1" x14ac:dyDescent="0.15">
      <c r="A120" s="11">
        <v>45373</v>
      </c>
      <c r="B120" s="12" t="s">
        <v>65</v>
      </c>
      <c r="C120" s="12" t="s">
        <v>316</v>
      </c>
      <c r="D120" s="13" t="str">
        <f>HYPERLINK("https://www.marklines.com/en/global/9324","Volvo Cars, Ridgeville Plant")</f>
        <v>Volvo Cars, Ridgeville Plant</v>
      </c>
      <c r="E120" s="12" t="s">
        <v>1219</v>
      </c>
      <c r="F120" s="12" t="s">
        <v>15</v>
      </c>
      <c r="G120" s="12" t="s">
        <v>11</v>
      </c>
      <c r="H120" s="12" t="s">
        <v>627</v>
      </c>
      <c r="I120" s="14">
        <v>45372</v>
      </c>
      <c r="J120" s="12" t="s">
        <v>1492</v>
      </c>
    </row>
    <row r="121" spans="1:10" s="15" customFormat="1" x14ac:dyDescent="0.15">
      <c r="A121" s="11">
        <v>45373</v>
      </c>
      <c r="B121" s="12" t="s">
        <v>252</v>
      </c>
      <c r="C121" s="12" t="s">
        <v>252</v>
      </c>
      <c r="D121" s="13" t="str">
        <f>HYPERLINK("https://www.marklines.com/en/global/169","Renault ElectriCity, Douai (Georges Besse) Plant")</f>
        <v>Renault ElectriCity, Douai (Georges Besse) Plant</v>
      </c>
      <c r="E121" s="12" t="s">
        <v>1283</v>
      </c>
      <c r="F121" s="12" t="s">
        <v>16</v>
      </c>
      <c r="G121" s="12" t="s">
        <v>285</v>
      </c>
      <c r="H121" s="12"/>
      <c r="I121" s="14">
        <v>45371</v>
      </c>
      <c r="J121" s="12" t="s">
        <v>1493</v>
      </c>
    </row>
    <row r="122" spans="1:10" s="15" customFormat="1" x14ac:dyDescent="0.15">
      <c r="A122" s="11">
        <v>45373</v>
      </c>
      <c r="B122" s="12" t="s">
        <v>454</v>
      </c>
      <c r="C122" s="12" t="s">
        <v>455</v>
      </c>
      <c r="D122" s="13" t="str">
        <f>HYPERLINK("https://www.marklines.com/en/global/2225","Mercedes-Benz Group AG, Sindelfingen Plant")</f>
        <v>Mercedes-Benz Group AG, Sindelfingen Plant</v>
      </c>
      <c r="E122" s="12" t="s">
        <v>1494</v>
      </c>
      <c r="F122" s="12" t="s">
        <v>16</v>
      </c>
      <c r="G122" s="12" t="s">
        <v>208</v>
      </c>
      <c r="H122" s="12"/>
      <c r="I122" s="14">
        <v>45371</v>
      </c>
      <c r="J122" s="12" t="s">
        <v>1495</v>
      </c>
    </row>
    <row r="123" spans="1:10" s="15" customFormat="1" x14ac:dyDescent="0.15">
      <c r="A123" s="11">
        <v>45373</v>
      </c>
      <c r="B123" s="12" t="s">
        <v>454</v>
      </c>
      <c r="C123" s="12" t="s">
        <v>455</v>
      </c>
      <c r="D123" s="13" t="str">
        <f>HYPERLINK("https://www.marklines.com/en/global/2223","Mercedes-Benz Group AG, Rastatt Plant")</f>
        <v>Mercedes-Benz Group AG, Rastatt Plant</v>
      </c>
      <c r="E123" s="12" t="s">
        <v>1496</v>
      </c>
      <c r="F123" s="12" t="s">
        <v>16</v>
      </c>
      <c r="G123" s="12" t="s">
        <v>208</v>
      </c>
      <c r="H123" s="12"/>
      <c r="I123" s="14">
        <v>45371</v>
      </c>
      <c r="J123" s="12" t="s">
        <v>1497</v>
      </c>
    </row>
    <row r="124" spans="1:10" s="15" customFormat="1" x14ac:dyDescent="0.15">
      <c r="A124" s="11">
        <v>45373</v>
      </c>
      <c r="B124" s="12" t="s">
        <v>454</v>
      </c>
      <c r="C124" s="12" t="s">
        <v>455</v>
      </c>
      <c r="D124" s="13" t="str">
        <f>HYPERLINK("https://www.marklines.com/en/global/2233","Mercedes-Benz Group AG, Stuttgart-Untertürkheim Plant")</f>
        <v>Mercedes-Benz Group AG, Stuttgart-Untertürkheim Plant</v>
      </c>
      <c r="E124" s="12" t="s">
        <v>487</v>
      </c>
      <c r="F124" s="12" t="s">
        <v>16</v>
      </c>
      <c r="G124" s="12" t="s">
        <v>208</v>
      </c>
      <c r="H124" s="12"/>
      <c r="I124" s="14">
        <v>45371</v>
      </c>
      <c r="J124" s="12" t="s">
        <v>1498</v>
      </c>
    </row>
    <row r="125" spans="1:10" s="15" customFormat="1" x14ac:dyDescent="0.15">
      <c r="A125" s="11">
        <v>45373</v>
      </c>
      <c r="B125" s="12" t="s">
        <v>27</v>
      </c>
      <c r="C125" s="12" t="s">
        <v>27</v>
      </c>
      <c r="D125" s="13" t="str">
        <f>HYPERLINK("https://www.marklines.com/en/global/10534","BMW Group Additive Manufacturing Campus (AMC), Oberschleißheim")</f>
        <v>BMW Group Additive Manufacturing Campus (AMC), Oberschleißheim</v>
      </c>
      <c r="E125" s="12" t="s">
        <v>1499</v>
      </c>
      <c r="F125" s="12" t="s">
        <v>16</v>
      </c>
      <c r="G125" s="12" t="s">
        <v>208</v>
      </c>
      <c r="H125" s="12"/>
      <c r="I125" s="14">
        <v>45371</v>
      </c>
      <c r="J125" s="12" t="s">
        <v>1500</v>
      </c>
    </row>
    <row r="126" spans="1:10" s="15" customFormat="1" x14ac:dyDescent="0.15">
      <c r="A126" s="11">
        <v>45373</v>
      </c>
      <c r="B126" s="12" t="s">
        <v>36</v>
      </c>
      <c r="C126" s="12" t="s">
        <v>36</v>
      </c>
      <c r="D126" s="13" t="str">
        <f>HYPERLINK("https://www.marklines.com/en/global/1939","Stellantis, Peugeot Citroen Automoviles Espana S.A., Vigo Plant")</f>
        <v>Stellantis, Peugeot Citroen Automoviles Espana S.A., Vigo Plant</v>
      </c>
      <c r="E126" s="12" t="s">
        <v>54</v>
      </c>
      <c r="F126" s="12" t="s">
        <v>16</v>
      </c>
      <c r="G126" s="12" t="s">
        <v>42</v>
      </c>
      <c r="H126" s="12"/>
      <c r="I126" s="14">
        <v>45371</v>
      </c>
      <c r="J126" s="12" t="s">
        <v>1501</v>
      </c>
    </row>
    <row r="127" spans="1:10" s="15" customFormat="1" x14ac:dyDescent="0.15">
      <c r="A127" s="11">
        <v>45373</v>
      </c>
      <c r="B127" s="12" t="s">
        <v>65</v>
      </c>
      <c r="C127" s="12" t="s">
        <v>65</v>
      </c>
      <c r="D127" s="13" t="str">
        <f>HYPERLINK("https://www.marklines.com/en/global/3807","Zhejiang Geely Holding Group Co., Ltd.")</f>
        <v>Zhejiang Geely Holding Group Co., Ltd.</v>
      </c>
      <c r="E127" s="12" t="s">
        <v>229</v>
      </c>
      <c r="F127" s="12" t="s">
        <v>18</v>
      </c>
      <c r="G127" s="12" t="s">
        <v>24</v>
      </c>
      <c r="H127" s="12" t="s">
        <v>61</v>
      </c>
      <c r="I127" s="14">
        <v>45371</v>
      </c>
      <c r="J127" s="12" t="s">
        <v>1502</v>
      </c>
    </row>
    <row r="128" spans="1:10" s="15" customFormat="1" x14ac:dyDescent="0.15">
      <c r="A128" s="11">
        <v>45373</v>
      </c>
      <c r="B128" s="12" t="s">
        <v>50</v>
      </c>
      <c r="C128" s="12" t="s">
        <v>50</v>
      </c>
      <c r="D128" s="13" t="str">
        <f>HYPERLINK("https://www.marklines.com/en/global/10321","Tesla Gigafactory Texas")</f>
        <v>Tesla Gigafactory Texas</v>
      </c>
      <c r="E128" s="12" t="s">
        <v>508</v>
      </c>
      <c r="F128" s="12" t="s">
        <v>15</v>
      </c>
      <c r="G128" s="12" t="s">
        <v>11</v>
      </c>
      <c r="H128" s="12" t="s">
        <v>509</v>
      </c>
      <c r="I128" s="14">
        <v>45371</v>
      </c>
      <c r="J128" s="12" t="s">
        <v>1503</v>
      </c>
    </row>
    <row r="129" spans="1:10" s="15" customFormat="1" x14ac:dyDescent="0.15">
      <c r="A129" s="11">
        <v>45373</v>
      </c>
      <c r="B129" s="12" t="s">
        <v>50</v>
      </c>
      <c r="C129" s="12" t="s">
        <v>50</v>
      </c>
      <c r="D129" s="13" t="str">
        <f>HYPERLINK("https://www.marklines.com/en/global/9895","Tesla Gigafactory Berlin-Brandenburg")</f>
        <v>Tesla Gigafactory Berlin-Brandenburg</v>
      </c>
      <c r="E129" s="12" t="s">
        <v>474</v>
      </c>
      <c r="F129" s="12" t="s">
        <v>16</v>
      </c>
      <c r="G129" s="12" t="s">
        <v>208</v>
      </c>
      <c r="H129" s="12"/>
      <c r="I129" s="14">
        <v>45371</v>
      </c>
      <c r="J129" s="12" t="s">
        <v>1504</v>
      </c>
    </row>
    <row r="130" spans="1:10" s="15" customFormat="1" x14ac:dyDescent="0.15">
      <c r="A130" s="11">
        <v>45373</v>
      </c>
      <c r="B130" s="12" t="s">
        <v>36</v>
      </c>
      <c r="C130" s="12" t="s">
        <v>466</v>
      </c>
      <c r="D130" s="13" t="str">
        <f>HYPERLINK("https://www.marklines.com/en/global/159","Stellantis, PSA, Tremery Plant")</f>
        <v>Stellantis, PSA, Tremery Plant</v>
      </c>
      <c r="E130" s="12" t="s">
        <v>1029</v>
      </c>
      <c r="F130" s="12" t="s">
        <v>16</v>
      </c>
      <c r="G130" s="12" t="s">
        <v>285</v>
      </c>
      <c r="H130" s="12"/>
      <c r="I130" s="14">
        <v>45371</v>
      </c>
      <c r="J130" s="12" t="s">
        <v>1505</v>
      </c>
    </row>
    <row r="131" spans="1:10" s="15" customFormat="1" x14ac:dyDescent="0.15">
      <c r="A131" s="11">
        <v>45373</v>
      </c>
      <c r="B131" s="12" t="s">
        <v>36</v>
      </c>
      <c r="C131" s="12" t="s">
        <v>466</v>
      </c>
      <c r="D131" s="13" t="str">
        <f>HYPERLINK("https://www.marklines.com/en/global/10614","Automotive Cell Company (ACC), Douvrin/Billy-Berclau Plant")</f>
        <v>Automotive Cell Company (ACC), Douvrin/Billy-Berclau Plant</v>
      </c>
      <c r="E131" s="12" t="s">
        <v>311</v>
      </c>
      <c r="F131" s="12" t="s">
        <v>16</v>
      </c>
      <c r="G131" s="12" t="s">
        <v>285</v>
      </c>
      <c r="H131" s="12"/>
      <c r="I131" s="14">
        <v>45371</v>
      </c>
      <c r="J131" s="12" t="s">
        <v>1505</v>
      </c>
    </row>
    <row r="132" spans="1:10" s="15" customFormat="1" x14ac:dyDescent="0.15">
      <c r="A132" s="11">
        <v>45373</v>
      </c>
      <c r="B132" s="12" t="s">
        <v>36</v>
      </c>
      <c r="C132" s="12" t="s">
        <v>466</v>
      </c>
      <c r="D132" s="13" t="str">
        <f>HYPERLINK("https://www.marklines.com/en/global/143","Stellantis, PSA, Sochaux Plant")</f>
        <v>Stellantis, PSA, Sochaux Plant</v>
      </c>
      <c r="E132" s="12" t="s">
        <v>468</v>
      </c>
      <c r="F132" s="12" t="s">
        <v>16</v>
      </c>
      <c r="G132" s="12" t="s">
        <v>285</v>
      </c>
      <c r="H132" s="12"/>
      <c r="I132" s="14">
        <v>45371</v>
      </c>
      <c r="J132" s="12" t="s">
        <v>1505</v>
      </c>
    </row>
    <row r="133" spans="1:10" s="15" customFormat="1" x14ac:dyDescent="0.15">
      <c r="A133" s="11">
        <v>45373</v>
      </c>
      <c r="B133" s="12" t="s">
        <v>36</v>
      </c>
      <c r="C133" s="12" t="s">
        <v>36</v>
      </c>
      <c r="D133" s="13" t="str">
        <f>HYPERLINK("https://www.marklines.com/en/global/161","Stellantis, PSA, Valenciennes Plant")</f>
        <v>Stellantis, PSA, Valenciennes Plant</v>
      </c>
      <c r="E133" s="12" t="s">
        <v>1506</v>
      </c>
      <c r="F133" s="12" t="s">
        <v>16</v>
      </c>
      <c r="G133" s="12" t="s">
        <v>285</v>
      </c>
      <c r="H133" s="12"/>
      <c r="I133" s="14">
        <v>45371</v>
      </c>
      <c r="J133" s="12" t="s">
        <v>1505</v>
      </c>
    </row>
    <row r="134" spans="1:10" s="15" customFormat="1" x14ac:dyDescent="0.15">
      <c r="A134" s="11">
        <v>45373</v>
      </c>
      <c r="B134" s="12" t="s">
        <v>28</v>
      </c>
      <c r="C134" s="12" t="s">
        <v>35</v>
      </c>
      <c r="D134" s="13" t="str">
        <f>HYPERLINK("https://www.marklines.com/en/global/1965","Volkswagen Navarra, S.A., Pamplona (Landaben) Plant")</f>
        <v>Volkswagen Navarra, S.A., Pamplona (Landaben) Plant</v>
      </c>
      <c r="E134" s="12" t="s">
        <v>64</v>
      </c>
      <c r="F134" s="12" t="s">
        <v>16</v>
      </c>
      <c r="G134" s="12" t="s">
        <v>42</v>
      </c>
      <c r="H134" s="12"/>
      <c r="I134" s="14">
        <v>45371</v>
      </c>
      <c r="J134" s="12" t="s">
        <v>1507</v>
      </c>
    </row>
    <row r="135" spans="1:10" s="15" customFormat="1" x14ac:dyDescent="0.15">
      <c r="A135" s="11">
        <v>45373</v>
      </c>
      <c r="B135" s="12" t="s">
        <v>12</v>
      </c>
      <c r="C135" s="12" t="s">
        <v>1508</v>
      </c>
      <c r="D135" s="13" t="str">
        <f>HYPERLINK("https://www.marklines.com/en/global/3593","Beiben Trucks Group Co.,Ltd.")</f>
        <v>Beiben Trucks Group Co.,Ltd.</v>
      </c>
      <c r="E135" s="12" t="s">
        <v>1509</v>
      </c>
      <c r="F135" s="12" t="s">
        <v>18</v>
      </c>
      <c r="G135" s="12" t="s">
        <v>24</v>
      </c>
      <c r="H135" s="12" t="s">
        <v>1510</v>
      </c>
      <c r="I135" s="14">
        <v>45370</v>
      </c>
      <c r="J135" s="12" t="s">
        <v>1511</v>
      </c>
    </row>
    <row r="136" spans="1:10" s="15" customFormat="1" x14ac:dyDescent="0.15">
      <c r="A136" s="11">
        <v>45373</v>
      </c>
      <c r="B136" s="12" t="s">
        <v>36</v>
      </c>
      <c r="C136" s="12" t="s">
        <v>1512</v>
      </c>
      <c r="D136" s="13" t="str">
        <f>HYPERLINK("https://www.marklines.com/en/global/1931","Stellantis, Opel Espana de Automoviles, S.A., Zaragoza (Figueruelas) Plant")</f>
        <v>Stellantis, Opel Espana de Automoviles, S.A., Zaragoza (Figueruelas) Plant</v>
      </c>
      <c r="E136" s="12" t="s">
        <v>52</v>
      </c>
      <c r="F136" s="12" t="s">
        <v>16</v>
      </c>
      <c r="G136" s="12" t="s">
        <v>42</v>
      </c>
      <c r="H136" s="12"/>
      <c r="I136" s="14">
        <v>45370</v>
      </c>
      <c r="J136" s="12" t="s">
        <v>1513</v>
      </c>
    </row>
    <row r="137" spans="1:10" s="15" customFormat="1" x14ac:dyDescent="0.15">
      <c r="A137" s="11">
        <v>45373</v>
      </c>
      <c r="B137" s="12" t="s">
        <v>28</v>
      </c>
      <c r="C137" s="12" t="s">
        <v>43</v>
      </c>
      <c r="D137" s="13" t="str">
        <f>HYPERLINK("https://www.marklines.com/en/global/8685","Audi AG, Munchsmunster Plant")</f>
        <v>Audi AG, Munchsmunster Plant</v>
      </c>
      <c r="E137" s="12" t="s">
        <v>1514</v>
      </c>
      <c r="F137" s="12" t="s">
        <v>16</v>
      </c>
      <c r="G137" s="12" t="s">
        <v>208</v>
      </c>
      <c r="H137" s="12"/>
      <c r="I137" s="14">
        <v>45369</v>
      </c>
      <c r="J137" s="12" t="s">
        <v>1515</v>
      </c>
    </row>
    <row r="138" spans="1:10" s="15" customFormat="1" x14ac:dyDescent="0.15">
      <c r="A138" s="11">
        <v>45373</v>
      </c>
      <c r="B138" s="12" t="s">
        <v>28</v>
      </c>
      <c r="C138" s="12" t="s">
        <v>43</v>
      </c>
      <c r="D138" s="13" t="str">
        <f>HYPERLINK("https://www.marklines.com/en/global/1777","Audi Hungaria Zrt., Győr Plant (formerly Audi Hungaria Motor Kft.)")</f>
        <v>Audi Hungaria Zrt., Győr Plant (formerly Audi Hungaria Motor Kft.)</v>
      </c>
      <c r="E138" s="12" t="s">
        <v>499</v>
      </c>
      <c r="F138" s="12" t="s">
        <v>17</v>
      </c>
      <c r="G138" s="12" t="s">
        <v>417</v>
      </c>
      <c r="H138" s="12"/>
      <c r="I138" s="14">
        <v>45369</v>
      </c>
      <c r="J138" s="12" t="s">
        <v>1515</v>
      </c>
    </row>
    <row r="139" spans="1:10" s="15" customFormat="1" x14ac:dyDescent="0.15">
      <c r="A139" s="11">
        <v>45373</v>
      </c>
      <c r="B139" s="12" t="s">
        <v>28</v>
      </c>
      <c r="C139" s="12" t="s">
        <v>43</v>
      </c>
      <c r="D139" s="13" t="str">
        <f>HYPERLINK("https://www.marklines.com/en/global/2199","Audi AG, Ingolstadt Plant")</f>
        <v>Audi AG, Ingolstadt Plant</v>
      </c>
      <c r="E139" s="12" t="s">
        <v>673</v>
      </c>
      <c r="F139" s="12" t="s">
        <v>16</v>
      </c>
      <c r="G139" s="12" t="s">
        <v>208</v>
      </c>
      <c r="H139" s="12"/>
      <c r="I139" s="14">
        <v>45369</v>
      </c>
      <c r="J139" s="12" t="s">
        <v>1515</v>
      </c>
    </row>
    <row r="140" spans="1:10" s="15" customFormat="1" x14ac:dyDescent="0.15">
      <c r="A140" s="11">
        <v>45373</v>
      </c>
      <c r="B140" s="12" t="s">
        <v>571</v>
      </c>
      <c r="C140" s="12" t="s">
        <v>571</v>
      </c>
      <c r="D140" s="13" t="str">
        <f>HYPERLINK("https://www.marklines.com/en/global/4075","GAC Motor Co., Ltd. (formerly Guangzhou Automobile Group Motor Co., Ltd.)")</f>
        <v>GAC Motor Co., Ltd. (formerly Guangzhou Automobile Group Motor Co., Ltd.)</v>
      </c>
      <c r="E140" s="12" t="s">
        <v>1068</v>
      </c>
      <c r="F140" s="12" t="s">
        <v>18</v>
      </c>
      <c r="G140" s="12" t="s">
        <v>24</v>
      </c>
      <c r="H140" s="12" t="s">
        <v>63</v>
      </c>
      <c r="I140" s="14">
        <v>45369</v>
      </c>
      <c r="J140" s="12" t="s">
        <v>1516</v>
      </c>
    </row>
    <row r="141" spans="1:10" s="15" customFormat="1" x14ac:dyDescent="0.15">
      <c r="A141" s="11">
        <v>45373</v>
      </c>
      <c r="B141" s="12" t="s">
        <v>571</v>
      </c>
      <c r="C141" s="12" t="s">
        <v>571</v>
      </c>
      <c r="D141" s="13" t="str">
        <f>HYPERLINK("https://www.marklines.com/en/global/3353","GAC Motor Co., Ltd. Yichang Branch")</f>
        <v>GAC Motor Co., Ltd. Yichang Branch</v>
      </c>
      <c r="E141" s="12" t="s">
        <v>1517</v>
      </c>
      <c r="F141" s="12" t="s">
        <v>18</v>
      </c>
      <c r="G141" s="12" t="s">
        <v>24</v>
      </c>
      <c r="H141" s="12" t="s">
        <v>76</v>
      </c>
      <c r="I141" s="14">
        <v>45369</v>
      </c>
      <c r="J141" s="12" t="s">
        <v>1516</v>
      </c>
    </row>
    <row r="142" spans="1:10" s="15" customFormat="1" x14ac:dyDescent="0.15">
      <c r="A142" s="11">
        <v>45373</v>
      </c>
      <c r="B142" s="12" t="s">
        <v>571</v>
      </c>
      <c r="C142" s="12" t="s">
        <v>571</v>
      </c>
      <c r="D142" s="13" t="str">
        <f>HYPERLINK("https://www.marklines.com/en/global/9459","GAC Motor Co., Ltd. Xinjiang Branch")</f>
        <v>GAC Motor Co., Ltd. Xinjiang Branch</v>
      </c>
      <c r="E142" s="12" t="s">
        <v>1518</v>
      </c>
      <c r="F142" s="12" t="s">
        <v>18</v>
      </c>
      <c r="G142" s="12" t="s">
        <v>24</v>
      </c>
      <c r="H142" s="12" t="s">
        <v>1519</v>
      </c>
      <c r="I142" s="14">
        <v>45369</v>
      </c>
      <c r="J142" s="12" t="s">
        <v>1516</v>
      </c>
    </row>
    <row r="143" spans="1:10" s="15" customFormat="1" x14ac:dyDescent="0.15">
      <c r="A143" s="11">
        <v>45372</v>
      </c>
      <c r="B143" s="12" t="s">
        <v>248</v>
      </c>
      <c r="C143" s="12" t="s">
        <v>249</v>
      </c>
      <c r="D143" s="13" t="str">
        <f>HYPERLINK("https://www.marklines.com/en/global/1159","MG Motor India Pvt. Ltd., Panchmahal (Halol) Plant (former General Motors India)")</f>
        <v>MG Motor India Pvt. Ltd., Panchmahal (Halol) Plant (former General Motors India)</v>
      </c>
      <c r="E143" s="12" t="s">
        <v>250</v>
      </c>
      <c r="F143" s="12" t="s">
        <v>22</v>
      </c>
      <c r="G143" s="12" t="s">
        <v>23</v>
      </c>
      <c r="H143" s="12" t="s">
        <v>212</v>
      </c>
      <c r="I143" s="14">
        <v>45371</v>
      </c>
      <c r="J143" s="12" t="s">
        <v>1520</v>
      </c>
    </row>
    <row r="144" spans="1:10" s="15" customFormat="1" x14ac:dyDescent="0.15">
      <c r="A144" s="11">
        <v>45372</v>
      </c>
      <c r="B144" s="12" t="s">
        <v>12</v>
      </c>
      <c r="C144" s="12" t="s">
        <v>12</v>
      </c>
      <c r="D144" s="13" t="str">
        <f>HYPERLINK("https://www.marklines.com/en/global/1159","MG Motor India Pvt. Ltd., Panchmahal (Halol) Plant (former General Motors India)")</f>
        <v>MG Motor India Pvt. Ltd., Panchmahal (Halol) Plant (former General Motors India)</v>
      </c>
      <c r="E144" s="12" t="s">
        <v>250</v>
      </c>
      <c r="F144" s="12" t="s">
        <v>22</v>
      </c>
      <c r="G144" s="12" t="s">
        <v>23</v>
      </c>
      <c r="H144" s="12" t="s">
        <v>212</v>
      </c>
      <c r="I144" s="14">
        <v>45371</v>
      </c>
      <c r="J144" s="12" t="s">
        <v>1520</v>
      </c>
    </row>
    <row r="145" spans="1:10" s="15" customFormat="1" x14ac:dyDescent="0.15">
      <c r="A145" s="11">
        <v>45372</v>
      </c>
      <c r="B145" s="12" t="s">
        <v>454</v>
      </c>
      <c r="C145" s="12" t="s">
        <v>455</v>
      </c>
      <c r="D145" s="13" t="str">
        <f>HYPERLINK("https://www.marklines.com/en/global/3049","Mercedes-Benz U.S. International (MBUSI), Tuscaloosa (Vance) Plant")</f>
        <v>Mercedes-Benz U.S. International (MBUSI), Tuscaloosa (Vance) Plant</v>
      </c>
      <c r="E145" s="12" t="s">
        <v>456</v>
      </c>
      <c r="F145" s="12" t="s">
        <v>15</v>
      </c>
      <c r="G145" s="12" t="s">
        <v>11</v>
      </c>
      <c r="H145" s="12" t="s">
        <v>457</v>
      </c>
      <c r="I145" s="14">
        <v>45371</v>
      </c>
      <c r="J145" s="12" t="s">
        <v>1521</v>
      </c>
    </row>
    <row r="146" spans="1:10" s="15" customFormat="1" x14ac:dyDescent="0.15">
      <c r="A146" s="11">
        <v>45372</v>
      </c>
      <c r="B146" s="12" t="s">
        <v>252</v>
      </c>
      <c r="C146" s="12" t="s">
        <v>252</v>
      </c>
      <c r="D146" s="13" t="str">
        <f>HYPERLINK("https://www.marklines.com/en/global/2425","Renault Korea Motors (formerly Renault Samsung), Busan Plant")</f>
        <v>Renault Korea Motors (formerly Renault Samsung), Busan Plant</v>
      </c>
      <c r="E146" s="12" t="s">
        <v>706</v>
      </c>
      <c r="F146" s="12" t="s">
        <v>18</v>
      </c>
      <c r="G146" s="12" t="s">
        <v>404</v>
      </c>
      <c r="H146" s="12"/>
      <c r="I146" s="14">
        <v>45370</v>
      </c>
      <c r="J146" s="12" t="s">
        <v>1522</v>
      </c>
    </row>
    <row r="147" spans="1:10" s="15" customFormat="1" x14ac:dyDescent="0.15">
      <c r="A147" s="11">
        <v>45372</v>
      </c>
      <c r="B147" s="12" t="s">
        <v>65</v>
      </c>
      <c r="C147" s="12" t="s">
        <v>65</v>
      </c>
      <c r="D147" s="13" t="str">
        <f>HYPERLINK("https://www.marklines.com/en/global/2425","Renault Korea Motors (formerly Renault Samsung), Busan Plant")</f>
        <v>Renault Korea Motors (formerly Renault Samsung), Busan Plant</v>
      </c>
      <c r="E147" s="12" t="s">
        <v>706</v>
      </c>
      <c r="F147" s="12" t="s">
        <v>18</v>
      </c>
      <c r="G147" s="12" t="s">
        <v>404</v>
      </c>
      <c r="H147" s="12"/>
      <c r="I147" s="14">
        <v>45370</v>
      </c>
      <c r="J147" s="12" t="s">
        <v>1522</v>
      </c>
    </row>
    <row r="148" spans="1:10" s="15" customFormat="1" x14ac:dyDescent="0.15">
      <c r="A148" s="11">
        <v>45372</v>
      </c>
      <c r="B148" s="12" t="s">
        <v>722</v>
      </c>
      <c r="C148" s="12" t="s">
        <v>722</v>
      </c>
      <c r="D148" s="13" t="str">
        <f>HYPERLINK("https://www.marklines.com/en/global/4271","Shaanxi Automobile Group Co., Ltd.")</f>
        <v>Shaanxi Automobile Group Co., Ltd.</v>
      </c>
      <c r="E148" s="12" t="s">
        <v>723</v>
      </c>
      <c r="F148" s="12" t="s">
        <v>18</v>
      </c>
      <c r="G148" s="12" t="s">
        <v>24</v>
      </c>
      <c r="H148" s="12" t="s">
        <v>724</v>
      </c>
      <c r="I148" s="14">
        <v>45369</v>
      </c>
      <c r="J148" s="12" t="s">
        <v>1523</v>
      </c>
    </row>
    <row r="149" spans="1:10" s="15" customFormat="1" x14ac:dyDescent="0.15">
      <c r="A149" s="11">
        <v>45372</v>
      </c>
      <c r="B149" s="12" t="s">
        <v>72</v>
      </c>
      <c r="C149" s="12" t="s">
        <v>1524</v>
      </c>
      <c r="D149" s="13" t="str">
        <f>HYPERLINK("https://www.marklines.com/en/global/4163","Chongqing Changan Automobile Co., Ltd.")</f>
        <v>Chongqing Changan Automobile Co., Ltd.</v>
      </c>
      <c r="E149" s="12" t="s">
        <v>77</v>
      </c>
      <c r="F149" s="12" t="s">
        <v>18</v>
      </c>
      <c r="G149" s="12" t="s">
        <v>24</v>
      </c>
      <c r="H149" s="12" t="s">
        <v>25</v>
      </c>
      <c r="I149" s="14">
        <v>45369</v>
      </c>
      <c r="J149" s="12" t="s">
        <v>1525</v>
      </c>
    </row>
    <row r="150" spans="1:10" s="15" customFormat="1" x14ac:dyDescent="0.15">
      <c r="A150" s="11">
        <v>45372</v>
      </c>
      <c r="B150" s="12" t="s">
        <v>429</v>
      </c>
      <c r="C150" s="12" t="s">
        <v>430</v>
      </c>
      <c r="D150" s="13" t="str">
        <f>HYPERLINK("https://www.marklines.com/en/global/9538","Hozon New Energy Automobile Co., Ltd. (formerly Zhejiang Hozon New Energy Automobile Co., Ltd.)")</f>
        <v>Hozon New Energy Automobile Co., Ltd. (formerly Zhejiang Hozon New Energy Automobile Co., Ltd.)</v>
      </c>
      <c r="E150" s="12" t="s">
        <v>1526</v>
      </c>
      <c r="F150" s="12" t="s">
        <v>18</v>
      </c>
      <c r="G150" s="12" t="s">
        <v>24</v>
      </c>
      <c r="H150" s="12" t="s">
        <v>61</v>
      </c>
      <c r="I150" s="14">
        <v>45369</v>
      </c>
      <c r="J150" s="12" t="s">
        <v>1527</v>
      </c>
    </row>
    <row r="151" spans="1:10" s="15" customFormat="1" x14ac:dyDescent="0.15">
      <c r="A151" s="11">
        <v>45372</v>
      </c>
      <c r="B151" s="12" t="s">
        <v>248</v>
      </c>
      <c r="C151" s="12" t="s">
        <v>1353</v>
      </c>
      <c r="D151" s="13" t="str">
        <f>HYPERLINK("https://www.marklines.com/en/global/10383","Zhiji Motor Technology Co., Ltd.")</f>
        <v>Zhiji Motor Technology Co., Ltd.</v>
      </c>
      <c r="E151" s="12" t="s">
        <v>1354</v>
      </c>
      <c r="F151" s="12" t="s">
        <v>18</v>
      </c>
      <c r="G151" s="12" t="s">
        <v>24</v>
      </c>
      <c r="H151" s="12" t="s">
        <v>56</v>
      </c>
      <c r="I151" s="14">
        <v>45369</v>
      </c>
      <c r="J151" s="12" t="s">
        <v>1528</v>
      </c>
    </row>
    <row r="152" spans="1:10" s="15" customFormat="1" x14ac:dyDescent="0.15">
      <c r="A152" s="11">
        <v>45372</v>
      </c>
      <c r="B152" s="12" t="s">
        <v>248</v>
      </c>
      <c r="C152" s="12" t="s">
        <v>1353</v>
      </c>
      <c r="D152" s="13" t="str">
        <f>HYPERLINK("https://www.marklines.com/en/global/3611","SAIC Motor Passenger Vehicle Co., Ltd. Lingang Plant")</f>
        <v>SAIC Motor Passenger Vehicle Co., Ltd. Lingang Plant</v>
      </c>
      <c r="E152" s="12" t="s">
        <v>712</v>
      </c>
      <c r="F152" s="12" t="s">
        <v>18</v>
      </c>
      <c r="G152" s="12" t="s">
        <v>24</v>
      </c>
      <c r="H152" s="12" t="s">
        <v>56</v>
      </c>
      <c r="I152" s="14">
        <v>45369</v>
      </c>
      <c r="J152" s="12" t="s">
        <v>1528</v>
      </c>
    </row>
    <row r="153" spans="1:10" s="15" customFormat="1" x14ac:dyDescent="0.15">
      <c r="A153" s="11">
        <v>45372</v>
      </c>
      <c r="B153" s="12" t="s">
        <v>429</v>
      </c>
      <c r="C153" s="12" t="s">
        <v>430</v>
      </c>
      <c r="D153" s="13" t="str">
        <f>HYPERLINK("https://www.marklines.com/en/global/297","PT Handal Indonesia Motor (HIM), Bekasi plant (formerly PT. Hyundai Indonesia Motor)")</f>
        <v>PT Handal Indonesia Motor (HIM), Bekasi plant (formerly PT. Hyundai Indonesia Motor)</v>
      </c>
      <c r="E153" s="12" t="s">
        <v>1479</v>
      </c>
      <c r="F153" s="12" t="s">
        <v>29</v>
      </c>
      <c r="G153" s="12" t="s">
        <v>343</v>
      </c>
      <c r="H153" s="12"/>
      <c r="I153" s="14">
        <v>45369</v>
      </c>
      <c r="J153" s="12" t="s">
        <v>1529</v>
      </c>
    </row>
    <row r="154" spans="1:10" s="15" customFormat="1" x14ac:dyDescent="0.15">
      <c r="A154" s="11">
        <v>45372</v>
      </c>
      <c r="B154" s="12" t="s">
        <v>350</v>
      </c>
      <c r="C154" s="12" t="s">
        <v>629</v>
      </c>
      <c r="D154" s="13" t="str">
        <f>HYPERLINK("https://www.marklines.com/en/global/2523","General Motors, Spring Hill Manufacturing (formerly Spring Hill Assembly)")</f>
        <v>General Motors, Spring Hill Manufacturing (formerly Spring Hill Assembly)</v>
      </c>
      <c r="E154" s="12" t="s">
        <v>630</v>
      </c>
      <c r="F154" s="12" t="s">
        <v>15</v>
      </c>
      <c r="G154" s="12" t="s">
        <v>11</v>
      </c>
      <c r="H154" s="12" t="s">
        <v>348</v>
      </c>
      <c r="I154" s="14">
        <v>45369</v>
      </c>
      <c r="J154" s="12" t="s">
        <v>1530</v>
      </c>
    </row>
    <row r="155" spans="1:10" s="15" customFormat="1" x14ac:dyDescent="0.15">
      <c r="A155" s="11">
        <v>45372</v>
      </c>
      <c r="B155" s="12" t="s">
        <v>68</v>
      </c>
      <c r="C155" s="12" t="s">
        <v>68</v>
      </c>
      <c r="D155" s="13" t="str">
        <f>HYPERLINK("https://www.marklines.com/en/global/3879","Chery Automobile Co., Ltd. ")</f>
        <v xml:space="preserve">Chery Automobile Co., Ltd. </v>
      </c>
      <c r="E155" s="12" t="s">
        <v>92</v>
      </c>
      <c r="F155" s="12" t="s">
        <v>18</v>
      </c>
      <c r="G155" s="12" t="s">
        <v>24</v>
      </c>
      <c r="H155" s="12" t="s">
        <v>55</v>
      </c>
      <c r="I155" s="14">
        <v>45367</v>
      </c>
      <c r="J155" s="12" t="s">
        <v>1531</v>
      </c>
    </row>
    <row r="156" spans="1:10" s="15" customFormat="1" x14ac:dyDescent="0.15">
      <c r="A156" s="11">
        <v>45372</v>
      </c>
      <c r="B156" s="12" t="s">
        <v>84</v>
      </c>
      <c r="C156" s="12" t="s">
        <v>84</v>
      </c>
      <c r="D156" s="13" t="str">
        <f>HYPERLINK("https://www.marklines.com/en/global/9485","Guangzhou Xiaopeng Motors Technology Co., Ltd. ")</f>
        <v xml:space="preserve">Guangzhou Xiaopeng Motors Technology Co., Ltd. </v>
      </c>
      <c r="E156" s="12" t="s">
        <v>607</v>
      </c>
      <c r="F156" s="12" t="s">
        <v>18</v>
      </c>
      <c r="G156" s="12" t="s">
        <v>24</v>
      </c>
      <c r="H156" s="12" t="s">
        <v>63</v>
      </c>
      <c r="I156" s="14">
        <v>45367</v>
      </c>
      <c r="J156" s="12" t="s">
        <v>1532</v>
      </c>
    </row>
    <row r="157" spans="1:10" s="15" customFormat="1" x14ac:dyDescent="0.15">
      <c r="A157" s="11">
        <v>45372</v>
      </c>
      <c r="B157" s="12" t="s">
        <v>1533</v>
      </c>
      <c r="C157" s="12" t="s">
        <v>1533</v>
      </c>
      <c r="D157" s="13" t="str">
        <f>HYPERLINK("https://www.marklines.com/en/global/8787","Jingma Motor Co., Ltd. JMCG")</f>
        <v>Jingma Motor Co., Ltd. JMCG</v>
      </c>
      <c r="E157" s="12" t="s">
        <v>1534</v>
      </c>
      <c r="F157" s="12" t="s">
        <v>18</v>
      </c>
      <c r="G157" s="12" t="s">
        <v>24</v>
      </c>
      <c r="H157" s="12" t="s">
        <v>1535</v>
      </c>
      <c r="I157" s="14">
        <v>45367</v>
      </c>
      <c r="J157" s="12" t="s">
        <v>1536</v>
      </c>
    </row>
    <row r="158" spans="1:10" s="15" customFormat="1" x14ac:dyDescent="0.15">
      <c r="A158" s="11">
        <v>45372</v>
      </c>
      <c r="B158" s="12" t="s">
        <v>1533</v>
      </c>
      <c r="C158" s="12" t="s">
        <v>1533</v>
      </c>
      <c r="D158" s="13" t="str">
        <f>HYPERLINK("https://www.marklines.com/en/global/3903","Jiangling Motors Group Co.,Ltd. (JMCG)(formerly Jiangling Motors Co., Group )")</f>
        <v>Jiangling Motors Group Co.,Ltd. (JMCG)(formerly Jiangling Motors Co., Group )</v>
      </c>
      <c r="E158" s="12" t="s">
        <v>1537</v>
      </c>
      <c r="F158" s="12" t="s">
        <v>18</v>
      </c>
      <c r="G158" s="12" t="s">
        <v>24</v>
      </c>
      <c r="H158" s="12" t="s">
        <v>1535</v>
      </c>
      <c r="I158" s="14">
        <v>45367</v>
      </c>
      <c r="J158" s="12" t="s">
        <v>1536</v>
      </c>
    </row>
    <row r="159" spans="1:10" s="15" customFormat="1" x14ac:dyDescent="0.15">
      <c r="A159" s="11">
        <v>45372</v>
      </c>
      <c r="B159" s="12" t="s">
        <v>57</v>
      </c>
      <c r="C159" s="12" t="s">
        <v>57</v>
      </c>
      <c r="D159" s="13" t="str">
        <f>HYPERLINK("https://www.marklines.com/en/global/9500","BYD Co., Ltd.")</f>
        <v>BYD Co., Ltd.</v>
      </c>
      <c r="E159" s="12" t="s">
        <v>120</v>
      </c>
      <c r="F159" s="12" t="s">
        <v>18</v>
      </c>
      <c r="G159" s="12" t="s">
        <v>24</v>
      </c>
      <c r="H159" s="12" t="s">
        <v>63</v>
      </c>
      <c r="I159" s="14">
        <v>45367</v>
      </c>
      <c r="J159" s="12" t="s">
        <v>1538</v>
      </c>
    </row>
    <row r="160" spans="1:10" s="15" customFormat="1" x14ac:dyDescent="0.15">
      <c r="A160" s="11">
        <v>45372</v>
      </c>
      <c r="B160" s="12" t="s">
        <v>72</v>
      </c>
      <c r="C160" s="12" t="s">
        <v>72</v>
      </c>
      <c r="D160" s="13" t="str">
        <f>HYPERLINK("https://www.marklines.com/en/global/9831","Master Motors Limited Changan")</f>
        <v>Master Motors Limited Changan</v>
      </c>
      <c r="E160" s="12" t="s">
        <v>1539</v>
      </c>
      <c r="F160" s="12" t="s">
        <v>22</v>
      </c>
      <c r="G160" s="12" t="s">
        <v>257</v>
      </c>
      <c r="H160" s="12"/>
      <c r="I160" s="14">
        <v>45366</v>
      </c>
      <c r="J160" s="12" t="s">
        <v>1540</v>
      </c>
    </row>
    <row r="161" spans="1:10" s="15" customFormat="1" x14ac:dyDescent="0.15">
      <c r="A161" s="11">
        <v>45372</v>
      </c>
      <c r="B161" s="12" t="s">
        <v>1541</v>
      </c>
      <c r="C161" s="12" t="s">
        <v>1541</v>
      </c>
      <c r="D161" s="13" t="str">
        <f>HYPERLINK("https://www.marklines.com/en/global/4173","Qingling Motors (Group) Co., Ltd. (Former QingLing Vehicle Manufacture Company)")</f>
        <v>Qingling Motors (Group) Co., Ltd. (Former QingLing Vehicle Manufacture Company)</v>
      </c>
      <c r="E161" s="12" t="s">
        <v>1542</v>
      </c>
      <c r="F161" s="12" t="s">
        <v>18</v>
      </c>
      <c r="G161" s="12" t="s">
        <v>24</v>
      </c>
      <c r="H161" s="12" t="s">
        <v>25</v>
      </c>
      <c r="I161" s="14">
        <v>45366</v>
      </c>
      <c r="J161" s="12" t="s">
        <v>1543</v>
      </c>
    </row>
    <row r="162" spans="1:10" s="15" customFormat="1" x14ac:dyDescent="0.15">
      <c r="A162" s="11">
        <v>45371</v>
      </c>
      <c r="B162" s="12" t="s">
        <v>28</v>
      </c>
      <c r="C162" s="12" t="s">
        <v>35</v>
      </c>
      <c r="D162" s="13" t="str">
        <f>HYPERLINK("https://www.marklines.com/en/global/10548","CARIAD SE (Wolfsburg)")</f>
        <v>CARIAD SE (Wolfsburg)</v>
      </c>
      <c r="E162" s="12" t="s">
        <v>1544</v>
      </c>
      <c r="F162" s="12" t="s">
        <v>16</v>
      </c>
      <c r="G162" s="12" t="s">
        <v>208</v>
      </c>
      <c r="H162" s="12"/>
      <c r="I162" s="14">
        <v>45371</v>
      </c>
      <c r="J162" s="12" t="s">
        <v>1545</v>
      </c>
    </row>
    <row r="163" spans="1:10" s="15" customFormat="1" x14ac:dyDescent="0.15">
      <c r="A163" s="11">
        <v>45371</v>
      </c>
      <c r="B163" s="12" t="s">
        <v>36</v>
      </c>
      <c r="C163" s="12" t="s">
        <v>466</v>
      </c>
      <c r="D163" s="13" t="str">
        <f>HYPERLINK("https://www.marklines.com/en/global/1939","Stellantis, Peugeot Citroen Automoviles Espana S.A., Vigo Plant")</f>
        <v>Stellantis, Peugeot Citroen Automoviles Espana S.A., Vigo Plant</v>
      </c>
      <c r="E163" s="12" t="s">
        <v>54</v>
      </c>
      <c r="F163" s="12" t="s">
        <v>16</v>
      </c>
      <c r="G163" s="12" t="s">
        <v>42</v>
      </c>
      <c r="H163" s="12"/>
      <c r="I163" s="14">
        <v>45370</v>
      </c>
      <c r="J163" s="12" t="s">
        <v>1546</v>
      </c>
    </row>
    <row r="164" spans="1:10" s="15" customFormat="1" x14ac:dyDescent="0.15">
      <c r="A164" s="11">
        <v>45371</v>
      </c>
      <c r="B164" s="12" t="s">
        <v>1547</v>
      </c>
      <c r="C164" s="12" t="s">
        <v>1547</v>
      </c>
      <c r="D164" s="13" t="str">
        <f>HYPERLINK("https://www.marklines.com/en/global/3573","Haima Automobile Co.,Ltd.")</f>
        <v>Haima Automobile Co.,Ltd.</v>
      </c>
      <c r="E164" s="12" t="s">
        <v>1548</v>
      </c>
      <c r="F164" s="12" t="s">
        <v>18</v>
      </c>
      <c r="G164" s="12" t="s">
        <v>24</v>
      </c>
      <c r="H164" s="12" t="s">
        <v>1549</v>
      </c>
      <c r="I164" s="14">
        <v>45370</v>
      </c>
      <c r="J164" s="12" t="s">
        <v>1550</v>
      </c>
    </row>
    <row r="165" spans="1:10" s="15" customFormat="1" x14ac:dyDescent="0.15">
      <c r="A165" s="11">
        <v>45371</v>
      </c>
      <c r="B165" s="12" t="s">
        <v>1547</v>
      </c>
      <c r="C165" s="12" t="s">
        <v>1547</v>
      </c>
      <c r="D165" s="13" t="str">
        <f>HYPERLINK("https://www.marklines.com/en/global/3575","Hainan Haima Automobile Co., Ltd.")</f>
        <v>Hainan Haima Automobile Co., Ltd.</v>
      </c>
      <c r="E165" s="12" t="s">
        <v>1551</v>
      </c>
      <c r="F165" s="12" t="s">
        <v>18</v>
      </c>
      <c r="G165" s="12" t="s">
        <v>24</v>
      </c>
      <c r="H165" s="12" t="s">
        <v>1549</v>
      </c>
      <c r="I165" s="14">
        <v>45370</v>
      </c>
      <c r="J165" s="12" t="s">
        <v>1550</v>
      </c>
    </row>
    <row r="166" spans="1:10" s="15" customFormat="1" x14ac:dyDescent="0.15">
      <c r="A166" s="11">
        <v>45371</v>
      </c>
      <c r="B166" s="12" t="s">
        <v>1547</v>
      </c>
      <c r="C166" s="12" t="s">
        <v>1547</v>
      </c>
      <c r="D166" s="13" t="str">
        <f>HYPERLINK("https://www.marklines.com/en/global/3961","Haima Motor Co., Ltd.")</f>
        <v>Haima Motor Co., Ltd.</v>
      </c>
      <c r="E166" s="12" t="s">
        <v>1552</v>
      </c>
      <c r="F166" s="12" t="s">
        <v>18</v>
      </c>
      <c r="G166" s="12" t="s">
        <v>24</v>
      </c>
      <c r="H166" s="12" t="s">
        <v>401</v>
      </c>
      <c r="I166" s="14">
        <v>45370</v>
      </c>
      <c r="J166" s="12" t="s">
        <v>1550</v>
      </c>
    </row>
    <row r="167" spans="1:10" s="15" customFormat="1" x14ac:dyDescent="0.15">
      <c r="A167" s="11">
        <v>45371</v>
      </c>
      <c r="B167" s="12" t="s">
        <v>21</v>
      </c>
      <c r="C167" s="12" t="s">
        <v>21</v>
      </c>
      <c r="D167" s="13" t="str">
        <f>HYPERLINK("https://www.marklines.com/en/global/2605","Ford Motor, Louisville Assembly Plant")</f>
        <v>Ford Motor, Louisville Assembly Plant</v>
      </c>
      <c r="E167" s="12" t="s">
        <v>1553</v>
      </c>
      <c r="F167" s="12" t="s">
        <v>15</v>
      </c>
      <c r="G167" s="12" t="s">
        <v>11</v>
      </c>
      <c r="H167" s="12" t="s">
        <v>892</v>
      </c>
      <c r="I167" s="14">
        <v>45370</v>
      </c>
      <c r="J167" s="12" t="s">
        <v>1554</v>
      </c>
    </row>
    <row r="168" spans="1:10" s="15" customFormat="1" x14ac:dyDescent="0.15">
      <c r="A168" s="11">
        <v>45371</v>
      </c>
      <c r="B168" s="12" t="s">
        <v>21</v>
      </c>
      <c r="C168" s="12" t="s">
        <v>21</v>
      </c>
      <c r="D168" s="13" t="str">
        <f>HYPERLINK("https://www.marklines.com/en/global/2617","Ford Motor Canada, Oakville Assembly Plant")</f>
        <v>Ford Motor Canada, Oakville Assembly Plant</v>
      </c>
      <c r="E168" s="12" t="s">
        <v>760</v>
      </c>
      <c r="F168" s="12" t="s">
        <v>15</v>
      </c>
      <c r="G168" s="12" t="s">
        <v>260</v>
      </c>
      <c r="H168" s="12"/>
      <c r="I168" s="14">
        <v>45370</v>
      </c>
      <c r="J168" s="12" t="s">
        <v>1554</v>
      </c>
    </row>
    <row r="169" spans="1:10" s="15" customFormat="1" x14ac:dyDescent="0.15">
      <c r="A169" s="11">
        <v>45371</v>
      </c>
      <c r="B169" s="12" t="s">
        <v>36</v>
      </c>
      <c r="C169" s="12" t="s">
        <v>36</v>
      </c>
      <c r="D169" s="13" t="str">
        <f>HYPERLINK("https://www.marklines.com/en/global/1337","Stellantis, Fiat Powertrain Technologies, Mirafiori (Turin) Plant")</f>
        <v>Stellantis, Fiat Powertrain Technologies, Mirafiori (Turin) Plant</v>
      </c>
      <c r="E169" s="12" t="s">
        <v>1028</v>
      </c>
      <c r="F169" s="12" t="s">
        <v>16</v>
      </c>
      <c r="G169" s="12" t="s">
        <v>37</v>
      </c>
      <c r="H169" s="12"/>
      <c r="I169" s="14">
        <v>45369</v>
      </c>
      <c r="J169" s="12" t="s">
        <v>1555</v>
      </c>
    </row>
    <row r="170" spans="1:10" s="15" customFormat="1" x14ac:dyDescent="0.15">
      <c r="A170" s="11">
        <v>45371</v>
      </c>
      <c r="B170" s="12" t="s">
        <v>36</v>
      </c>
      <c r="C170" s="12" t="s">
        <v>36</v>
      </c>
      <c r="D170" s="13" t="str">
        <f>HYPERLINK("https://www.marklines.com/en/global/1327","Stellantis, FCA Italy, Mirafiori (Turin) Plant")</f>
        <v>Stellantis, FCA Italy, Mirafiori (Turin) Plant</v>
      </c>
      <c r="E170" s="12" t="s">
        <v>82</v>
      </c>
      <c r="F170" s="12" t="s">
        <v>16</v>
      </c>
      <c r="G170" s="12" t="s">
        <v>37</v>
      </c>
      <c r="H170" s="12"/>
      <c r="I170" s="14">
        <v>45369</v>
      </c>
      <c r="J170" s="12" t="s">
        <v>1555</v>
      </c>
    </row>
    <row r="171" spans="1:10" s="15" customFormat="1" x14ac:dyDescent="0.15">
      <c r="A171" s="11">
        <v>45371</v>
      </c>
      <c r="B171" s="12" t="s">
        <v>72</v>
      </c>
      <c r="C171" s="12" t="s">
        <v>72</v>
      </c>
      <c r="D171" s="13" t="str">
        <f>HYPERLINK("https://www.marklines.com/en/global/9429","Chongqing Lingyao Automobile Co.,Ltd. Second Plant (formerly Changan Suzuki Second Plant)")</f>
        <v>Chongqing Lingyao Automobile Co.,Ltd. Second Plant (formerly Changan Suzuki Second Plant)</v>
      </c>
      <c r="E171" s="12" t="s">
        <v>1556</v>
      </c>
      <c r="F171" s="12" t="s">
        <v>18</v>
      </c>
      <c r="G171" s="12" t="s">
        <v>24</v>
      </c>
      <c r="H171" s="12" t="s">
        <v>25</v>
      </c>
      <c r="I171" s="14">
        <v>45365</v>
      </c>
      <c r="J171" s="12" t="s">
        <v>1557</v>
      </c>
    </row>
    <row r="172" spans="1:10" s="15" customFormat="1" x14ac:dyDescent="0.15">
      <c r="A172" s="11">
        <v>45371</v>
      </c>
      <c r="B172" s="12" t="s">
        <v>65</v>
      </c>
      <c r="C172" s="12" t="s">
        <v>328</v>
      </c>
      <c r="D172" s="13" t="str">
        <f>HYPERLINK("https://www.marklines.com/en/global/10797","Zhejiang Geely Farizon New Energy Commercial Vehicle Group Co., Ltd. ")</f>
        <v xml:space="preserve">Zhejiang Geely Farizon New Energy Commercial Vehicle Group Co., Ltd. </v>
      </c>
      <c r="E172" s="12" t="s">
        <v>726</v>
      </c>
      <c r="F172" s="12" t="s">
        <v>18</v>
      </c>
      <c r="G172" s="12" t="s">
        <v>24</v>
      </c>
      <c r="H172" s="12" t="s">
        <v>61</v>
      </c>
      <c r="I172" s="14">
        <v>45365</v>
      </c>
      <c r="J172" s="12" t="s">
        <v>1558</v>
      </c>
    </row>
    <row r="173" spans="1:10" s="15" customFormat="1" x14ac:dyDescent="0.15">
      <c r="A173" s="11">
        <v>45370</v>
      </c>
      <c r="B173" s="12" t="s">
        <v>462</v>
      </c>
      <c r="C173" s="12" t="s">
        <v>1366</v>
      </c>
      <c r="D173" s="13" t="str">
        <f>HYPERLINK("https://www.marklines.com/en/global/2337","Jaguar Land Rover, Solihull Plant")</f>
        <v>Jaguar Land Rover, Solihull Plant</v>
      </c>
      <c r="E173" s="12" t="s">
        <v>1559</v>
      </c>
      <c r="F173" s="12" t="s">
        <v>16</v>
      </c>
      <c r="G173" s="12" t="s">
        <v>233</v>
      </c>
      <c r="H173" s="12"/>
      <c r="I173" s="14">
        <v>45370</v>
      </c>
      <c r="J173" s="12" t="s">
        <v>1560</v>
      </c>
    </row>
    <row r="174" spans="1:10" s="15" customFormat="1" x14ac:dyDescent="0.15">
      <c r="A174" s="11">
        <v>45370</v>
      </c>
      <c r="B174" s="12" t="s">
        <v>462</v>
      </c>
      <c r="C174" s="12" t="s">
        <v>1366</v>
      </c>
      <c r="D174" s="13" t="str">
        <f>HYPERLINK("https://www.marklines.com/en/global/2325","Jaguar Land Rover Automotive Plc")</f>
        <v>Jaguar Land Rover Automotive Plc</v>
      </c>
      <c r="E174" s="12" t="s">
        <v>1384</v>
      </c>
      <c r="F174" s="12" t="s">
        <v>16</v>
      </c>
      <c r="G174" s="12" t="s">
        <v>233</v>
      </c>
      <c r="H174" s="12"/>
      <c r="I174" s="14">
        <v>45370</v>
      </c>
      <c r="J174" s="12" t="s">
        <v>1560</v>
      </c>
    </row>
    <row r="175" spans="1:10" s="15" customFormat="1" x14ac:dyDescent="0.15">
      <c r="A175" s="11">
        <v>45370</v>
      </c>
      <c r="B175" s="12" t="s">
        <v>462</v>
      </c>
      <c r="C175" s="12" t="s">
        <v>1366</v>
      </c>
      <c r="D175" s="13" t="str">
        <f>HYPERLINK("https://www.marklines.com/en/global/10753","Tata Group Battery Gigafactory, Sommerset Plant (tentative name）")</f>
        <v>Tata Group Battery Gigafactory, Sommerset Plant (tentative name）</v>
      </c>
      <c r="E175" s="12" t="s">
        <v>1210</v>
      </c>
      <c r="F175" s="12" t="s">
        <v>16</v>
      </c>
      <c r="G175" s="12" t="s">
        <v>233</v>
      </c>
      <c r="H175" s="12"/>
      <c r="I175" s="14">
        <v>45370</v>
      </c>
      <c r="J175" s="12" t="s">
        <v>1560</v>
      </c>
    </row>
    <row r="176" spans="1:10" s="15" customFormat="1" x14ac:dyDescent="0.15">
      <c r="A176" s="11">
        <v>45370</v>
      </c>
      <c r="B176" s="12" t="s">
        <v>462</v>
      </c>
      <c r="C176" s="12" t="s">
        <v>1385</v>
      </c>
      <c r="D176" s="13" t="str">
        <f>HYPERLINK("https://www.marklines.com/en/global/2337","Jaguar Land Rover, Solihull Plant")</f>
        <v>Jaguar Land Rover, Solihull Plant</v>
      </c>
      <c r="E176" s="12" t="s">
        <v>1559</v>
      </c>
      <c r="F176" s="12" t="s">
        <v>16</v>
      </c>
      <c r="G176" s="12" t="s">
        <v>233</v>
      </c>
      <c r="H176" s="12"/>
      <c r="I176" s="14">
        <v>45370</v>
      </c>
      <c r="J176" s="12" t="s">
        <v>1560</v>
      </c>
    </row>
    <row r="177" spans="1:10" s="15" customFormat="1" x14ac:dyDescent="0.15">
      <c r="A177" s="11">
        <v>45370</v>
      </c>
      <c r="B177" s="12" t="s">
        <v>462</v>
      </c>
      <c r="C177" s="12" t="s">
        <v>1385</v>
      </c>
      <c r="D177" s="13" t="str">
        <f>HYPERLINK("https://www.marklines.com/en/global/2325","Jaguar Land Rover Automotive Plc")</f>
        <v>Jaguar Land Rover Automotive Plc</v>
      </c>
      <c r="E177" s="12" t="s">
        <v>1384</v>
      </c>
      <c r="F177" s="12" t="s">
        <v>16</v>
      </c>
      <c r="G177" s="12" t="s">
        <v>233</v>
      </c>
      <c r="H177" s="12"/>
      <c r="I177" s="14">
        <v>45370</v>
      </c>
      <c r="J177" s="12" t="s">
        <v>1560</v>
      </c>
    </row>
    <row r="178" spans="1:10" s="15" customFormat="1" x14ac:dyDescent="0.15">
      <c r="A178" s="11">
        <v>45370</v>
      </c>
      <c r="B178" s="12" t="s">
        <v>462</v>
      </c>
      <c r="C178" s="12" t="s">
        <v>1385</v>
      </c>
      <c r="D178" s="13" t="str">
        <f>HYPERLINK("https://www.marklines.com/en/global/10753","Tata Group Battery Gigafactory, Sommerset Plant (tentative name）")</f>
        <v>Tata Group Battery Gigafactory, Sommerset Plant (tentative name）</v>
      </c>
      <c r="E178" s="12" t="s">
        <v>1210</v>
      </c>
      <c r="F178" s="12" t="s">
        <v>16</v>
      </c>
      <c r="G178" s="12" t="s">
        <v>233</v>
      </c>
      <c r="H178" s="12"/>
      <c r="I178" s="14">
        <v>45370</v>
      </c>
      <c r="J178" s="12" t="s">
        <v>1560</v>
      </c>
    </row>
    <row r="179" spans="1:10" s="15" customFormat="1" x14ac:dyDescent="0.15">
      <c r="A179" s="11">
        <v>45370</v>
      </c>
      <c r="B179" s="12" t="s">
        <v>12</v>
      </c>
      <c r="C179" s="12" t="s">
        <v>1561</v>
      </c>
      <c r="D179" s="13" t="str">
        <f>HYPERLINK("https://www.marklines.com/en/global/9591","JBM Auto Limited, Bus division, Kosi Bus plant")</f>
        <v>JBM Auto Limited, Bus division, Kosi Bus plant</v>
      </c>
      <c r="E179" s="12" t="s">
        <v>1562</v>
      </c>
      <c r="F179" s="12" t="s">
        <v>22</v>
      </c>
      <c r="G179" s="12" t="s">
        <v>23</v>
      </c>
      <c r="H179" s="12" t="s">
        <v>1563</v>
      </c>
      <c r="I179" s="14">
        <v>45370</v>
      </c>
      <c r="J179" s="12" t="s">
        <v>1564</v>
      </c>
    </row>
    <row r="180" spans="1:10" s="15" customFormat="1" x14ac:dyDescent="0.15">
      <c r="A180" s="11">
        <v>45370</v>
      </c>
      <c r="B180" s="12" t="s">
        <v>21</v>
      </c>
      <c r="C180" s="12" t="s">
        <v>21</v>
      </c>
      <c r="D180" s="13" t="str">
        <f>HYPERLINK("https://www.marklines.com/en/global/2145","Ford Motor Germany, Saarlouis Plant")</f>
        <v>Ford Motor Germany, Saarlouis Plant</v>
      </c>
      <c r="E180" s="12" t="s">
        <v>357</v>
      </c>
      <c r="F180" s="12" t="s">
        <v>16</v>
      </c>
      <c r="G180" s="12" t="s">
        <v>208</v>
      </c>
      <c r="H180" s="12"/>
      <c r="I180" s="14">
        <v>45369</v>
      </c>
      <c r="J180" s="12" t="s">
        <v>1565</v>
      </c>
    </row>
    <row r="181" spans="1:10" s="15" customFormat="1" x14ac:dyDescent="0.15">
      <c r="A181" s="11">
        <v>45370</v>
      </c>
      <c r="B181" s="12" t="s">
        <v>50</v>
      </c>
      <c r="C181" s="12" t="s">
        <v>50</v>
      </c>
      <c r="D181" s="13" t="str">
        <f>HYPERLINK("https://www.marklines.com/en/global/9895","Tesla Gigafactory Berlin-Brandenburg")</f>
        <v>Tesla Gigafactory Berlin-Brandenburg</v>
      </c>
      <c r="E181" s="12" t="s">
        <v>474</v>
      </c>
      <c r="F181" s="12" t="s">
        <v>16</v>
      </c>
      <c r="G181" s="12" t="s">
        <v>208</v>
      </c>
      <c r="H181" s="12"/>
      <c r="I181" s="14">
        <v>45369</v>
      </c>
      <c r="J181" s="12" t="s">
        <v>1566</v>
      </c>
    </row>
    <row r="182" spans="1:10" s="15" customFormat="1" x14ac:dyDescent="0.15">
      <c r="A182" s="11">
        <v>45370</v>
      </c>
      <c r="B182" s="12" t="s">
        <v>674</v>
      </c>
      <c r="C182" s="12" t="s">
        <v>674</v>
      </c>
      <c r="D182" s="13" t="str">
        <f>HYPERLINK("https://www.marklines.com/en/global/1809","Magna Steyr Fahrzeugtechnik AG &amp; Co KG, Graz Plant")</f>
        <v>Magna Steyr Fahrzeugtechnik AG &amp; Co KG, Graz Plant</v>
      </c>
      <c r="E182" s="12" t="s">
        <v>675</v>
      </c>
      <c r="F182" s="12" t="s">
        <v>16</v>
      </c>
      <c r="G182" s="12" t="s">
        <v>637</v>
      </c>
      <c r="H182" s="12"/>
      <c r="I182" s="14">
        <v>45369</v>
      </c>
      <c r="J182" s="12" t="s">
        <v>1567</v>
      </c>
    </row>
    <row r="183" spans="1:10" s="15" customFormat="1" x14ac:dyDescent="0.15">
      <c r="A183" s="11">
        <v>45370</v>
      </c>
      <c r="B183" s="12" t="s">
        <v>28</v>
      </c>
      <c r="C183" s="12" t="s">
        <v>35</v>
      </c>
      <c r="D183" s="13" t="str">
        <f>HYPERLINK("https://www.marklines.com/en/global/3309","Volkswagen Group of America Chattanooga Operations, LLC, Chattanooga Plant")</f>
        <v>Volkswagen Group of America Chattanooga Operations, LLC, Chattanooga Plant</v>
      </c>
      <c r="E183" s="12" t="s">
        <v>829</v>
      </c>
      <c r="F183" s="12" t="s">
        <v>15</v>
      </c>
      <c r="G183" s="12" t="s">
        <v>11</v>
      </c>
      <c r="H183" s="12" t="s">
        <v>348</v>
      </c>
      <c r="I183" s="14">
        <v>45369</v>
      </c>
      <c r="J183" s="12" t="s">
        <v>1568</v>
      </c>
    </row>
    <row r="184" spans="1:10" s="15" customFormat="1" x14ac:dyDescent="0.15">
      <c r="A184" s="11">
        <v>45370</v>
      </c>
      <c r="B184" s="12" t="s">
        <v>28</v>
      </c>
      <c r="C184" s="12" t="s">
        <v>44</v>
      </c>
      <c r="D184" s="13" t="str">
        <f>HYPERLINK("https://www.marklines.com/en/global/1965","Volkswagen Navarra, S.A., Pamplona (Landaben) Plant")</f>
        <v>Volkswagen Navarra, S.A., Pamplona (Landaben) Plant</v>
      </c>
      <c r="E184" s="12" t="s">
        <v>64</v>
      </c>
      <c r="F184" s="12" t="s">
        <v>16</v>
      </c>
      <c r="G184" s="12" t="s">
        <v>42</v>
      </c>
      <c r="H184" s="12"/>
      <c r="I184" s="14">
        <v>45366</v>
      </c>
      <c r="J184" s="12" t="s">
        <v>1569</v>
      </c>
    </row>
    <row r="185" spans="1:10" s="15" customFormat="1" x14ac:dyDescent="0.15">
      <c r="A185" s="11">
        <v>45369</v>
      </c>
      <c r="B185" s="12" t="s">
        <v>252</v>
      </c>
      <c r="C185" s="12" t="s">
        <v>252</v>
      </c>
      <c r="D185" s="13" t="str">
        <f>HYPERLINK("https://www.marklines.com/en/global/1947","Renault Spain, Valladolid Plant")</f>
        <v>Renault Spain, Valladolid Plant</v>
      </c>
      <c r="E185" s="12" t="s">
        <v>797</v>
      </c>
      <c r="F185" s="12" t="s">
        <v>16</v>
      </c>
      <c r="G185" s="12" t="s">
        <v>42</v>
      </c>
      <c r="H185" s="12"/>
      <c r="I185" s="14">
        <v>45366</v>
      </c>
      <c r="J185" s="12" t="s">
        <v>1570</v>
      </c>
    </row>
    <row r="186" spans="1:10" s="15" customFormat="1" x14ac:dyDescent="0.15">
      <c r="A186" s="11">
        <v>45369</v>
      </c>
      <c r="B186" s="12" t="s">
        <v>28</v>
      </c>
      <c r="C186" s="12" t="s">
        <v>800</v>
      </c>
      <c r="D186" s="13" t="str">
        <f>HYPERLINK("https://www.marklines.com/en/global/2191","Porsche AG, Leipzig Plant")</f>
        <v>Porsche AG, Leipzig Plant</v>
      </c>
      <c r="E186" s="12" t="s">
        <v>801</v>
      </c>
      <c r="F186" s="12" t="s">
        <v>16</v>
      </c>
      <c r="G186" s="12" t="s">
        <v>208</v>
      </c>
      <c r="H186" s="12"/>
      <c r="I186" s="14">
        <v>45366</v>
      </c>
      <c r="J186" s="12" t="s">
        <v>1571</v>
      </c>
    </row>
    <row r="187" spans="1:10" s="15" customFormat="1" x14ac:dyDescent="0.15">
      <c r="A187" s="11">
        <v>45369</v>
      </c>
      <c r="B187" s="12" t="s">
        <v>915</v>
      </c>
      <c r="C187" s="12" t="s">
        <v>915</v>
      </c>
      <c r="D187" s="13" t="str">
        <f>HYPERLINK("https://www.marklines.com/en/global/671","ZAO AvtoTOR, Kaliningrad Plant")</f>
        <v>ZAO AvtoTOR, Kaliningrad Plant</v>
      </c>
      <c r="E187" s="12" t="s">
        <v>717</v>
      </c>
      <c r="F187" s="12" t="s">
        <v>17</v>
      </c>
      <c r="G187" s="12" t="s">
        <v>13</v>
      </c>
      <c r="H187" s="12"/>
      <c r="I187" s="14">
        <v>45366</v>
      </c>
      <c r="J187" s="12" t="s">
        <v>1572</v>
      </c>
    </row>
    <row r="188" spans="1:10" s="15" customFormat="1" x14ac:dyDescent="0.15">
      <c r="A188" s="11">
        <v>45369</v>
      </c>
      <c r="B188" s="12" t="s">
        <v>36</v>
      </c>
      <c r="C188" s="12" t="s">
        <v>36</v>
      </c>
      <c r="D188" s="13" t="str">
        <f>HYPERLINK("https://www.marklines.com/en/global/1343","Stellantis, Fiat Powertrain Technologies, Termoli Plant / Automotive Cell Company (ACC), Termoli Plant")</f>
        <v>Stellantis, Fiat Powertrain Technologies, Termoli Plant / Automotive Cell Company (ACC), Termoli Plant</v>
      </c>
      <c r="E188" s="12" t="s">
        <v>296</v>
      </c>
      <c r="F188" s="12" t="s">
        <v>16</v>
      </c>
      <c r="G188" s="12" t="s">
        <v>37</v>
      </c>
      <c r="H188" s="12"/>
      <c r="I188" s="14">
        <v>45365</v>
      </c>
      <c r="J188" s="12" t="s">
        <v>1573</v>
      </c>
    </row>
    <row r="189" spans="1:10" s="15" customFormat="1" x14ac:dyDescent="0.15">
      <c r="A189" s="11">
        <v>45369</v>
      </c>
      <c r="B189" s="12" t="s">
        <v>14</v>
      </c>
      <c r="C189" s="12" t="s">
        <v>14</v>
      </c>
      <c r="D189" s="13" t="str">
        <f>HYPERLINK("https://www.marklines.com/en/global/453","Honda Auto Body Co., Ltd.")</f>
        <v>Honda Auto Body Co., Ltd.</v>
      </c>
      <c r="E189" s="12" t="s">
        <v>1574</v>
      </c>
      <c r="F189" s="12" t="s">
        <v>18</v>
      </c>
      <c r="G189" s="12" t="s">
        <v>20</v>
      </c>
      <c r="H189" s="12" t="s">
        <v>203</v>
      </c>
      <c r="I189" s="14">
        <v>45365</v>
      </c>
      <c r="J189" s="12" t="s">
        <v>1575</v>
      </c>
    </row>
    <row r="190" spans="1:10" s="15" customFormat="1" x14ac:dyDescent="0.15">
      <c r="A190" s="11">
        <v>45369</v>
      </c>
      <c r="B190" s="12" t="s">
        <v>14</v>
      </c>
      <c r="C190" s="12" t="s">
        <v>14</v>
      </c>
      <c r="D190" s="13" t="str">
        <f>HYPERLINK("https://www.marklines.com/en/global/443","Honda Motor, Suzuka Factory")</f>
        <v>Honda Motor, Suzuka Factory</v>
      </c>
      <c r="E190" s="12" t="s">
        <v>1576</v>
      </c>
      <c r="F190" s="12" t="s">
        <v>18</v>
      </c>
      <c r="G190" s="12" t="s">
        <v>20</v>
      </c>
      <c r="H190" s="12" t="s">
        <v>203</v>
      </c>
      <c r="I190" s="14">
        <v>45365</v>
      </c>
      <c r="J190" s="12" t="s">
        <v>1575</v>
      </c>
    </row>
    <row r="191" spans="1:10" s="15" customFormat="1" x14ac:dyDescent="0.15">
      <c r="A191" s="11">
        <v>45369</v>
      </c>
      <c r="B191" s="12" t="s">
        <v>12</v>
      </c>
      <c r="C191" s="12" t="s">
        <v>383</v>
      </c>
      <c r="D191" s="13" t="str">
        <f>HYPERLINK("https://www.marklines.com/en/global/10377","Valmet Battery Assembly Center, Kirchardt Plant")</f>
        <v>Valmet Battery Assembly Center, Kirchardt Plant</v>
      </c>
      <c r="E191" s="12" t="s">
        <v>1577</v>
      </c>
      <c r="F191" s="12" t="s">
        <v>16</v>
      </c>
      <c r="G191" s="12" t="s">
        <v>208</v>
      </c>
      <c r="H191" s="12"/>
      <c r="I191" s="14">
        <v>45365</v>
      </c>
      <c r="J191" s="12" t="s">
        <v>1578</v>
      </c>
    </row>
    <row r="192" spans="1:10" s="15" customFormat="1" x14ac:dyDescent="0.15">
      <c r="A192" s="11">
        <v>45369</v>
      </c>
      <c r="B192" s="12" t="s">
        <v>12</v>
      </c>
      <c r="C192" s="12" t="s">
        <v>383</v>
      </c>
      <c r="D192" s="13" t="str">
        <f>HYPERLINK("https://www.marklines.com/en/global/9853","Valmet Automotive EV Power Ltd")</f>
        <v>Valmet Automotive EV Power Ltd</v>
      </c>
      <c r="E192" s="12" t="s">
        <v>1579</v>
      </c>
      <c r="F192" s="12" t="s">
        <v>16</v>
      </c>
      <c r="G192" s="12" t="s">
        <v>385</v>
      </c>
      <c r="H192" s="12"/>
      <c r="I192" s="14">
        <v>45365</v>
      </c>
      <c r="J192" s="12" t="s">
        <v>1578</v>
      </c>
    </row>
    <row r="193" spans="1:10" s="15" customFormat="1" x14ac:dyDescent="0.15">
      <c r="A193" s="11">
        <v>45369</v>
      </c>
      <c r="B193" s="12" t="s">
        <v>12</v>
      </c>
      <c r="C193" s="12" t="s">
        <v>383</v>
      </c>
      <c r="D193" s="13" t="str">
        <f>HYPERLINK("https://www.marklines.com/en/global/2749","Valmet Automotive Inc., Uusikaupunki Plant")</f>
        <v>Valmet Automotive Inc., Uusikaupunki Plant</v>
      </c>
      <c r="E193" s="12" t="s">
        <v>384</v>
      </c>
      <c r="F193" s="12" t="s">
        <v>16</v>
      </c>
      <c r="G193" s="12" t="s">
        <v>385</v>
      </c>
      <c r="H193" s="12"/>
      <c r="I193" s="14">
        <v>45365</v>
      </c>
      <c r="J193" s="12" t="s">
        <v>1578</v>
      </c>
    </row>
    <row r="194" spans="1:10" s="15" customFormat="1" x14ac:dyDescent="0.15">
      <c r="A194" s="11">
        <v>45369</v>
      </c>
      <c r="B194" s="12" t="s">
        <v>68</v>
      </c>
      <c r="C194" s="12" t="s">
        <v>68</v>
      </c>
      <c r="D194" s="13" t="str">
        <f>HYPERLINK("https://www.marklines.com/en/global/9390","Chery New Energy Automobile Co., Ltd. (Formerly Chery New Energy Technology Automotive Co., Ltd.)")</f>
        <v>Chery New Energy Automobile Co., Ltd. (Formerly Chery New Energy Technology Automotive Co., Ltd.)</v>
      </c>
      <c r="E194" s="12" t="s">
        <v>562</v>
      </c>
      <c r="F194" s="12" t="s">
        <v>18</v>
      </c>
      <c r="G194" s="12" t="s">
        <v>24</v>
      </c>
      <c r="H194" s="12" t="s">
        <v>55</v>
      </c>
      <c r="I194" s="14">
        <v>45364</v>
      </c>
      <c r="J194" s="12" t="s">
        <v>1580</v>
      </c>
    </row>
    <row r="195" spans="1:10" s="15" customFormat="1" x14ac:dyDescent="0.15">
      <c r="A195" s="11">
        <v>45369</v>
      </c>
      <c r="B195" s="12" t="s">
        <v>12</v>
      </c>
      <c r="C195" s="12" t="s">
        <v>152</v>
      </c>
      <c r="D195" s="13" t="str">
        <f>HYPERLINK("https://www.marklines.com/en/global/10580","Xiaomi Auto Technology Co., Ltd.")</f>
        <v>Xiaomi Auto Technology Co., Ltd.</v>
      </c>
      <c r="E195" s="12" t="s">
        <v>113</v>
      </c>
      <c r="F195" s="12" t="s">
        <v>18</v>
      </c>
      <c r="G195" s="12" t="s">
        <v>24</v>
      </c>
      <c r="H195" s="12" t="s">
        <v>71</v>
      </c>
      <c r="I195" s="14">
        <v>45364</v>
      </c>
      <c r="J195" s="12" t="s">
        <v>1580</v>
      </c>
    </row>
    <row r="196" spans="1:10" s="15" customFormat="1" x14ac:dyDescent="0.15">
      <c r="A196" s="11">
        <v>45369</v>
      </c>
      <c r="B196" s="12" t="s">
        <v>390</v>
      </c>
      <c r="C196" s="12" t="s">
        <v>390</v>
      </c>
      <c r="D196" s="13" t="str">
        <f>HYPERLINK("https://www.marklines.com/en/global/3349","FAW Jiefang Automotive Co., Ltd.")</f>
        <v>FAW Jiefang Automotive Co., Ltd.</v>
      </c>
      <c r="E196" s="12" t="s">
        <v>391</v>
      </c>
      <c r="F196" s="12" t="s">
        <v>18</v>
      </c>
      <c r="G196" s="12" t="s">
        <v>24</v>
      </c>
      <c r="H196" s="12" t="s">
        <v>392</v>
      </c>
      <c r="I196" s="14">
        <v>45364</v>
      </c>
      <c r="J196" s="12" t="s">
        <v>1581</v>
      </c>
    </row>
    <row r="197" spans="1:10" s="15" customFormat="1" x14ac:dyDescent="0.15">
      <c r="A197" s="11">
        <v>45369</v>
      </c>
      <c r="B197" s="12" t="s">
        <v>58</v>
      </c>
      <c r="C197" s="12" t="s">
        <v>58</v>
      </c>
      <c r="D197" s="13" t="str">
        <f>HYPERLINK("https://www.marklines.com/en/global/3469","Beijing Electric Vehicle Co., Ltd. (BAIC BJEV)")</f>
        <v>Beijing Electric Vehicle Co., Ltd. (BAIC BJEV)</v>
      </c>
      <c r="E197" s="12" t="s">
        <v>1582</v>
      </c>
      <c r="F197" s="12" t="s">
        <v>18</v>
      </c>
      <c r="G197" s="12" t="s">
        <v>24</v>
      </c>
      <c r="H197" s="12" t="s">
        <v>71</v>
      </c>
      <c r="I197" s="14">
        <v>45364</v>
      </c>
      <c r="J197" s="12" t="s">
        <v>1583</v>
      </c>
    </row>
    <row r="198" spans="1:10" s="15" customFormat="1" x14ac:dyDescent="0.15">
      <c r="A198" s="11">
        <v>45369</v>
      </c>
      <c r="B198" s="12" t="s">
        <v>19</v>
      </c>
      <c r="C198" s="12" t="s">
        <v>19</v>
      </c>
      <c r="D198" s="13" t="str">
        <f>HYPERLINK("https://www.marklines.com/en/global/543","Daihatsu Motor, Shiga (Ryuo) Plant")</f>
        <v>Daihatsu Motor, Shiga (Ryuo) Plant</v>
      </c>
      <c r="E198" s="12" t="s">
        <v>513</v>
      </c>
      <c r="F198" s="12" t="s">
        <v>18</v>
      </c>
      <c r="G198" s="12" t="s">
        <v>20</v>
      </c>
      <c r="H198" s="12" t="s">
        <v>514</v>
      </c>
      <c r="I198" s="14">
        <v>45362</v>
      </c>
      <c r="J198" s="12" t="s">
        <v>1584</v>
      </c>
    </row>
    <row r="199" spans="1:10" s="15" customFormat="1" x14ac:dyDescent="0.15">
      <c r="A199" s="11">
        <v>45369</v>
      </c>
      <c r="B199" s="12" t="s">
        <v>19</v>
      </c>
      <c r="C199" s="12" t="s">
        <v>512</v>
      </c>
      <c r="D199" s="13" t="str">
        <f>HYPERLINK("https://www.marklines.com/en/global/543","Daihatsu Motor, Shiga (Ryuo) Plant")</f>
        <v>Daihatsu Motor, Shiga (Ryuo) Plant</v>
      </c>
      <c r="E199" s="12" t="s">
        <v>513</v>
      </c>
      <c r="F199" s="12" t="s">
        <v>18</v>
      </c>
      <c r="G199" s="12" t="s">
        <v>20</v>
      </c>
      <c r="H199" s="12" t="s">
        <v>514</v>
      </c>
      <c r="I199" s="14">
        <v>45362</v>
      </c>
      <c r="J199" s="12" t="s">
        <v>1584</v>
      </c>
    </row>
    <row r="200" spans="1:10" s="15" customFormat="1" x14ac:dyDescent="0.15">
      <c r="A200" s="11">
        <v>45369</v>
      </c>
      <c r="B200" s="12" t="s">
        <v>956</v>
      </c>
      <c r="C200" s="12" t="s">
        <v>956</v>
      </c>
      <c r="D200" s="13" t="str">
        <f>HYPERLINK("https://www.marklines.com/en/global/543","Daihatsu Motor, Shiga (Ryuo) Plant")</f>
        <v>Daihatsu Motor, Shiga (Ryuo) Plant</v>
      </c>
      <c r="E200" s="12" t="s">
        <v>513</v>
      </c>
      <c r="F200" s="12" t="s">
        <v>18</v>
      </c>
      <c r="G200" s="12" t="s">
        <v>20</v>
      </c>
      <c r="H200" s="12" t="s">
        <v>514</v>
      </c>
      <c r="I200" s="14">
        <v>45362</v>
      </c>
      <c r="J200" s="12" t="s">
        <v>1584</v>
      </c>
    </row>
    <row r="201" spans="1:10" s="15" customFormat="1" x14ac:dyDescent="0.15">
      <c r="A201" s="11">
        <v>45369</v>
      </c>
      <c r="B201" s="12" t="s">
        <v>19</v>
      </c>
      <c r="C201" s="12" t="s">
        <v>684</v>
      </c>
      <c r="D201" s="13" t="str">
        <f>HYPERLINK("https://www.marklines.com/en/global/567","Hino Motors, Hamura Plant")</f>
        <v>Hino Motors, Hamura Plant</v>
      </c>
      <c r="E201" s="12" t="s">
        <v>685</v>
      </c>
      <c r="F201" s="12" t="s">
        <v>18</v>
      </c>
      <c r="G201" s="12" t="s">
        <v>20</v>
      </c>
      <c r="H201" s="12" t="s">
        <v>686</v>
      </c>
      <c r="I201" s="14">
        <v>45362</v>
      </c>
      <c r="J201" s="12" t="s">
        <v>1585</v>
      </c>
    </row>
    <row r="202" spans="1:10" s="15" customFormat="1" x14ac:dyDescent="0.15">
      <c r="A202" s="11">
        <v>45369</v>
      </c>
      <c r="B202" s="12" t="s">
        <v>346</v>
      </c>
      <c r="C202" s="12" t="s">
        <v>346</v>
      </c>
      <c r="D202" s="13" t="str">
        <f>HYPERLINK("https://www.marklines.com/en/global/463","Nissan Motor, Tochigi Plant")</f>
        <v>Nissan Motor, Tochigi Plant</v>
      </c>
      <c r="E202" s="12" t="s">
        <v>1458</v>
      </c>
      <c r="F202" s="12" t="s">
        <v>18</v>
      </c>
      <c r="G202" s="12" t="s">
        <v>20</v>
      </c>
      <c r="H202" s="12" t="s">
        <v>523</v>
      </c>
      <c r="I202" s="14">
        <v>45359</v>
      </c>
      <c r="J202" s="12" t="s">
        <v>1586</v>
      </c>
    </row>
    <row r="203" spans="1:10" s="15" customFormat="1" x14ac:dyDescent="0.15">
      <c r="A203" s="11">
        <v>45369</v>
      </c>
      <c r="B203" s="12" t="s">
        <v>19</v>
      </c>
      <c r="C203" s="12" t="s">
        <v>19</v>
      </c>
      <c r="D203" s="13" t="str">
        <f>HYPERLINK("https://www.marklines.com/en/global/10008","Toyota Central R&amp;D Labs., Inc. (Toyota CRDL) (Aichi)")</f>
        <v>Toyota Central R&amp;D Labs., Inc. (Toyota CRDL) (Aichi)</v>
      </c>
      <c r="E203" s="12" t="s">
        <v>1587</v>
      </c>
      <c r="F203" s="12" t="s">
        <v>18</v>
      </c>
      <c r="G203" s="12" t="s">
        <v>20</v>
      </c>
      <c r="H203" s="12" t="s">
        <v>189</v>
      </c>
      <c r="I203" s="14">
        <v>45357</v>
      </c>
      <c r="J203" s="12" t="s">
        <v>1588</v>
      </c>
    </row>
    <row r="204" spans="1:10" s="15" customFormat="1" x14ac:dyDescent="0.15">
      <c r="A204" s="11">
        <v>45367</v>
      </c>
      <c r="B204" s="12" t="s">
        <v>27</v>
      </c>
      <c r="C204" s="12" t="s">
        <v>27</v>
      </c>
      <c r="D204" s="13" t="str">
        <f>HYPERLINK("https://www.marklines.com/en/global/2213","BMW AG, Wackersdorf Plant")</f>
        <v>BMW AG, Wackersdorf Plant</v>
      </c>
      <c r="E204" s="12" t="s">
        <v>1589</v>
      </c>
      <c r="F204" s="12" t="s">
        <v>16</v>
      </c>
      <c r="G204" s="12" t="s">
        <v>208</v>
      </c>
      <c r="H204" s="12"/>
      <c r="I204" s="14">
        <v>45366</v>
      </c>
      <c r="J204" s="12" t="s">
        <v>1590</v>
      </c>
    </row>
    <row r="205" spans="1:10" s="15" customFormat="1" x14ac:dyDescent="0.15">
      <c r="A205" s="11">
        <v>45367</v>
      </c>
      <c r="B205" s="12" t="s">
        <v>27</v>
      </c>
      <c r="C205" s="12" t="s">
        <v>27</v>
      </c>
      <c r="D205" s="13" t="str">
        <f>HYPERLINK("https://www.marklines.com/en/global/2209","BMW AG, Regensburg Plant")</f>
        <v>BMW AG, Regensburg Plant</v>
      </c>
      <c r="E205" s="12" t="s">
        <v>1397</v>
      </c>
      <c r="F205" s="12" t="s">
        <v>16</v>
      </c>
      <c r="G205" s="12" t="s">
        <v>208</v>
      </c>
      <c r="H205" s="12"/>
      <c r="I205" s="14">
        <v>45366</v>
      </c>
      <c r="J205" s="12" t="s">
        <v>1590</v>
      </c>
    </row>
    <row r="206" spans="1:10" s="15" customFormat="1" x14ac:dyDescent="0.15">
      <c r="A206" s="11">
        <v>45367</v>
      </c>
      <c r="B206" s="12" t="s">
        <v>36</v>
      </c>
      <c r="C206" s="12" t="s">
        <v>36</v>
      </c>
      <c r="D206" s="13" t="str">
        <f>HYPERLINK("https://www.marklines.com/en/global/10577","NextStar Energy, Windsor Battery Plant")</f>
        <v>NextStar Energy, Windsor Battery Plant</v>
      </c>
      <c r="E206" s="12" t="s">
        <v>1591</v>
      </c>
      <c r="F206" s="12" t="s">
        <v>15</v>
      </c>
      <c r="G206" s="12" t="s">
        <v>260</v>
      </c>
      <c r="H206" s="12"/>
      <c r="I206" s="14">
        <v>45365</v>
      </c>
      <c r="J206" s="12" t="s">
        <v>1592</v>
      </c>
    </row>
    <row r="207" spans="1:10" s="15" customFormat="1" x14ac:dyDescent="0.15">
      <c r="A207" s="11">
        <v>45367</v>
      </c>
      <c r="B207" s="12" t="s">
        <v>14</v>
      </c>
      <c r="C207" s="12" t="s">
        <v>14</v>
      </c>
      <c r="D207" s="13" t="str">
        <f>HYPERLINK("https://www.marklines.com/en/global/3125","Honda of Canada Manufacturing, Honda Canada Inc., Alliston Plant")</f>
        <v>Honda of Canada Manufacturing, Honda Canada Inc., Alliston Plant</v>
      </c>
      <c r="E207" s="12" t="s">
        <v>259</v>
      </c>
      <c r="F207" s="12" t="s">
        <v>15</v>
      </c>
      <c r="G207" s="12" t="s">
        <v>260</v>
      </c>
      <c r="H207" s="12"/>
      <c r="I207" s="14">
        <v>45365</v>
      </c>
      <c r="J207" s="12" t="s">
        <v>1593</v>
      </c>
    </row>
    <row r="208" spans="1:10" s="15" customFormat="1" x14ac:dyDescent="0.15">
      <c r="A208" s="11">
        <v>45367</v>
      </c>
      <c r="B208" s="12" t="s">
        <v>50</v>
      </c>
      <c r="C208" s="12" t="s">
        <v>50</v>
      </c>
      <c r="D208" s="13" t="str">
        <f>HYPERLINK("https://www.marklines.com/en/global/10700","Tesla Robstown lithium refinery  ")</f>
        <v xml:space="preserve">Tesla Robstown lithium refinery  </v>
      </c>
      <c r="E208" s="12" t="s">
        <v>1594</v>
      </c>
      <c r="F208" s="12" t="s">
        <v>15</v>
      </c>
      <c r="G208" s="12" t="s">
        <v>11</v>
      </c>
      <c r="H208" s="12" t="s">
        <v>509</v>
      </c>
      <c r="I208" s="14">
        <v>45362</v>
      </c>
      <c r="J208" s="12" t="s">
        <v>1595</v>
      </c>
    </row>
    <row r="209" spans="1:10" s="15" customFormat="1" x14ac:dyDescent="0.15">
      <c r="A209" s="11">
        <v>45366</v>
      </c>
      <c r="B209" s="12" t="s">
        <v>36</v>
      </c>
      <c r="C209" s="12" t="s">
        <v>466</v>
      </c>
      <c r="D209" s="13" t="str">
        <f>HYPERLINK("https://www.marklines.com/en/global/1939","Stellantis, Peugeot Citroen Automoviles Espana S.A., Vigo Plant")</f>
        <v>Stellantis, Peugeot Citroen Automoviles Espana S.A., Vigo Plant</v>
      </c>
      <c r="E209" s="12" t="s">
        <v>54</v>
      </c>
      <c r="F209" s="12" t="s">
        <v>16</v>
      </c>
      <c r="G209" s="12" t="s">
        <v>42</v>
      </c>
      <c r="H209" s="12"/>
      <c r="I209" s="14">
        <v>45365</v>
      </c>
      <c r="J209" s="12" t="s">
        <v>1403</v>
      </c>
    </row>
    <row r="210" spans="1:10" s="15" customFormat="1" x14ac:dyDescent="0.15">
      <c r="A210" s="11">
        <v>45366</v>
      </c>
      <c r="B210" s="12" t="s">
        <v>454</v>
      </c>
      <c r="C210" s="12" t="s">
        <v>455</v>
      </c>
      <c r="D210" s="13" t="str">
        <f>HYPERLINK("https://www.marklines.com/en/global/10245","Group Research &amp; MBC Development (Sindelfingen)")</f>
        <v>Group Research &amp; MBC Development (Sindelfingen)</v>
      </c>
      <c r="E210" s="12" t="s">
        <v>1404</v>
      </c>
      <c r="F210" s="12" t="s">
        <v>16</v>
      </c>
      <c r="G210" s="12" t="s">
        <v>208</v>
      </c>
      <c r="H210" s="12"/>
      <c r="I210" s="14">
        <v>45364</v>
      </c>
      <c r="J210" s="12" t="s">
        <v>1405</v>
      </c>
    </row>
    <row r="211" spans="1:10" s="15" customFormat="1" x14ac:dyDescent="0.15">
      <c r="A211" s="11">
        <v>45366</v>
      </c>
      <c r="B211" s="12" t="s">
        <v>28</v>
      </c>
      <c r="C211" s="12" t="s">
        <v>353</v>
      </c>
      <c r="D211" s="13" t="str">
        <f>HYPERLINK("https://www.marklines.com/en/global/10650","PowerCo SE, Sagunto Gigafactory")</f>
        <v>PowerCo SE, Sagunto Gigafactory</v>
      </c>
      <c r="E211" s="12" t="s">
        <v>414</v>
      </c>
      <c r="F211" s="12" t="s">
        <v>16</v>
      </c>
      <c r="G211" s="12" t="s">
        <v>42</v>
      </c>
      <c r="H211" s="12"/>
      <c r="I211" s="14">
        <v>45364</v>
      </c>
      <c r="J211" s="12" t="s">
        <v>1406</v>
      </c>
    </row>
    <row r="212" spans="1:10" s="15" customFormat="1" x14ac:dyDescent="0.15">
      <c r="A212" s="11">
        <v>45366</v>
      </c>
      <c r="B212" s="12" t="s">
        <v>28</v>
      </c>
      <c r="C212" s="12" t="s">
        <v>43</v>
      </c>
      <c r="D212" s="13" t="str">
        <f>HYPERLINK("https://www.marklines.com/en/global/1777","Audi Hungaria Zrt., Győr Plant (formerly Audi Hungaria Motor Kft.)")</f>
        <v>Audi Hungaria Zrt., Győr Plant (formerly Audi Hungaria Motor Kft.)</v>
      </c>
      <c r="E212" s="12" t="s">
        <v>499</v>
      </c>
      <c r="F212" s="12" t="s">
        <v>17</v>
      </c>
      <c r="G212" s="12" t="s">
        <v>417</v>
      </c>
      <c r="H212" s="12"/>
      <c r="I212" s="14">
        <v>45364</v>
      </c>
      <c r="J212" s="12" t="s">
        <v>1407</v>
      </c>
    </row>
    <row r="213" spans="1:10" s="15" customFormat="1" x14ac:dyDescent="0.15">
      <c r="A213" s="11">
        <v>45366</v>
      </c>
      <c r="B213" s="12" t="s">
        <v>429</v>
      </c>
      <c r="C213" s="12" t="s">
        <v>430</v>
      </c>
      <c r="D213" s="13" t="str">
        <f>HYPERLINK("https://www.marklines.com/en/global/9476","Bangchan General Assembly Co., Ltd. (BGAC), Bangkok Plant")</f>
        <v>Bangchan General Assembly Co., Ltd. (BGAC), Bangkok Plant</v>
      </c>
      <c r="E213" s="12" t="s">
        <v>618</v>
      </c>
      <c r="F213" s="12" t="s">
        <v>29</v>
      </c>
      <c r="G213" s="12" t="s">
        <v>301</v>
      </c>
      <c r="H213" s="12" t="s">
        <v>619</v>
      </c>
      <c r="I213" s="14">
        <v>45364</v>
      </c>
      <c r="J213" s="12" t="s">
        <v>1408</v>
      </c>
    </row>
    <row r="214" spans="1:10" s="15" customFormat="1" x14ac:dyDescent="0.15">
      <c r="A214" s="11">
        <v>45366</v>
      </c>
      <c r="B214" s="12" t="s">
        <v>50</v>
      </c>
      <c r="C214" s="12" t="s">
        <v>50</v>
      </c>
      <c r="D214" s="13" t="str">
        <f>HYPERLINK("https://www.marklines.com/en/global/10321","Tesla Gigafactory Texas")</f>
        <v>Tesla Gigafactory Texas</v>
      </c>
      <c r="E214" s="12" t="s">
        <v>508</v>
      </c>
      <c r="F214" s="12" t="s">
        <v>15</v>
      </c>
      <c r="G214" s="12" t="s">
        <v>11</v>
      </c>
      <c r="H214" s="12" t="s">
        <v>509</v>
      </c>
      <c r="I214" s="14">
        <v>45364</v>
      </c>
      <c r="J214" s="12" t="s">
        <v>1409</v>
      </c>
    </row>
    <row r="215" spans="1:10" s="15" customFormat="1" x14ac:dyDescent="0.15">
      <c r="A215" s="11">
        <v>45366</v>
      </c>
      <c r="B215" s="12" t="s">
        <v>50</v>
      </c>
      <c r="C215" s="12" t="s">
        <v>50</v>
      </c>
      <c r="D215" s="13" t="str">
        <f>HYPERLINK("https://www.marklines.com/en/global/4512","Tesla Gigafactory Nevada")</f>
        <v>Tesla Gigafactory Nevada</v>
      </c>
      <c r="E215" s="12" t="s">
        <v>510</v>
      </c>
      <c r="F215" s="12" t="s">
        <v>15</v>
      </c>
      <c r="G215" s="12" t="s">
        <v>11</v>
      </c>
      <c r="H215" s="12" t="s">
        <v>511</v>
      </c>
      <c r="I215" s="14">
        <v>45364</v>
      </c>
      <c r="J215" s="12" t="s">
        <v>1409</v>
      </c>
    </row>
    <row r="216" spans="1:10" s="15" customFormat="1" x14ac:dyDescent="0.15">
      <c r="A216" s="11">
        <v>45366</v>
      </c>
      <c r="B216" s="12" t="s">
        <v>50</v>
      </c>
      <c r="C216" s="12" t="s">
        <v>50</v>
      </c>
      <c r="D216" s="13" t="str">
        <f>HYPERLINK("https://www.marklines.com/en/global/9895","Tesla Gigafactory Berlin-Brandenburg")</f>
        <v>Tesla Gigafactory Berlin-Brandenburg</v>
      </c>
      <c r="E216" s="12" t="s">
        <v>474</v>
      </c>
      <c r="F216" s="12" t="s">
        <v>16</v>
      </c>
      <c r="G216" s="12" t="s">
        <v>208</v>
      </c>
      <c r="H216" s="12"/>
      <c r="I216" s="14">
        <v>45364</v>
      </c>
      <c r="J216" s="12" t="s">
        <v>1409</v>
      </c>
    </row>
    <row r="217" spans="1:10" s="15" customFormat="1" x14ac:dyDescent="0.15">
      <c r="A217" s="11">
        <v>45366</v>
      </c>
      <c r="B217" s="12" t="s">
        <v>28</v>
      </c>
      <c r="C217" s="12" t="s">
        <v>35</v>
      </c>
      <c r="D217" s="13" t="str">
        <f>HYPERLINK("https://www.marklines.com/en/global/9517","Volkswagen (Anhui) Automotive Company Limited  (formerly JAC Volkswagen Automotive Co., Ltd.)")</f>
        <v>Volkswagen (Anhui) Automotive Company Limited  (formerly JAC Volkswagen Automotive Co., Ltd.)</v>
      </c>
      <c r="E217" s="12" t="s">
        <v>115</v>
      </c>
      <c r="F217" s="12" t="s">
        <v>18</v>
      </c>
      <c r="G217" s="12" t="s">
        <v>24</v>
      </c>
      <c r="H217" s="12" t="s">
        <v>55</v>
      </c>
      <c r="I217" s="14">
        <v>45363</v>
      </c>
      <c r="J217" s="12" t="s">
        <v>1410</v>
      </c>
    </row>
    <row r="218" spans="1:10" s="15" customFormat="1" x14ac:dyDescent="0.15">
      <c r="A218" s="11">
        <v>45366</v>
      </c>
      <c r="B218" s="12" t="s">
        <v>28</v>
      </c>
      <c r="C218" s="12" t="s">
        <v>35</v>
      </c>
      <c r="D218" s="13" t="str">
        <f>HYPERLINK("https://www.marklines.com/en/global/3481","Volkswagen (China) Investment Co., Ltd. ")</f>
        <v xml:space="preserve">Volkswagen (China) Investment Co., Ltd. </v>
      </c>
      <c r="E218" s="12" t="s">
        <v>739</v>
      </c>
      <c r="F218" s="12" t="s">
        <v>18</v>
      </c>
      <c r="G218" s="12" t="s">
        <v>24</v>
      </c>
      <c r="H218" s="12" t="s">
        <v>71</v>
      </c>
      <c r="I218" s="14">
        <v>45363</v>
      </c>
      <c r="J218" s="12" t="s">
        <v>1410</v>
      </c>
    </row>
    <row r="219" spans="1:10" s="15" customFormat="1" x14ac:dyDescent="0.15">
      <c r="A219" s="11">
        <v>45366</v>
      </c>
      <c r="B219" s="12" t="s">
        <v>268</v>
      </c>
      <c r="C219" s="12" t="s">
        <v>268</v>
      </c>
      <c r="D219" s="13" t="str">
        <f>HYPERLINK("https://www.marklines.com/en/global/9517","Volkswagen (Anhui) Automotive Company Limited  (formerly JAC Volkswagen Automotive Co., Ltd.)")</f>
        <v>Volkswagen (Anhui) Automotive Company Limited  (formerly JAC Volkswagen Automotive Co., Ltd.)</v>
      </c>
      <c r="E219" s="12" t="s">
        <v>115</v>
      </c>
      <c r="F219" s="12" t="s">
        <v>18</v>
      </c>
      <c r="G219" s="12" t="s">
        <v>24</v>
      </c>
      <c r="H219" s="12" t="s">
        <v>55</v>
      </c>
      <c r="I219" s="14">
        <v>45363</v>
      </c>
      <c r="J219" s="12" t="s">
        <v>1410</v>
      </c>
    </row>
    <row r="220" spans="1:10" s="15" customFormat="1" x14ac:dyDescent="0.15">
      <c r="A220" s="11">
        <v>45366</v>
      </c>
      <c r="B220" s="12" t="s">
        <v>268</v>
      </c>
      <c r="C220" s="12" t="s">
        <v>268</v>
      </c>
      <c r="D220" s="13" t="str">
        <f>HYPERLINK("https://www.marklines.com/en/global/3865","Anhui Jianghuai Automobile Group Corp., Ltd. (JAC)")</f>
        <v>Anhui Jianghuai Automobile Group Corp., Ltd. (JAC)</v>
      </c>
      <c r="E220" s="12" t="s">
        <v>370</v>
      </c>
      <c r="F220" s="12" t="s">
        <v>18</v>
      </c>
      <c r="G220" s="12" t="s">
        <v>24</v>
      </c>
      <c r="H220" s="12" t="s">
        <v>55</v>
      </c>
      <c r="I220" s="14">
        <v>45363</v>
      </c>
      <c r="J220" s="12" t="s">
        <v>1410</v>
      </c>
    </row>
    <row r="221" spans="1:10" s="15" customFormat="1" x14ac:dyDescent="0.15">
      <c r="A221" s="11">
        <v>45366</v>
      </c>
      <c r="B221" s="12" t="s">
        <v>28</v>
      </c>
      <c r="C221" s="12" t="s">
        <v>35</v>
      </c>
      <c r="D221" s="13" t="str">
        <f>HYPERLINK("https://www.marklines.com/en/global/9444","FAW-Volkswagen Automotive Co., Ltd. Tianjin Branch")</f>
        <v>FAW-Volkswagen Automotive Co., Ltd. Tianjin Branch</v>
      </c>
      <c r="E221" s="12" t="s">
        <v>1411</v>
      </c>
      <c r="F221" s="12" t="s">
        <v>18</v>
      </c>
      <c r="G221" s="12" t="s">
        <v>24</v>
      </c>
      <c r="H221" s="12" t="s">
        <v>1412</v>
      </c>
      <c r="I221" s="14">
        <v>45363</v>
      </c>
      <c r="J221" s="12" t="s">
        <v>1413</v>
      </c>
    </row>
    <row r="222" spans="1:10" s="15" customFormat="1" x14ac:dyDescent="0.15">
      <c r="A222" s="11">
        <v>45366</v>
      </c>
      <c r="B222" s="12" t="s">
        <v>28</v>
      </c>
      <c r="C222" s="12" t="s">
        <v>43</v>
      </c>
      <c r="D222" s="13" t="str">
        <f>HYPERLINK("https://www.marklines.com/en/global/9444","FAW-Volkswagen Automotive Co., Ltd. Tianjin Branch")</f>
        <v>FAW-Volkswagen Automotive Co., Ltd. Tianjin Branch</v>
      </c>
      <c r="E222" s="12" t="s">
        <v>1411</v>
      </c>
      <c r="F222" s="12" t="s">
        <v>18</v>
      </c>
      <c r="G222" s="12" t="s">
        <v>24</v>
      </c>
      <c r="H222" s="12" t="s">
        <v>1412</v>
      </c>
      <c r="I222" s="14">
        <v>45363</v>
      </c>
      <c r="J222" s="12" t="s">
        <v>1413</v>
      </c>
    </row>
    <row r="223" spans="1:10" s="15" customFormat="1" x14ac:dyDescent="0.15">
      <c r="A223" s="11">
        <v>45366</v>
      </c>
      <c r="B223" s="12" t="s">
        <v>237</v>
      </c>
      <c r="C223" s="12" t="s">
        <v>237</v>
      </c>
      <c r="D223" s="13" t="str">
        <f>HYPERLINK("https://www.marklines.com/en/global/3971","Dongfeng Motor Corporation ")</f>
        <v xml:space="preserve">Dongfeng Motor Corporation </v>
      </c>
      <c r="E223" s="12" t="s">
        <v>238</v>
      </c>
      <c r="F223" s="12" t="s">
        <v>18</v>
      </c>
      <c r="G223" s="12" t="s">
        <v>24</v>
      </c>
      <c r="H223" s="12" t="s">
        <v>76</v>
      </c>
      <c r="I223" s="14">
        <v>45363</v>
      </c>
      <c r="J223" s="12" t="s">
        <v>1414</v>
      </c>
    </row>
    <row r="224" spans="1:10" s="15" customFormat="1" x14ac:dyDescent="0.15">
      <c r="A224" s="11">
        <v>45366</v>
      </c>
      <c r="B224" s="12" t="s">
        <v>268</v>
      </c>
      <c r="C224" s="12" t="s">
        <v>268</v>
      </c>
      <c r="D224" s="13" t="str">
        <f>HYPERLINK("https://www.marklines.com/en/global/9569","Anhui Jianghuai Automobile Group Corp., Ltd. Light Commercial Vehicle Branch")</f>
        <v>Anhui Jianghuai Automobile Group Corp., Ltd. Light Commercial Vehicle Branch</v>
      </c>
      <c r="E224" s="12" t="s">
        <v>1415</v>
      </c>
      <c r="F224" s="12" t="s">
        <v>18</v>
      </c>
      <c r="G224" s="12" t="s">
        <v>24</v>
      </c>
      <c r="H224" s="12" t="s">
        <v>55</v>
      </c>
      <c r="I224" s="14">
        <v>45362</v>
      </c>
      <c r="J224" s="12" t="s">
        <v>1416</v>
      </c>
    </row>
    <row r="225" spans="1:10" s="15" customFormat="1" x14ac:dyDescent="0.15">
      <c r="A225" s="11">
        <v>45366</v>
      </c>
      <c r="B225" s="12" t="s">
        <v>65</v>
      </c>
      <c r="C225" s="12" t="s">
        <v>65</v>
      </c>
      <c r="D225" s="13" t="str">
        <f>HYPERLINK("https://www.marklines.com/en/global/3807","Zhejiang Geely Holding Group Co., Ltd.")</f>
        <v>Zhejiang Geely Holding Group Co., Ltd.</v>
      </c>
      <c r="E225" s="12" t="s">
        <v>229</v>
      </c>
      <c r="F225" s="12" t="s">
        <v>18</v>
      </c>
      <c r="G225" s="12" t="s">
        <v>24</v>
      </c>
      <c r="H225" s="12" t="s">
        <v>61</v>
      </c>
      <c r="I225" s="14">
        <v>45362</v>
      </c>
      <c r="J225" s="12" t="s">
        <v>1417</v>
      </c>
    </row>
    <row r="226" spans="1:10" s="15" customFormat="1" x14ac:dyDescent="0.15">
      <c r="A226" s="11">
        <v>45366</v>
      </c>
      <c r="B226" s="12" t="s">
        <v>68</v>
      </c>
      <c r="C226" s="12" t="s">
        <v>560</v>
      </c>
      <c r="D226" s="13" t="str">
        <f>HYPERLINK("https://www.marklines.com/en/global/10481","Chery Automobile Co., Ltd. Qingdao Branch")</f>
        <v>Chery Automobile Co., Ltd. Qingdao Branch</v>
      </c>
      <c r="E226" s="12" t="s">
        <v>148</v>
      </c>
      <c r="F226" s="12" t="s">
        <v>18</v>
      </c>
      <c r="G226" s="12" t="s">
        <v>24</v>
      </c>
      <c r="H226" s="12" t="s">
        <v>62</v>
      </c>
      <c r="I226" s="14">
        <v>45362</v>
      </c>
      <c r="J226" s="12" t="s">
        <v>1418</v>
      </c>
    </row>
    <row r="227" spans="1:10" s="15" customFormat="1" x14ac:dyDescent="0.15">
      <c r="A227" s="11">
        <v>45366</v>
      </c>
      <c r="B227" s="12" t="s">
        <v>237</v>
      </c>
      <c r="C227" s="12" t="s">
        <v>237</v>
      </c>
      <c r="D227" s="13" t="str">
        <f>HYPERLINK("https://www.marklines.com/en/global/3971","Dongfeng Motor Corporation ")</f>
        <v xml:space="preserve">Dongfeng Motor Corporation </v>
      </c>
      <c r="E227" s="12" t="s">
        <v>238</v>
      </c>
      <c r="F227" s="12" t="s">
        <v>18</v>
      </c>
      <c r="G227" s="12" t="s">
        <v>24</v>
      </c>
      <c r="H227" s="12" t="s">
        <v>76</v>
      </c>
      <c r="I227" s="14">
        <v>45362</v>
      </c>
      <c r="J227" s="12" t="s">
        <v>1419</v>
      </c>
    </row>
    <row r="228" spans="1:10" s="15" customFormat="1" x14ac:dyDescent="0.15">
      <c r="A228" s="11">
        <v>45366</v>
      </c>
      <c r="B228" s="12" t="s">
        <v>57</v>
      </c>
      <c r="C228" s="12" t="s">
        <v>57</v>
      </c>
      <c r="D228" s="13" t="str">
        <f>HYPERLINK("https://www.marklines.com/en/global/2837","BYD Auto Camaçari (former Ford Motor Brazil, Camacari Plant)")</f>
        <v>BYD Auto Camaçari (former Ford Motor Brazil, Camacari Plant)</v>
      </c>
      <c r="E228" s="12" t="s">
        <v>1420</v>
      </c>
      <c r="F228" s="12" t="s">
        <v>66</v>
      </c>
      <c r="G228" s="12" t="s">
        <v>67</v>
      </c>
      <c r="H228" s="12"/>
      <c r="I228" s="14">
        <v>45357</v>
      </c>
      <c r="J228" s="12" t="s">
        <v>1421</v>
      </c>
    </row>
    <row r="229" spans="1:10" s="15" customFormat="1" x14ac:dyDescent="0.15">
      <c r="A229" s="11">
        <v>45365</v>
      </c>
      <c r="B229" s="12" t="s">
        <v>50</v>
      </c>
      <c r="C229" s="12" t="s">
        <v>50</v>
      </c>
      <c r="D229" s="13" t="str">
        <f>HYPERLINK("https://www.marklines.com/en/global/9895","Tesla Gigafactory Berlin-Brandenburg")</f>
        <v>Tesla Gigafactory Berlin-Brandenburg</v>
      </c>
      <c r="E229" s="12" t="s">
        <v>474</v>
      </c>
      <c r="F229" s="12" t="s">
        <v>16</v>
      </c>
      <c r="G229" s="12" t="s">
        <v>208</v>
      </c>
      <c r="H229" s="12"/>
      <c r="I229" s="14">
        <v>45364</v>
      </c>
      <c r="J229" s="12" t="s">
        <v>1422</v>
      </c>
    </row>
    <row r="230" spans="1:10" s="15" customFormat="1" x14ac:dyDescent="0.15">
      <c r="A230" s="11">
        <v>45365</v>
      </c>
      <c r="B230" s="12" t="s">
        <v>65</v>
      </c>
      <c r="C230" s="12" t="s">
        <v>316</v>
      </c>
      <c r="D230" s="13" t="str">
        <f>HYPERLINK("https://www.marklines.com/en/global/4303","Volvo Car Chengdu Manufacturing Plant")</f>
        <v>Volvo Car Chengdu Manufacturing Plant</v>
      </c>
      <c r="E230" s="12" t="s">
        <v>1221</v>
      </c>
      <c r="F230" s="12" t="s">
        <v>18</v>
      </c>
      <c r="G230" s="12" t="s">
        <v>24</v>
      </c>
      <c r="H230" s="12" t="s">
        <v>330</v>
      </c>
      <c r="I230" s="14">
        <v>45364</v>
      </c>
      <c r="J230" s="12" t="s">
        <v>1423</v>
      </c>
    </row>
    <row r="231" spans="1:10" s="15" customFormat="1" x14ac:dyDescent="0.15">
      <c r="A231" s="11">
        <v>45365</v>
      </c>
      <c r="B231" s="12" t="s">
        <v>65</v>
      </c>
      <c r="C231" s="12" t="s">
        <v>316</v>
      </c>
      <c r="D231" s="13" t="str">
        <f>HYPERLINK("https://www.marklines.com/en/global/9324","Volvo Cars, Ridgeville Plant")</f>
        <v>Volvo Cars, Ridgeville Plant</v>
      </c>
      <c r="E231" s="12" t="s">
        <v>1219</v>
      </c>
      <c r="F231" s="12" t="s">
        <v>15</v>
      </c>
      <c r="G231" s="12" t="s">
        <v>11</v>
      </c>
      <c r="H231" s="12" t="s">
        <v>627</v>
      </c>
      <c r="I231" s="14">
        <v>45364</v>
      </c>
      <c r="J231" s="12" t="s">
        <v>1423</v>
      </c>
    </row>
    <row r="232" spans="1:10" s="15" customFormat="1" x14ac:dyDescent="0.15">
      <c r="A232" s="11">
        <v>45365</v>
      </c>
      <c r="B232" s="12" t="s">
        <v>28</v>
      </c>
      <c r="C232" s="12" t="s">
        <v>35</v>
      </c>
      <c r="D232" s="13" t="str">
        <f>HYPERLINK("https://www.marklines.com/en/global/929","Hicom Automotive Manufacturers (Malaysia) Sdn. Bhd., Pekan Plant I")</f>
        <v>Hicom Automotive Manufacturers (Malaysia) Sdn. Bhd., Pekan Plant I</v>
      </c>
      <c r="E232" s="12" t="s">
        <v>1424</v>
      </c>
      <c r="F232" s="12" t="s">
        <v>29</v>
      </c>
      <c r="G232" s="12" t="s">
        <v>75</v>
      </c>
      <c r="H232" s="12"/>
      <c r="I232" s="14">
        <v>45363</v>
      </c>
      <c r="J232" s="12" t="s">
        <v>1425</v>
      </c>
    </row>
    <row r="233" spans="1:10" s="15" customFormat="1" x14ac:dyDescent="0.15">
      <c r="A233" s="11">
        <v>45365</v>
      </c>
      <c r="B233" s="12" t="s">
        <v>21</v>
      </c>
      <c r="C233" s="12" t="s">
        <v>21</v>
      </c>
      <c r="D233" s="13" t="str">
        <f>HYPERLINK("https://www.marklines.com/en/global/1419","Ford Otomotiv Sanayi A.Ş. (Ford Otosan), Gölcük Plant (Kocaeli Plant)")</f>
        <v>Ford Otomotiv Sanayi A.Ş. (Ford Otosan), Gölcük Plant (Kocaeli Plant)</v>
      </c>
      <c r="E233" s="12" t="s">
        <v>308</v>
      </c>
      <c r="F233" s="12" t="s">
        <v>181</v>
      </c>
      <c r="G233" s="12" t="s">
        <v>182</v>
      </c>
      <c r="H233" s="12"/>
      <c r="I233" s="14">
        <v>45362</v>
      </c>
      <c r="J233" s="12" t="s">
        <v>1426</v>
      </c>
    </row>
    <row r="234" spans="1:10" s="15" customFormat="1" x14ac:dyDescent="0.15">
      <c r="A234" s="11">
        <v>45365</v>
      </c>
      <c r="B234" s="12" t="s">
        <v>65</v>
      </c>
      <c r="C234" s="12" t="s">
        <v>328</v>
      </c>
      <c r="D234" s="13" t="str">
        <f>HYPERLINK("https://www.marklines.com/en/global/10797","Zhejiang Geely Farizon New Energy Commercial Vehicle Group Co., Ltd. ")</f>
        <v xml:space="preserve">Zhejiang Geely Farizon New Energy Commercial Vehicle Group Co., Ltd. </v>
      </c>
      <c r="E234" s="12" t="s">
        <v>726</v>
      </c>
      <c r="F234" s="12" t="s">
        <v>18</v>
      </c>
      <c r="G234" s="12" t="s">
        <v>24</v>
      </c>
      <c r="H234" s="12" t="s">
        <v>61</v>
      </c>
      <c r="I234" s="14">
        <v>45361</v>
      </c>
      <c r="J234" s="12" t="s">
        <v>1427</v>
      </c>
    </row>
    <row r="235" spans="1:10" s="15" customFormat="1" x14ac:dyDescent="0.15">
      <c r="A235" s="11">
        <v>45365</v>
      </c>
      <c r="B235" s="12" t="s">
        <v>58</v>
      </c>
      <c r="C235" s="12" t="s">
        <v>58</v>
      </c>
      <c r="D235" s="13" t="str">
        <f>HYPERLINK("https://www.marklines.com/en/global/3415","Beijing Automotive Group Co., Ltd.")</f>
        <v>Beijing Automotive Group Co., Ltd.</v>
      </c>
      <c r="E235" s="12" t="s">
        <v>368</v>
      </c>
      <c r="F235" s="12" t="s">
        <v>18</v>
      </c>
      <c r="G235" s="12" t="s">
        <v>24</v>
      </c>
      <c r="H235" s="12" t="s">
        <v>71</v>
      </c>
      <c r="I235" s="14">
        <v>45360</v>
      </c>
      <c r="J235" s="12" t="s">
        <v>1428</v>
      </c>
    </row>
    <row r="236" spans="1:10" s="15" customFormat="1" x14ac:dyDescent="0.15">
      <c r="A236" s="11">
        <v>45364</v>
      </c>
      <c r="B236" s="12" t="s">
        <v>224</v>
      </c>
      <c r="C236" s="12" t="s">
        <v>225</v>
      </c>
      <c r="D236" s="13" t="str">
        <f>HYPERLINK("https://www.marklines.com/en/global/1388","Mitsubishi Fuso Truck Europe - Sociedade Europeia de Automóveis, S.A., Tramagal Plant")</f>
        <v>Mitsubishi Fuso Truck Europe - Sociedade Europeia de Automóveis, S.A., Tramagal Plant</v>
      </c>
      <c r="E236" s="12" t="s">
        <v>1429</v>
      </c>
      <c r="F236" s="12" t="s">
        <v>16</v>
      </c>
      <c r="G236" s="12" t="s">
        <v>787</v>
      </c>
      <c r="H236" s="12"/>
      <c r="I236" s="14">
        <v>45363</v>
      </c>
      <c r="J236" s="12" t="s">
        <v>1430</v>
      </c>
    </row>
    <row r="237" spans="1:10" s="15" customFormat="1" x14ac:dyDescent="0.15">
      <c r="A237" s="11">
        <v>45364</v>
      </c>
      <c r="B237" s="12" t="s">
        <v>210</v>
      </c>
      <c r="C237" s="12" t="s">
        <v>210</v>
      </c>
      <c r="D237" s="13" t="str">
        <f>HYPERLINK("https://www.marklines.com/en/global/1256","Maruti Suzuki India Ltd. (MSIL), Hansalpur plant (former Suzuki Motor Gujarat Private Limited (SMG))")</f>
        <v>Maruti Suzuki India Ltd. (MSIL), Hansalpur plant (former Suzuki Motor Gujarat Private Limited (SMG))</v>
      </c>
      <c r="E237" s="12" t="s">
        <v>211</v>
      </c>
      <c r="F237" s="12" t="s">
        <v>22</v>
      </c>
      <c r="G237" s="12" t="s">
        <v>23</v>
      </c>
      <c r="H237" s="12" t="s">
        <v>212</v>
      </c>
      <c r="I237" s="14">
        <v>45363</v>
      </c>
      <c r="J237" s="12" t="s">
        <v>1431</v>
      </c>
    </row>
    <row r="238" spans="1:10" s="15" customFormat="1" x14ac:dyDescent="0.15">
      <c r="A238" s="11">
        <v>45364</v>
      </c>
      <c r="B238" s="12" t="s">
        <v>28</v>
      </c>
      <c r="C238" s="12" t="s">
        <v>35</v>
      </c>
      <c r="D238" s="13" t="str">
        <f>HYPERLINK("https://www.marklines.com/en/global/2815","Volkswagen Argentina, General Pacheco Plant")</f>
        <v>Volkswagen Argentina, General Pacheco Plant</v>
      </c>
      <c r="E238" s="12" t="s">
        <v>1432</v>
      </c>
      <c r="F238" s="12" t="s">
        <v>66</v>
      </c>
      <c r="G238" s="12" t="s">
        <v>1170</v>
      </c>
      <c r="H238" s="12"/>
      <c r="I238" s="14">
        <v>45362</v>
      </c>
      <c r="J238" s="12" t="s">
        <v>1433</v>
      </c>
    </row>
    <row r="239" spans="1:10" s="15" customFormat="1" x14ac:dyDescent="0.15">
      <c r="A239" s="11">
        <v>45364</v>
      </c>
      <c r="B239" s="12" t="s">
        <v>454</v>
      </c>
      <c r="C239" s="12" t="s">
        <v>455</v>
      </c>
      <c r="D239" s="13" t="str">
        <f>HYPERLINK("https://www.marklines.com/en/global/10418","YASA Ltd. (formerly YASA Motors Ltd.)")</f>
        <v>YASA Ltd. (formerly YASA Motors Ltd.)</v>
      </c>
      <c r="E239" s="12" t="s">
        <v>1361</v>
      </c>
      <c r="F239" s="12" t="s">
        <v>16</v>
      </c>
      <c r="G239" s="12" t="s">
        <v>233</v>
      </c>
      <c r="H239" s="12"/>
      <c r="I239" s="14">
        <v>45358</v>
      </c>
      <c r="J239" s="12" t="s">
        <v>1434</v>
      </c>
    </row>
    <row r="240" spans="1:10" s="15" customFormat="1" x14ac:dyDescent="0.15">
      <c r="A240" s="11">
        <v>45364</v>
      </c>
      <c r="B240" s="12" t="s">
        <v>94</v>
      </c>
      <c r="C240" s="12" t="s">
        <v>94</v>
      </c>
      <c r="D240" s="13" t="str">
        <f>HYPERLINK("https://www.marklines.com/en/global/10448","Nikola Coolidge Manufacturing Facility")</f>
        <v>Nikola Coolidge Manufacturing Facility</v>
      </c>
      <c r="E240" s="12" t="s">
        <v>95</v>
      </c>
      <c r="F240" s="12" t="s">
        <v>15</v>
      </c>
      <c r="G240" s="12" t="s">
        <v>11</v>
      </c>
      <c r="H240" s="12" t="s">
        <v>74</v>
      </c>
      <c r="I240" s="14">
        <v>45358</v>
      </c>
      <c r="J240" s="12" t="s">
        <v>1435</v>
      </c>
    </row>
    <row r="241" spans="1:10" s="15" customFormat="1" x14ac:dyDescent="0.15">
      <c r="A241" s="11">
        <v>45364</v>
      </c>
      <c r="B241" s="12" t="s">
        <v>14</v>
      </c>
      <c r="C241" s="12" t="s">
        <v>14</v>
      </c>
      <c r="D241" s="13" t="str">
        <f>HYPERLINK("https://www.marklines.com/en/global/867","General Motors Mexico, Ramos Arizpe Plant")</f>
        <v>General Motors Mexico, Ramos Arizpe Plant</v>
      </c>
      <c r="E241" s="12" t="s">
        <v>632</v>
      </c>
      <c r="F241" s="12" t="s">
        <v>15</v>
      </c>
      <c r="G241" s="12" t="s">
        <v>218</v>
      </c>
      <c r="H241" s="12"/>
      <c r="I241" s="14">
        <v>45357</v>
      </c>
      <c r="J241" s="12" t="s">
        <v>1436</v>
      </c>
    </row>
    <row r="242" spans="1:10" s="15" customFormat="1" x14ac:dyDescent="0.15">
      <c r="A242" s="11">
        <v>45364</v>
      </c>
      <c r="B242" s="12" t="s">
        <v>34</v>
      </c>
      <c r="C242" s="12" t="s">
        <v>34</v>
      </c>
      <c r="D242" s="13" t="str">
        <f>HYPERLINK("https://www.marklines.com/en/global/2865","Hyundai Motor Brasil (HMB), Piracicaba Plant")</f>
        <v>Hyundai Motor Brasil (HMB), Piracicaba Plant</v>
      </c>
      <c r="E242" s="12" t="s">
        <v>1296</v>
      </c>
      <c r="F242" s="12" t="s">
        <v>66</v>
      </c>
      <c r="G242" s="12" t="s">
        <v>67</v>
      </c>
      <c r="H242" s="12"/>
      <c r="I242" s="14">
        <v>45352</v>
      </c>
      <c r="J242" s="12" t="s">
        <v>1437</v>
      </c>
    </row>
    <row r="243" spans="1:10" s="15" customFormat="1" x14ac:dyDescent="0.15">
      <c r="A243" s="11">
        <v>45364</v>
      </c>
      <c r="B243" s="12" t="s">
        <v>34</v>
      </c>
      <c r="C243" s="12" t="s">
        <v>34</v>
      </c>
      <c r="D243" s="13" t="str">
        <f>HYPERLINK("https://www.marklines.com/en/global/2861","CAOA Chery Brazil, Anapolis Plant (Former Hyundai Caoa do Brasil Ltda.)")</f>
        <v>CAOA Chery Brazil, Anapolis Plant (Former Hyundai Caoa do Brasil Ltda.)</v>
      </c>
      <c r="E243" s="12" t="s">
        <v>604</v>
      </c>
      <c r="F243" s="12" t="s">
        <v>66</v>
      </c>
      <c r="G243" s="12" t="s">
        <v>67</v>
      </c>
      <c r="H243" s="12"/>
      <c r="I243" s="14">
        <v>45352</v>
      </c>
      <c r="J243" s="12" t="s">
        <v>1437</v>
      </c>
    </row>
    <row r="244" spans="1:10" s="15" customFormat="1" x14ac:dyDescent="0.15">
      <c r="A244" s="11">
        <v>45364</v>
      </c>
      <c r="B244" s="12" t="s">
        <v>346</v>
      </c>
      <c r="C244" s="12" t="s">
        <v>346</v>
      </c>
      <c r="D244" s="13" t="str">
        <f>HYPERLINK("https://www.marklines.com/en/global/8688","Nissan Mexico, Aguascalientes Plant 2 (3rd plant in Mexico)")</f>
        <v>Nissan Mexico, Aguascalientes Plant 2 (3rd plant in Mexico)</v>
      </c>
      <c r="E244" s="12" t="s">
        <v>1438</v>
      </c>
      <c r="F244" s="12" t="s">
        <v>15</v>
      </c>
      <c r="G244" s="12" t="s">
        <v>218</v>
      </c>
      <c r="H244" s="12"/>
      <c r="I244" s="14">
        <v>45350</v>
      </c>
      <c r="J244" s="12" t="s">
        <v>1439</v>
      </c>
    </row>
    <row r="245" spans="1:10" s="15" customFormat="1" x14ac:dyDescent="0.15">
      <c r="A245" s="11">
        <v>45364</v>
      </c>
      <c r="B245" s="12" t="s">
        <v>346</v>
      </c>
      <c r="C245" s="12" t="s">
        <v>346</v>
      </c>
      <c r="D245" s="13" t="str">
        <f>HYPERLINK("https://www.marklines.com/en/global/893","Nissan Mexico, Aguascalientes Plant 1")</f>
        <v>Nissan Mexico, Aguascalientes Plant 1</v>
      </c>
      <c r="E245" s="12" t="s">
        <v>1440</v>
      </c>
      <c r="F245" s="12" t="s">
        <v>15</v>
      </c>
      <c r="G245" s="12" t="s">
        <v>218</v>
      </c>
      <c r="H245" s="12"/>
      <c r="I245" s="14">
        <v>45350</v>
      </c>
      <c r="J245" s="12" t="s">
        <v>1439</v>
      </c>
    </row>
    <row r="246" spans="1:10" s="15" customFormat="1" x14ac:dyDescent="0.15">
      <c r="A246" s="11">
        <v>45364</v>
      </c>
      <c r="B246" s="12" t="s">
        <v>346</v>
      </c>
      <c r="C246" s="12" t="s">
        <v>346</v>
      </c>
      <c r="D246" s="13" t="str">
        <f>HYPERLINK("https://www.marklines.com/en/global/895","Nissan Mexico, Cuernavaca (Civac) Plant")</f>
        <v>Nissan Mexico, Cuernavaca (Civac) Plant</v>
      </c>
      <c r="E246" s="12" t="s">
        <v>1441</v>
      </c>
      <c r="F246" s="12" t="s">
        <v>15</v>
      </c>
      <c r="G246" s="12" t="s">
        <v>218</v>
      </c>
      <c r="H246" s="12"/>
      <c r="I246" s="14">
        <v>45350</v>
      </c>
      <c r="J246" s="12" t="s">
        <v>1439</v>
      </c>
    </row>
    <row r="247" spans="1:10" s="15" customFormat="1" x14ac:dyDescent="0.15">
      <c r="A247" s="11">
        <v>45363</v>
      </c>
      <c r="B247" s="12" t="s">
        <v>39</v>
      </c>
      <c r="C247" s="12" t="s">
        <v>40</v>
      </c>
      <c r="D247" s="13" t="str">
        <f>HYPERLINK("https://www.marklines.com/en/global/675","AvtoVAZ, Togliatti Plant")</f>
        <v>AvtoVAZ, Togliatti Plant</v>
      </c>
      <c r="E247" s="12" t="s">
        <v>41</v>
      </c>
      <c r="F247" s="12" t="s">
        <v>17</v>
      </c>
      <c r="G247" s="12" t="s">
        <v>13</v>
      </c>
      <c r="H247" s="12"/>
      <c r="I247" s="14">
        <v>45363</v>
      </c>
      <c r="J247" s="12" t="s">
        <v>1442</v>
      </c>
    </row>
    <row r="248" spans="1:10" s="15" customFormat="1" x14ac:dyDescent="0.15">
      <c r="A248" s="11">
        <v>45363</v>
      </c>
      <c r="B248" s="12" t="s">
        <v>12</v>
      </c>
      <c r="C248" s="12" t="s">
        <v>12</v>
      </c>
      <c r="D248" s="13" t="str">
        <f>HYPERLINK("https://www.marklines.com/en/global/709","AGR Automobile Plant, St. Peterburg (Kamenka) (formerly Hyundai Motor Manufacturing Russia (HMMR))")</f>
        <v>AGR Automobile Plant, St. Peterburg (Kamenka) (formerly Hyundai Motor Manufacturing Russia (HMMR))</v>
      </c>
      <c r="E248" s="12" t="s">
        <v>98</v>
      </c>
      <c r="F248" s="12" t="s">
        <v>17</v>
      </c>
      <c r="G248" s="12" t="s">
        <v>13</v>
      </c>
      <c r="H248" s="12"/>
      <c r="I248" s="14">
        <v>45362</v>
      </c>
      <c r="J248" s="12" t="s">
        <v>1443</v>
      </c>
    </row>
    <row r="249" spans="1:10" s="15" customFormat="1" x14ac:dyDescent="0.15">
      <c r="A249" s="11">
        <v>45363</v>
      </c>
      <c r="B249" s="12" t="s">
        <v>28</v>
      </c>
      <c r="C249" s="12" t="s">
        <v>35</v>
      </c>
      <c r="D249" s="13" t="str">
        <f>HYPERLINK("https://www.marklines.com/en/global/1965","Volkswagen Navarra, S.A., Pamplona (Landaben) Plant")</f>
        <v>Volkswagen Navarra, S.A., Pamplona (Landaben) Plant</v>
      </c>
      <c r="E249" s="12" t="s">
        <v>64</v>
      </c>
      <c r="F249" s="12" t="s">
        <v>16</v>
      </c>
      <c r="G249" s="12" t="s">
        <v>42</v>
      </c>
      <c r="H249" s="12"/>
      <c r="I249" s="14">
        <v>45362</v>
      </c>
      <c r="J249" s="12" t="s">
        <v>1444</v>
      </c>
    </row>
    <row r="250" spans="1:10" s="15" customFormat="1" x14ac:dyDescent="0.15">
      <c r="A250" s="11">
        <v>45363</v>
      </c>
      <c r="B250" s="12" t="s">
        <v>28</v>
      </c>
      <c r="C250" s="12" t="s">
        <v>44</v>
      </c>
      <c r="D250" s="13" t="str">
        <f>HYPERLINK("https://www.marklines.com/en/global/1965","Volkswagen Navarra, S.A., Pamplona (Landaben) Plant")</f>
        <v>Volkswagen Navarra, S.A., Pamplona (Landaben) Plant</v>
      </c>
      <c r="E250" s="12" t="s">
        <v>64</v>
      </c>
      <c r="F250" s="12" t="s">
        <v>16</v>
      </c>
      <c r="G250" s="12" t="s">
        <v>42</v>
      </c>
      <c r="H250" s="12"/>
      <c r="I250" s="14">
        <v>45362</v>
      </c>
      <c r="J250" s="12" t="s">
        <v>1444</v>
      </c>
    </row>
    <row r="251" spans="1:10" s="15" customFormat="1" x14ac:dyDescent="0.15">
      <c r="A251" s="11">
        <v>45363</v>
      </c>
      <c r="B251" s="12" t="s">
        <v>50</v>
      </c>
      <c r="C251" s="12" t="s">
        <v>50</v>
      </c>
      <c r="D251" s="13" t="str">
        <f>HYPERLINK("https://www.marklines.com/en/global/9895","Tesla Gigafactory Berlin-Brandenburg")</f>
        <v>Tesla Gigafactory Berlin-Brandenburg</v>
      </c>
      <c r="E251" s="12" t="s">
        <v>474</v>
      </c>
      <c r="F251" s="12" t="s">
        <v>16</v>
      </c>
      <c r="G251" s="12" t="s">
        <v>208</v>
      </c>
      <c r="H251" s="12"/>
      <c r="I251" s="14">
        <v>45362</v>
      </c>
      <c r="J251" s="12" t="s">
        <v>1445</v>
      </c>
    </row>
    <row r="252" spans="1:10" s="15" customFormat="1" x14ac:dyDescent="0.15">
      <c r="A252" s="11">
        <v>45363</v>
      </c>
      <c r="B252" s="12" t="s">
        <v>12</v>
      </c>
      <c r="C252" s="12" t="s">
        <v>1446</v>
      </c>
      <c r="D252" s="13" t="str">
        <f>HYPERLINK("https://www.marklines.com/en/global/10685","Alexander Dennis Ltd., Larbert Plant")</f>
        <v>Alexander Dennis Ltd., Larbert Plant</v>
      </c>
      <c r="E252" s="12" t="s">
        <v>1447</v>
      </c>
      <c r="F252" s="12" t="s">
        <v>16</v>
      </c>
      <c r="G252" s="12" t="s">
        <v>233</v>
      </c>
      <c r="H252" s="12"/>
      <c r="I252" s="14">
        <v>45362</v>
      </c>
      <c r="J252" s="12" t="s">
        <v>1448</v>
      </c>
    </row>
    <row r="253" spans="1:10" s="15" customFormat="1" x14ac:dyDescent="0.15">
      <c r="A253" s="11">
        <v>45363</v>
      </c>
      <c r="B253" s="12" t="s">
        <v>12</v>
      </c>
      <c r="C253" s="12" t="s">
        <v>1446</v>
      </c>
      <c r="D253" s="13" t="str">
        <f>HYPERLINK("https://www.marklines.com/en/global/1533","Alexander Dennis Ltd. Bus Body Group, Falkirk Plant")</f>
        <v>Alexander Dennis Ltd. Bus Body Group, Falkirk Plant</v>
      </c>
      <c r="E253" s="12" t="s">
        <v>1449</v>
      </c>
      <c r="F253" s="12" t="s">
        <v>16</v>
      </c>
      <c r="G253" s="12" t="s">
        <v>233</v>
      </c>
      <c r="H253" s="12"/>
      <c r="I253" s="14">
        <v>45362</v>
      </c>
      <c r="J253" s="12" t="s">
        <v>1448</v>
      </c>
    </row>
    <row r="254" spans="1:10" s="15" customFormat="1" x14ac:dyDescent="0.15">
      <c r="A254" s="11">
        <v>45363</v>
      </c>
      <c r="B254" s="12" t="s">
        <v>12</v>
      </c>
      <c r="C254" s="12" t="s">
        <v>1446</v>
      </c>
      <c r="D254" s="13" t="str">
        <f>HYPERLINK("https://www.marklines.com/en/global/10472","Alexander Dennis Ltd., Plaxton – Scarborough Plant")</f>
        <v>Alexander Dennis Ltd., Plaxton – Scarborough Plant</v>
      </c>
      <c r="E254" s="12" t="s">
        <v>1450</v>
      </c>
      <c r="F254" s="12" t="s">
        <v>16</v>
      </c>
      <c r="G254" s="12" t="s">
        <v>233</v>
      </c>
      <c r="H254" s="12"/>
      <c r="I254" s="14">
        <v>45362</v>
      </c>
      <c r="J254" s="12" t="s">
        <v>1448</v>
      </c>
    </row>
    <row r="255" spans="1:10" s="15" customFormat="1" x14ac:dyDescent="0.15">
      <c r="A255" s="11">
        <v>45363</v>
      </c>
      <c r="B255" s="12" t="s">
        <v>27</v>
      </c>
      <c r="C255" s="12" t="s">
        <v>968</v>
      </c>
      <c r="D255" s="13" t="str">
        <f>HYPERLINK("https://www.marklines.com/en/global/2293","Swindon Pressings Ltd., Swindon Plant")</f>
        <v>Swindon Pressings Ltd., Swindon Plant</v>
      </c>
      <c r="E255" s="12" t="s">
        <v>1451</v>
      </c>
      <c r="F255" s="12" t="s">
        <v>16</v>
      </c>
      <c r="G255" s="12" t="s">
        <v>233</v>
      </c>
      <c r="H255" s="12"/>
      <c r="I255" s="14">
        <v>45362</v>
      </c>
      <c r="J255" s="12" t="s">
        <v>1452</v>
      </c>
    </row>
    <row r="256" spans="1:10" s="15" customFormat="1" x14ac:dyDescent="0.15">
      <c r="A256" s="11">
        <v>45363</v>
      </c>
      <c r="B256" s="12" t="s">
        <v>27</v>
      </c>
      <c r="C256" s="12" t="s">
        <v>968</v>
      </c>
      <c r="D256" s="13" t="str">
        <f>HYPERLINK("https://www.marklines.com/en/global/2289","BMW Hams Hall Motoren GmbH, Hams Hall Plant")</f>
        <v>BMW Hams Hall Motoren GmbH, Hams Hall Plant</v>
      </c>
      <c r="E256" s="12" t="s">
        <v>1453</v>
      </c>
      <c r="F256" s="12" t="s">
        <v>16</v>
      </c>
      <c r="G256" s="12" t="s">
        <v>233</v>
      </c>
      <c r="H256" s="12"/>
      <c r="I256" s="14">
        <v>45362</v>
      </c>
      <c r="J256" s="12" t="s">
        <v>1452</v>
      </c>
    </row>
    <row r="257" spans="1:10" s="15" customFormat="1" x14ac:dyDescent="0.15">
      <c r="A257" s="11">
        <v>45363</v>
      </c>
      <c r="B257" s="12" t="s">
        <v>27</v>
      </c>
      <c r="C257" s="12" t="s">
        <v>968</v>
      </c>
      <c r="D257" s="13" t="str">
        <f>HYPERLINK("https://www.marklines.com/en/global/2285","BMW (UK), Oxford Plant")</f>
        <v>BMW (UK), Oxford Plant</v>
      </c>
      <c r="E257" s="12" t="s">
        <v>969</v>
      </c>
      <c r="F257" s="12" t="s">
        <v>16</v>
      </c>
      <c r="G257" s="12" t="s">
        <v>233</v>
      </c>
      <c r="H257" s="12"/>
      <c r="I257" s="14">
        <v>45362</v>
      </c>
      <c r="J257" s="12" t="s">
        <v>1452</v>
      </c>
    </row>
    <row r="258" spans="1:10" s="15" customFormat="1" x14ac:dyDescent="0.15">
      <c r="A258" s="11">
        <v>45363</v>
      </c>
      <c r="B258" s="12" t="s">
        <v>462</v>
      </c>
      <c r="C258" s="12" t="s">
        <v>463</v>
      </c>
      <c r="D258" s="13" t="str">
        <f>HYPERLINK("https://www.marklines.com/en/global/1269","Tata Motors, Sanand Plant")</f>
        <v>Tata Motors, Sanand Plant</v>
      </c>
      <c r="E258" s="12" t="s">
        <v>1454</v>
      </c>
      <c r="F258" s="12" t="s">
        <v>22</v>
      </c>
      <c r="G258" s="12" t="s">
        <v>23</v>
      </c>
      <c r="H258" s="12" t="s">
        <v>212</v>
      </c>
      <c r="I258" s="14">
        <v>45359</v>
      </c>
      <c r="J258" s="12" t="s">
        <v>1455</v>
      </c>
    </row>
    <row r="259" spans="1:10" s="15" customFormat="1" x14ac:dyDescent="0.15">
      <c r="A259" s="11">
        <v>45363</v>
      </c>
      <c r="B259" s="12" t="s">
        <v>350</v>
      </c>
      <c r="C259" s="12" t="s">
        <v>646</v>
      </c>
      <c r="D259" s="13" t="str">
        <f>HYPERLINK("https://www.marklines.com/en/global/867","General Motors Mexico, Ramos Arizpe Plant")</f>
        <v>General Motors Mexico, Ramos Arizpe Plant</v>
      </c>
      <c r="E259" s="12" t="s">
        <v>632</v>
      </c>
      <c r="F259" s="12" t="s">
        <v>15</v>
      </c>
      <c r="G259" s="12" t="s">
        <v>218</v>
      </c>
      <c r="H259" s="12"/>
      <c r="I259" s="14">
        <v>45359</v>
      </c>
      <c r="J259" s="12" t="s">
        <v>1456</v>
      </c>
    </row>
    <row r="260" spans="1:10" s="15" customFormat="1" x14ac:dyDescent="0.15">
      <c r="A260" s="11">
        <v>45363</v>
      </c>
      <c r="B260" s="12" t="s">
        <v>31</v>
      </c>
      <c r="C260" s="12" t="s">
        <v>31</v>
      </c>
      <c r="D260" s="13" t="str">
        <f>HYPERLINK("https://www.marklines.com/en/global/10742","Rivian, Georgia plant")</f>
        <v>Rivian, Georgia plant</v>
      </c>
      <c r="E260" s="12" t="s">
        <v>901</v>
      </c>
      <c r="F260" s="12" t="s">
        <v>15</v>
      </c>
      <c r="G260" s="12" t="s">
        <v>11</v>
      </c>
      <c r="H260" s="12" t="s">
        <v>361</v>
      </c>
      <c r="I260" s="14">
        <v>45358</v>
      </c>
      <c r="J260" s="12" t="s">
        <v>1457</v>
      </c>
    </row>
    <row r="261" spans="1:10" s="15" customFormat="1" x14ac:dyDescent="0.15">
      <c r="A261" s="11">
        <v>45363</v>
      </c>
      <c r="B261" s="12" t="s">
        <v>31</v>
      </c>
      <c r="C261" s="12" t="s">
        <v>31</v>
      </c>
      <c r="D261" s="13" t="str">
        <f>HYPERLINK("https://www.marklines.com/en/global/3153","Rivian, Normal Plant (former Mitsubishi Motors North America, Normal Plant)")</f>
        <v>Rivian, Normal Plant (former Mitsubishi Motors North America, Normal Plant)</v>
      </c>
      <c r="E261" s="12" t="s">
        <v>32</v>
      </c>
      <c r="F261" s="12" t="s">
        <v>15</v>
      </c>
      <c r="G261" s="12" t="s">
        <v>11</v>
      </c>
      <c r="H261" s="12" t="s">
        <v>33</v>
      </c>
      <c r="I261" s="14">
        <v>45358</v>
      </c>
      <c r="J261" s="12" t="s">
        <v>1457</v>
      </c>
    </row>
    <row r="262" spans="1:10" s="15" customFormat="1" x14ac:dyDescent="0.15">
      <c r="A262" s="11">
        <v>45363</v>
      </c>
      <c r="B262" s="12" t="s">
        <v>346</v>
      </c>
      <c r="C262" s="12" t="s">
        <v>346</v>
      </c>
      <c r="D262" s="13" t="str">
        <f>HYPERLINK("https://www.marklines.com/en/global/463","Nissan Motor, Tochigi Plant")</f>
        <v>Nissan Motor, Tochigi Plant</v>
      </c>
      <c r="E262" s="12" t="s">
        <v>1458</v>
      </c>
      <c r="F262" s="12" t="s">
        <v>18</v>
      </c>
      <c r="G262" s="12" t="s">
        <v>20</v>
      </c>
      <c r="H262" s="12" t="s">
        <v>523</v>
      </c>
      <c r="I262" s="14">
        <v>45357</v>
      </c>
      <c r="J262" s="12" t="s">
        <v>1459</v>
      </c>
    </row>
    <row r="263" spans="1:10" s="15" customFormat="1" x14ac:dyDescent="0.15">
      <c r="A263" s="11">
        <v>45363</v>
      </c>
      <c r="B263" s="12" t="s">
        <v>19</v>
      </c>
      <c r="C263" s="12" t="s">
        <v>19</v>
      </c>
      <c r="D263" s="13" t="str">
        <f>HYPERLINK("https://www.marklines.com/en/global/4093","GAC Toyota Motor Co., Ltd. (GTMC)")</f>
        <v>GAC Toyota Motor Co., Ltd. (GTMC)</v>
      </c>
      <c r="E263" s="12" t="s">
        <v>569</v>
      </c>
      <c r="F263" s="12" t="s">
        <v>18</v>
      </c>
      <c r="G263" s="12" t="s">
        <v>24</v>
      </c>
      <c r="H263" s="12" t="s">
        <v>63</v>
      </c>
      <c r="I263" s="14">
        <v>45357</v>
      </c>
      <c r="J263" s="12" t="s">
        <v>1460</v>
      </c>
    </row>
    <row r="264" spans="1:10" s="15" customFormat="1" x14ac:dyDescent="0.15">
      <c r="A264" s="11">
        <v>45363</v>
      </c>
      <c r="B264" s="12" t="s">
        <v>19</v>
      </c>
      <c r="C264" s="12" t="s">
        <v>19</v>
      </c>
      <c r="D264" s="13" t="str">
        <f>HYPERLINK("https://www.marklines.com/en/global/9925","Primearth EV Energy Co., Ltd. (PEVE), Omori Plant")</f>
        <v>Primearth EV Energy Co., Ltd. (PEVE), Omori Plant</v>
      </c>
      <c r="E264" s="12" t="s">
        <v>1461</v>
      </c>
      <c r="F264" s="12" t="s">
        <v>18</v>
      </c>
      <c r="G264" s="12" t="s">
        <v>20</v>
      </c>
      <c r="H264" s="12" t="s">
        <v>107</v>
      </c>
      <c r="I264" s="14">
        <v>45356</v>
      </c>
      <c r="J264" s="12" t="s">
        <v>1462</v>
      </c>
    </row>
    <row r="265" spans="1:10" s="15" customFormat="1" x14ac:dyDescent="0.15">
      <c r="A265" s="11">
        <v>45363</v>
      </c>
      <c r="B265" s="12" t="s">
        <v>19</v>
      </c>
      <c r="C265" s="12" t="s">
        <v>19</v>
      </c>
      <c r="D265" s="13" t="str">
        <f>HYPERLINK("https://www.marklines.com/en/global/9926","Primearth EV Energy, Sakaijuku Plant")</f>
        <v>Primearth EV Energy, Sakaijuku Plant</v>
      </c>
      <c r="E265" s="12" t="s">
        <v>1463</v>
      </c>
      <c r="F265" s="12" t="s">
        <v>18</v>
      </c>
      <c r="G265" s="12" t="s">
        <v>20</v>
      </c>
      <c r="H265" s="12" t="s">
        <v>107</v>
      </c>
      <c r="I265" s="14">
        <v>45356</v>
      </c>
      <c r="J265" s="12" t="s">
        <v>1462</v>
      </c>
    </row>
    <row r="266" spans="1:10" s="15" customFormat="1" x14ac:dyDescent="0.15">
      <c r="A266" s="11">
        <v>45363</v>
      </c>
      <c r="B266" s="12" t="s">
        <v>19</v>
      </c>
      <c r="C266" s="12" t="s">
        <v>19</v>
      </c>
      <c r="D266" s="13" t="str">
        <f>HYPERLINK("https://www.marklines.com/en/global/10502","Primearth EV Energy, Arai Plant")</f>
        <v>Primearth EV Energy, Arai Plant</v>
      </c>
      <c r="E266" s="12" t="s">
        <v>1464</v>
      </c>
      <c r="F266" s="12" t="s">
        <v>18</v>
      </c>
      <c r="G266" s="12" t="s">
        <v>20</v>
      </c>
      <c r="H266" s="12" t="s">
        <v>107</v>
      </c>
      <c r="I266" s="14">
        <v>45356</v>
      </c>
      <c r="J266" s="12" t="s">
        <v>1462</v>
      </c>
    </row>
    <row r="267" spans="1:10" s="15" customFormat="1" x14ac:dyDescent="0.15">
      <c r="A267" s="11">
        <v>45363</v>
      </c>
      <c r="B267" s="12" t="s">
        <v>19</v>
      </c>
      <c r="C267" s="12" t="s">
        <v>19</v>
      </c>
      <c r="D267" s="13" t="str">
        <f>HYPERLINK("https://www.marklines.com/en/global/9927","Primearth EV Energy, Miyagi Plant")</f>
        <v>Primearth EV Energy, Miyagi Plant</v>
      </c>
      <c r="E267" s="12" t="s">
        <v>1465</v>
      </c>
      <c r="F267" s="12" t="s">
        <v>18</v>
      </c>
      <c r="G267" s="12" t="s">
        <v>20</v>
      </c>
      <c r="H267" s="12" t="s">
        <v>195</v>
      </c>
      <c r="I267" s="14">
        <v>45356</v>
      </c>
      <c r="J267" s="12" t="s">
        <v>1462</v>
      </c>
    </row>
    <row r="268" spans="1:10" s="15" customFormat="1" x14ac:dyDescent="0.15">
      <c r="A268" s="11">
        <v>45363</v>
      </c>
      <c r="B268" s="12" t="s">
        <v>350</v>
      </c>
      <c r="C268" s="12" t="s">
        <v>646</v>
      </c>
      <c r="D268" s="13" t="str">
        <f>HYPERLINK("https://www.marklines.com/en/global/2781","General Motors Argentina, Rosario Plant")</f>
        <v>General Motors Argentina, Rosario Plant</v>
      </c>
      <c r="E268" s="12" t="s">
        <v>1466</v>
      </c>
      <c r="F268" s="12" t="s">
        <v>66</v>
      </c>
      <c r="G268" s="12" t="s">
        <v>1170</v>
      </c>
      <c r="H268" s="12"/>
      <c r="I268" s="14">
        <v>45355</v>
      </c>
      <c r="J268" s="12" t="s">
        <v>1467</v>
      </c>
    </row>
    <row r="269" spans="1:10" s="15" customFormat="1" x14ac:dyDescent="0.15">
      <c r="A269" s="11">
        <v>45363</v>
      </c>
      <c r="B269" s="12" t="s">
        <v>19</v>
      </c>
      <c r="C269" s="12" t="s">
        <v>19</v>
      </c>
      <c r="D269" s="13" t="str">
        <f>HYPERLINK("https://www.marklines.com/en/global/543","Daihatsu Motor, Shiga (Ryuo) Plant")</f>
        <v>Daihatsu Motor, Shiga (Ryuo) Plant</v>
      </c>
      <c r="E269" s="12" t="s">
        <v>513</v>
      </c>
      <c r="F269" s="12" t="s">
        <v>18</v>
      </c>
      <c r="G269" s="12" t="s">
        <v>20</v>
      </c>
      <c r="H269" s="12" t="s">
        <v>514</v>
      </c>
      <c r="I269" s="14">
        <v>45350</v>
      </c>
      <c r="J269" s="12" t="s">
        <v>1468</v>
      </c>
    </row>
    <row r="270" spans="1:10" s="15" customFormat="1" x14ac:dyDescent="0.15">
      <c r="A270" s="11">
        <v>45363</v>
      </c>
      <c r="B270" s="12" t="s">
        <v>19</v>
      </c>
      <c r="C270" s="12" t="s">
        <v>512</v>
      </c>
      <c r="D270" s="13" t="str">
        <f>HYPERLINK("https://www.marklines.com/en/global/543","Daihatsu Motor, Shiga (Ryuo) Plant")</f>
        <v>Daihatsu Motor, Shiga (Ryuo) Plant</v>
      </c>
      <c r="E270" s="12" t="s">
        <v>513</v>
      </c>
      <c r="F270" s="12" t="s">
        <v>18</v>
      </c>
      <c r="G270" s="12" t="s">
        <v>20</v>
      </c>
      <c r="H270" s="12" t="s">
        <v>514</v>
      </c>
      <c r="I270" s="14">
        <v>45350</v>
      </c>
      <c r="J270" s="12" t="s">
        <v>1468</v>
      </c>
    </row>
    <row r="271" spans="1:10" s="15" customFormat="1" x14ac:dyDescent="0.15">
      <c r="A271" s="11">
        <v>45363</v>
      </c>
      <c r="B271" s="12" t="s">
        <v>956</v>
      </c>
      <c r="C271" s="12" t="s">
        <v>956</v>
      </c>
      <c r="D271" s="13" t="str">
        <f>HYPERLINK("https://www.marklines.com/en/global/543","Daihatsu Motor, Shiga (Ryuo) Plant")</f>
        <v>Daihatsu Motor, Shiga (Ryuo) Plant</v>
      </c>
      <c r="E271" s="12" t="s">
        <v>513</v>
      </c>
      <c r="F271" s="12" t="s">
        <v>18</v>
      </c>
      <c r="G271" s="12" t="s">
        <v>20</v>
      </c>
      <c r="H271" s="12" t="s">
        <v>514</v>
      </c>
      <c r="I271" s="14">
        <v>45350</v>
      </c>
      <c r="J271" s="12" t="s">
        <v>1468</v>
      </c>
    </row>
    <row r="272" spans="1:10" s="15" customFormat="1" x14ac:dyDescent="0.15">
      <c r="A272" s="11">
        <v>45363</v>
      </c>
      <c r="B272" s="12" t="s">
        <v>19</v>
      </c>
      <c r="C272" s="12" t="s">
        <v>19</v>
      </c>
      <c r="D272" s="13" t="str">
        <f>HYPERLINK("https://www.marklines.com/en/global/411","Toyota Auto Body, Yoshiwara Plant")</f>
        <v>Toyota Auto Body, Yoshiwara Plant</v>
      </c>
      <c r="E272" s="12" t="s">
        <v>201</v>
      </c>
      <c r="F272" s="12" t="s">
        <v>18</v>
      </c>
      <c r="G272" s="12" t="s">
        <v>20</v>
      </c>
      <c r="H272" s="12" t="s">
        <v>189</v>
      </c>
      <c r="I272" s="14">
        <v>45350</v>
      </c>
      <c r="J272" s="12" t="s">
        <v>1469</v>
      </c>
    </row>
    <row r="273" spans="1:10" s="15" customFormat="1" x14ac:dyDescent="0.15">
      <c r="A273" s="11">
        <v>45363</v>
      </c>
      <c r="B273" s="12" t="s">
        <v>19</v>
      </c>
      <c r="C273" s="12" t="s">
        <v>19</v>
      </c>
      <c r="D273" s="13" t="str">
        <f>HYPERLINK("https://www.marklines.com/en/global/413","Toyota Auto Body, Inabe Plant")</f>
        <v>Toyota Auto Body, Inabe Plant</v>
      </c>
      <c r="E273" s="12" t="s">
        <v>202</v>
      </c>
      <c r="F273" s="12" t="s">
        <v>18</v>
      </c>
      <c r="G273" s="12" t="s">
        <v>20</v>
      </c>
      <c r="H273" s="12" t="s">
        <v>203</v>
      </c>
      <c r="I273" s="14">
        <v>45350</v>
      </c>
      <c r="J273" s="12" t="s">
        <v>1469</v>
      </c>
    </row>
    <row r="274" spans="1:10" s="15" customFormat="1" x14ac:dyDescent="0.15">
      <c r="A274" s="11">
        <v>45363</v>
      </c>
      <c r="B274" s="12" t="s">
        <v>19</v>
      </c>
      <c r="C274" s="12" t="s">
        <v>19</v>
      </c>
      <c r="D274" s="13" t="str">
        <f>HYPERLINK("https://www.marklines.com/en/global/417","Gifu Auto Body Co., Ltd., Honsha Plant")</f>
        <v>Gifu Auto Body Co., Ltd., Honsha Plant</v>
      </c>
      <c r="E274" s="12" t="s">
        <v>204</v>
      </c>
      <c r="F274" s="12" t="s">
        <v>18</v>
      </c>
      <c r="G274" s="12" t="s">
        <v>20</v>
      </c>
      <c r="H274" s="12" t="s">
        <v>205</v>
      </c>
      <c r="I274" s="14">
        <v>45350</v>
      </c>
      <c r="J274" s="12" t="s">
        <v>1469</v>
      </c>
    </row>
    <row r="275" spans="1:10" s="15" customFormat="1" x14ac:dyDescent="0.15">
      <c r="A275" s="11">
        <v>45362</v>
      </c>
      <c r="B275" s="12" t="s">
        <v>12</v>
      </c>
      <c r="C275" s="12" t="s">
        <v>1470</v>
      </c>
      <c r="D275" s="13" t="str">
        <f>HYPERLINK("https://www.marklines.com/en/global/9580","Van Hool Macedonia (coaches and buses), Skopje Plant")</f>
        <v>Van Hool Macedonia (coaches and buses), Skopje Plant</v>
      </c>
      <c r="E275" s="12" t="s">
        <v>1471</v>
      </c>
      <c r="F275" s="12"/>
      <c r="G275" s="12" t="s">
        <v>1472</v>
      </c>
      <c r="H275" s="12"/>
      <c r="I275" s="14">
        <v>45362</v>
      </c>
      <c r="J275" s="12" t="s">
        <v>1473</v>
      </c>
    </row>
    <row r="276" spans="1:10" s="15" customFormat="1" x14ac:dyDescent="0.15">
      <c r="A276" s="11">
        <v>45362</v>
      </c>
      <c r="B276" s="12" t="s">
        <v>12</v>
      </c>
      <c r="C276" s="12" t="s">
        <v>1470</v>
      </c>
      <c r="D276" s="13" t="str">
        <f>HYPERLINK("https://www.marklines.com/en/global/1507","Van Hool N.V., Koningshooikt Plant")</f>
        <v>Van Hool N.V., Koningshooikt Plant</v>
      </c>
      <c r="E276" s="12" t="s">
        <v>1474</v>
      </c>
      <c r="F276" s="12" t="s">
        <v>16</v>
      </c>
      <c r="G276" s="12" t="s">
        <v>437</v>
      </c>
      <c r="H276" s="12"/>
      <c r="I276" s="14">
        <v>45362</v>
      </c>
      <c r="J276" s="12" t="s">
        <v>1473</v>
      </c>
    </row>
    <row r="277" spans="1:10" s="15" customFormat="1" x14ac:dyDescent="0.15">
      <c r="A277" s="11">
        <v>45362</v>
      </c>
      <c r="B277" s="12" t="s">
        <v>28</v>
      </c>
      <c r="C277" s="12" t="s">
        <v>35</v>
      </c>
      <c r="D277" s="13" t="str">
        <f>HYPERLINK("https://www.marklines.com/en/global/2275","Volkswagen Sachsen GmbH, Dresden Plant")</f>
        <v>Volkswagen Sachsen GmbH, Dresden Plant</v>
      </c>
      <c r="E277" s="12" t="s">
        <v>1475</v>
      </c>
      <c r="F277" s="12" t="s">
        <v>16</v>
      </c>
      <c r="G277" s="12" t="s">
        <v>208</v>
      </c>
      <c r="H277" s="12"/>
      <c r="I277" s="14">
        <v>45359</v>
      </c>
      <c r="J277" s="12" t="s">
        <v>1476</v>
      </c>
    </row>
    <row r="278" spans="1:10" s="15" customFormat="1" x14ac:dyDescent="0.15">
      <c r="A278" s="11">
        <v>45362</v>
      </c>
      <c r="B278" s="12" t="s">
        <v>28</v>
      </c>
      <c r="C278" s="12" t="s">
        <v>35</v>
      </c>
      <c r="D278" s="13" t="str">
        <f>HYPERLINK("https://www.marklines.com/en/global/2277","Volkswagen Sachsen GmbH, Zwickau/Mosel Plant")</f>
        <v>Volkswagen Sachsen GmbH, Zwickau/Mosel Plant</v>
      </c>
      <c r="E278" s="12" t="s">
        <v>1477</v>
      </c>
      <c r="F278" s="12" t="s">
        <v>16</v>
      </c>
      <c r="G278" s="12" t="s">
        <v>208</v>
      </c>
      <c r="H278" s="12"/>
      <c r="I278" s="14">
        <v>45359</v>
      </c>
      <c r="J278" s="12" t="s">
        <v>1476</v>
      </c>
    </row>
    <row r="279" spans="1:10" s="15" customFormat="1" x14ac:dyDescent="0.15">
      <c r="A279" s="11">
        <v>45362</v>
      </c>
      <c r="B279" s="12" t="s">
        <v>28</v>
      </c>
      <c r="C279" s="12" t="s">
        <v>35</v>
      </c>
      <c r="D279" s="13" t="str">
        <f>HYPERLINK("https://www.marklines.com/en/global/2261","Volkswagen AG, Wolfsburg Plant")</f>
        <v>Volkswagen AG, Wolfsburg Plant</v>
      </c>
      <c r="E279" s="12" t="s">
        <v>1478</v>
      </c>
      <c r="F279" s="12" t="s">
        <v>16</v>
      </c>
      <c r="G279" s="12" t="s">
        <v>208</v>
      </c>
      <c r="H279" s="12"/>
      <c r="I279" s="14">
        <v>45359</v>
      </c>
      <c r="J279" s="12" t="s">
        <v>1476</v>
      </c>
    </row>
    <row r="280" spans="1:10" s="15" customFormat="1" x14ac:dyDescent="0.15">
      <c r="A280" s="11">
        <v>45362</v>
      </c>
      <c r="B280" s="12" t="s">
        <v>429</v>
      </c>
      <c r="C280" s="12" t="s">
        <v>430</v>
      </c>
      <c r="D280" s="13" t="str">
        <f>HYPERLINK("https://www.marklines.com/en/global/297","PT Handal Indonesia Motor (HIM), Bekasi plant (formerly PT. Hyundai Indonesia Motor)")</f>
        <v>PT Handal Indonesia Motor (HIM), Bekasi plant (formerly PT. Hyundai Indonesia Motor)</v>
      </c>
      <c r="E280" s="12" t="s">
        <v>1479</v>
      </c>
      <c r="F280" s="12" t="s">
        <v>29</v>
      </c>
      <c r="G280" s="12" t="s">
        <v>343</v>
      </c>
      <c r="H280" s="12"/>
      <c r="I280" s="14">
        <v>45359</v>
      </c>
      <c r="J280" s="12" t="s">
        <v>1480</v>
      </c>
    </row>
    <row r="281" spans="1:10" s="15" customFormat="1" x14ac:dyDescent="0.15">
      <c r="A281" s="11">
        <v>45362</v>
      </c>
      <c r="B281" s="12" t="s">
        <v>21</v>
      </c>
      <c r="C281" s="12" t="s">
        <v>21</v>
      </c>
      <c r="D281" s="13" t="str">
        <f>HYPERLINK("https://www.marklines.com/en/global/2145","Ford Motor Germany, Saarlouis Plant")</f>
        <v>Ford Motor Germany, Saarlouis Plant</v>
      </c>
      <c r="E281" s="12" t="s">
        <v>357</v>
      </c>
      <c r="F281" s="12" t="s">
        <v>16</v>
      </c>
      <c r="G281" s="12" t="s">
        <v>208</v>
      </c>
      <c r="H281" s="12"/>
      <c r="I281" s="14">
        <v>45359</v>
      </c>
      <c r="J281" s="12" t="s">
        <v>1481</v>
      </c>
    </row>
    <row r="282" spans="1:10" s="15" customFormat="1" x14ac:dyDescent="0.15">
      <c r="A282" s="11">
        <v>45362</v>
      </c>
      <c r="B282" s="12" t="s">
        <v>12</v>
      </c>
      <c r="C282" s="12" t="s">
        <v>1482</v>
      </c>
      <c r="D282" s="13" t="str">
        <f>HYPERLINK("https://www.marklines.com/en/global/10773","Ceer Motors, King Abdullah Economic City Plant (tentative name)")</f>
        <v>Ceer Motors, King Abdullah Economic City Plant (tentative name)</v>
      </c>
      <c r="E282" s="12" t="s">
        <v>1483</v>
      </c>
      <c r="F282" s="12" t="s">
        <v>181</v>
      </c>
      <c r="G282" s="12" t="s">
        <v>478</v>
      </c>
      <c r="H282" s="12"/>
      <c r="I282" s="14">
        <v>45358</v>
      </c>
      <c r="J282" s="12" t="s">
        <v>1484</v>
      </c>
    </row>
    <row r="283" spans="1:10" s="15" customFormat="1" x14ac:dyDescent="0.15">
      <c r="A283" s="11">
        <v>45362</v>
      </c>
      <c r="B283" s="12" t="s">
        <v>36</v>
      </c>
      <c r="C283" s="12" t="s">
        <v>36</v>
      </c>
      <c r="D283" s="13" t="str">
        <f>HYPERLINK("https://www.marklines.com/en/global/9207","Dongfeng-Peugeot-Citroen Automobile Co., Ltd., Xiangyang Plant")</f>
        <v>Dongfeng-Peugeot-Citroen Automobile Co., Ltd., Xiangyang Plant</v>
      </c>
      <c r="E283" s="12" t="s">
        <v>1485</v>
      </c>
      <c r="F283" s="12" t="s">
        <v>18</v>
      </c>
      <c r="G283" s="12" t="s">
        <v>24</v>
      </c>
      <c r="H283" s="12" t="s">
        <v>76</v>
      </c>
      <c r="I283" s="14">
        <v>45358</v>
      </c>
      <c r="J283" s="12" t="s">
        <v>1486</v>
      </c>
    </row>
    <row r="284" spans="1:10" s="15" customFormat="1" x14ac:dyDescent="0.15">
      <c r="A284" s="11">
        <v>45362</v>
      </c>
      <c r="B284" s="12" t="s">
        <v>68</v>
      </c>
      <c r="C284" s="12" t="s">
        <v>68</v>
      </c>
      <c r="D284" s="13" t="str">
        <f>HYPERLINK("https://www.marklines.com/en/global/297","PT Handal Indonesia Motor (HIM), Bekasi plant (formerly PT. Hyundai Indonesia Motor)")</f>
        <v>PT Handal Indonesia Motor (HIM), Bekasi plant (formerly PT. Hyundai Indonesia Motor)</v>
      </c>
      <c r="E284" s="12" t="s">
        <v>1479</v>
      </c>
      <c r="F284" s="12" t="s">
        <v>29</v>
      </c>
      <c r="G284" s="12" t="s">
        <v>343</v>
      </c>
      <c r="H284" s="12"/>
      <c r="I284" s="14">
        <v>45343</v>
      </c>
      <c r="J284" s="12" t="s">
        <v>1487</v>
      </c>
    </row>
    <row r="285" spans="1:10" s="15" customFormat="1" x14ac:dyDescent="0.15">
      <c r="A285" s="11">
        <v>45360</v>
      </c>
      <c r="B285" s="12" t="s">
        <v>350</v>
      </c>
      <c r="C285" s="12" t="s">
        <v>646</v>
      </c>
      <c r="D285" s="13" t="str">
        <f>HYPERLINK("https://www.marklines.com/en/global/2459","General Motors, Factory ZERO (Detroit-Hamtramck Plant) ")</f>
        <v xml:space="preserve">General Motors, Factory ZERO (Detroit-Hamtramck Plant) </v>
      </c>
      <c r="E285" s="12" t="s">
        <v>677</v>
      </c>
      <c r="F285" s="12" t="s">
        <v>15</v>
      </c>
      <c r="G285" s="12" t="s">
        <v>11</v>
      </c>
      <c r="H285" s="12" t="s">
        <v>505</v>
      </c>
      <c r="I285" s="14">
        <v>45357</v>
      </c>
      <c r="J285" s="12" t="s">
        <v>1488</v>
      </c>
    </row>
    <row r="286" spans="1:10" s="15" customFormat="1" x14ac:dyDescent="0.15">
      <c r="A286" s="11">
        <v>45360</v>
      </c>
      <c r="B286" s="12" t="s">
        <v>240</v>
      </c>
      <c r="C286" s="12" t="s">
        <v>241</v>
      </c>
      <c r="D286" s="13" t="str">
        <f>HYPERLINK("https://www.marklines.com/en/global/3197","Kenworth Truck, Chillicothe Plant")</f>
        <v>Kenworth Truck, Chillicothe Plant</v>
      </c>
      <c r="E286" s="12" t="s">
        <v>1489</v>
      </c>
      <c r="F286" s="12" t="s">
        <v>15</v>
      </c>
      <c r="G286" s="12" t="s">
        <v>11</v>
      </c>
      <c r="H286" s="12" t="s">
        <v>490</v>
      </c>
      <c r="I286" s="14">
        <v>45355</v>
      </c>
      <c r="J286" s="12" t="s">
        <v>1490</v>
      </c>
    </row>
    <row r="287" spans="1:10" s="15" customFormat="1" x14ac:dyDescent="0.15">
      <c r="A287" s="11">
        <v>45359</v>
      </c>
      <c r="B287" s="12" t="s">
        <v>31</v>
      </c>
      <c r="C287" s="12" t="s">
        <v>31</v>
      </c>
      <c r="D287" s="13" t="str">
        <f>HYPERLINK("https://www.marklines.com/en/global/10742","Rivian, Georgia plant")</f>
        <v>Rivian, Georgia plant</v>
      </c>
      <c r="E287" s="12" t="s">
        <v>901</v>
      </c>
      <c r="F287" s="12" t="s">
        <v>15</v>
      </c>
      <c r="G287" s="12" t="s">
        <v>11</v>
      </c>
      <c r="H287" s="12" t="s">
        <v>361</v>
      </c>
      <c r="I287" s="14">
        <v>45358</v>
      </c>
      <c r="J287" s="12" t="s">
        <v>1298</v>
      </c>
    </row>
    <row r="288" spans="1:10" s="15" customFormat="1" x14ac:dyDescent="0.15">
      <c r="A288" s="11">
        <v>45359</v>
      </c>
      <c r="B288" s="12" t="s">
        <v>31</v>
      </c>
      <c r="C288" s="12" t="s">
        <v>31</v>
      </c>
      <c r="D288" s="13" t="str">
        <f>HYPERLINK("https://www.marklines.com/en/global/3153","Rivian, Normal Plant (former Mitsubishi Motors North America, Normal Plant)")</f>
        <v>Rivian, Normal Plant (former Mitsubishi Motors North America, Normal Plant)</v>
      </c>
      <c r="E288" s="12" t="s">
        <v>32</v>
      </c>
      <c r="F288" s="12" t="s">
        <v>15</v>
      </c>
      <c r="G288" s="12" t="s">
        <v>11</v>
      </c>
      <c r="H288" s="12" t="s">
        <v>33</v>
      </c>
      <c r="I288" s="14">
        <v>45358</v>
      </c>
      <c r="J288" s="12" t="s">
        <v>1298</v>
      </c>
    </row>
    <row r="289" spans="1:10" s="15" customFormat="1" x14ac:dyDescent="0.15">
      <c r="A289" s="11">
        <v>45359</v>
      </c>
      <c r="B289" s="12" t="s">
        <v>31</v>
      </c>
      <c r="C289" s="12" t="s">
        <v>31</v>
      </c>
      <c r="D289" s="13" t="str">
        <f>HYPERLINK("https://www.marklines.com/en/global/10742","Rivian, Georgia plant")</f>
        <v>Rivian, Georgia plant</v>
      </c>
      <c r="E289" s="12" t="s">
        <v>901</v>
      </c>
      <c r="F289" s="12" t="s">
        <v>15</v>
      </c>
      <c r="G289" s="12" t="s">
        <v>11</v>
      </c>
      <c r="H289" s="12" t="s">
        <v>361</v>
      </c>
      <c r="I289" s="14">
        <v>45358</v>
      </c>
      <c r="J289" s="12" t="s">
        <v>1299</v>
      </c>
    </row>
    <row r="290" spans="1:10" s="15" customFormat="1" x14ac:dyDescent="0.15">
      <c r="A290" s="11">
        <v>45359</v>
      </c>
      <c r="B290" s="12" t="s">
        <v>31</v>
      </c>
      <c r="C290" s="12" t="s">
        <v>31</v>
      </c>
      <c r="D290" s="13" t="str">
        <f>HYPERLINK("https://www.marklines.com/en/global/3153","Rivian, Normal Plant (former Mitsubishi Motors North America, Normal Plant)")</f>
        <v>Rivian, Normal Plant (former Mitsubishi Motors North America, Normal Plant)</v>
      </c>
      <c r="E290" s="12" t="s">
        <v>32</v>
      </c>
      <c r="F290" s="12" t="s">
        <v>15</v>
      </c>
      <c r="G290" s="12" t="s">
        <v>11</v>
      </c>
      <c r="H290" s="12" t="s">
        <v>33</v>
      </c>
      <c r="I290" s="14">
        <v>45358</v>
      </c>
      <c r="J290" s="12" t="s">
        <v>1299</v>
      </c>
    </row>
    <row r="291" spans="1:10" s="15" customFormat="1" x14ac:dyDescent="0.15">
      <c r="A291" s="11">
        <v>45359</v>
      </c>
      <c r="B291" s="12" t="s">
        <v>14</v>
      </c>
      <c r="C291" s="12" t="s">
        <v>14</v>
      </c>
      <c r="D291" s="13" t="str">
        <f>HYPERLINK("https://www.marklines.com/en/global/867","General Motors Mexico, Ramos Arizpe Plant")</f>
        <v>General Motors Mexico, Ramos Arizpe Plant</v>
      </c>
      <c r="E291" s="12" t="s">
        <v>632</v>
      </c>
      <c r="F291" s="12" t="s">
        <v>15</v>
      </c>
      <c r="G291" s="12" t="s">
        <v>218</v>
      </c>
      <c r="H291" s="12"/>
      <c r="I291" s="14">
        <v>45358</v>
      </c>
      <c r="J291" s="12" t="s">
        <v>1300</v>
      </c>
    </row>
    <row r="292" spans="1:10" s="15" customFormat="1" x14ac:dyDescent="0.15">
      <c r="A292" s="11">
        <v>45359</v>
      </c>
      <c r="B292" s="12" t="s">
        <v>248</v>
      </c>
      <c r="C292" s="12" t="s">
        <v>643</v>
      </c>
      <c r="D292" s="13" t="str">
        <f>HYPERLINK("https://www.marklines.com/en/global/4153","SAIC-GM-Wuling Automobile Co., Ltd. (SGMW)　")</f>
        <v>SAIC-GM-Wuling Automobile Co., Ltd. (SGMW)　</v>
      </c>
      <c r="E292" s="12" t="s">
        <v>713</v>
      </c>
      <c r="F292" s="12" t="s">
        <v>18</v>
      </c>
      <c r="G292" s="12" t="s">
        <v>24</v>
      </c>
      <c r="H292" s="12" t="s">
        <v>326</v>
      </c>
      <c r="I292" s="14">
        <v>45357</v>
      </c>
      <c r="J292" s="12" t="s">
        <v>1301</v>
      </c>
    </row>
    <row r="293" spans="1:10" s="15" customFormat="1" x14ac:dyDescent="0.15">
      <c r="A293" s="11">
        <v>45359</v>
      </c>
      <c r="B293" s="12" t="s">
        <v>36</v>
      </c>
      <c r="C293" s="12" t="s">
        <v>38</v>
      </c>
      <c r="D293" s="13" t="str">
        <f>HYPERLINK("https://www.marklines.com/en/global/10143","Stellantis, FCA Latam Design Center, Betim")</f>
        <v>Stellantis, FCA Latam Design Center, Betim</v>
      </c>
      <c r="E293" s="12" t="s">
        <v>1302</v>
      </c>
      <c r="F293" s="12" t="s">
        <v>66</v>
      </c>
      <c r="G293" s="12" t="s">
        <v>67</v>
      </c>
      <c r="H293" s="12"/>
      <c r="I293" s="14">
        <v>45357</v>
      </c>
      <c r="J293" s="12" t="s">
        <v>1303</v>
      </c>
    </row>
    <row r="294" spans="1:10" s="15" customFormat="1" x14ac:dyDescent="0.15">
      <c r="A294" s="11">
        <v>45359</v>
      </c>
      <c r="B294" s="12" t="s">
        <v>36</v>
      </c>
      <c r="C294" s="12" t="s">
        <v>38</v>
      </c>
      <c r="D294" s="13" t="str">
        <f>HYPERLINK("https://www.marklines.com/en/global/2833","Stellantis, FCA Brazil, Betim Plant")</f>
        <v>Stellantis, FCA Brazil, Betim Plant</v>
      </c>
      <c r="E294" s="12" t="s">
        <v>1304</v>
      </c>
      <c r="F294" s="12" t="s">
        <v>66</v>
      </c>
      <c r="G294" s="12" t="s">
        <v>67</v>
      </c>
      <c r="H294" s="12"/>
      <c r="I294" s="14">
        <v>45357</v>
      </c>
      <c r="J294" s="12" t="s">
        <v>1303</v>
      </c>
    </row>
    <row r="295" spans="1:10" s="15" customFormat="1" x14ac:dyDescent="0.15">
      <c r="A295" s="11">
        <v>45359</v>
      </c>
      <c r="B295" s="12" t="s">
        <v>722</v>
      </c>
      <c r="C295" s="12" t="s">
        <v>722</v>
      </c>
      <c r="D295" s="13" t="str">
        <f>HYPERLINK("https://www.marklines.com/en/global/4271","Shaanxi Automobile Group Co., Ltd.")</f>
        <v>Shaanxi Automobile Group Co., Ltd.</v>
      </c>
      <c r="E295" s="12" t="s">
        <v>723</v>
      </c>
      <c r="F295" s="12" t="s">
        <v>18</v>
      </c>
      <c r="G295" s="12" t="s">
        <v>24</v>
      </c>
      <c r="H295" s="12" t="s">
        <v>724</v>
      </c>
      <c r="I295" s="14">
        <v>45356</v>
      </c>
      <c r="J295" s="12" t="s">
        <v>1305</v>
      </c>
    </row>
    <row r="296" spans="1:10" s="15" customFormat="1" x14ac:dyDescent="0.15">
      <c r="A296" s="11">
        <v>45359</v>
      </c>
      <c r="B296" s="12" t="s">
        <v>65</v>
      </c>
      <c r="C296" s="12" t="s">
        <v>328</v>
      </c>
      <c r="D296" s="13" t="str">
        <f>HYPERLINK("https://www.marklines.com/en/global/10797","Zhejiang Geely Farizon New Energy Commercial Vehicle Group Co., Ltd. ")</f>
        <v xml:space="preserve">Zhejiang Geely Farizon New Energy Commercial Vehicle Group Co., Ltd. </v>
      </c>
      <c r="E296" s="12" t="s">
        <v>726</v>
      </c>
      <c r="F296" s="12" t="s">
        <v>18</v>
      </c>
      <c r="G296" s="12" t="s">
        <v>24</v>
      </c>
      <c r="H296" s="12" t="s">
        <v>61</v>
      </c>
      <c r="I296" s="14">
        <v>45356</v>
      </c>
      <c r="J296" s="12" t="s">
        <v>1306</v>
      </c>
    </row>
    <row r="297" spans="1:10" s="15" customFormat="1" x14ac:dyDescent="0.15">
      <c r="A297" s="11">
        <v>45359</v>
      </c>
      <c r="B297" s="12" t="s">
        <v>28</v>
      </c>
      <c r="C297" s="12" t="s">
        <v>43</v>
      </c>
      <c r="D297" s="13" t="str">
        <f>HYPERLINK("https://www.marklines.com/en/global/8739","Audi Mexico S.A. de C.V., San José Chiapa Plant")</f>
        <v>Audi Mexico S.A. de C.V., San José Chiapa Plant</v>
      </c>
      <c r="E297" s="12" t="s">
        <v>551</v>
      </c>
      <c r="F297" s="12" t="s">
        <v>15</v>
      </c>
      <c r="G297" s="12" t="s">
        <v>218</v>
      </c>
      <c r="H297" s="12"/>
      <c r="I297" s="14">
        <v>45356</v>
      </c>
      <c r="J297" s="12" t="s">
        <v>1307</v>
      </c>
    </row>
    <row r="298" spans="1:10" s="15" customFormat="1" x14ac:dyDescent="0.15">
      <c r="A298" s="11">
        <v>45359</v>
      </c>
      <c r="B298" s="12" t="s">
        <v>1308</v>
      </c>
      <c r="C298" s="12" t="s">
        <v>1308</v>
      </c>
      <c r="D298" s="13" t="str">
        <f>HYPERLINK("https://www.marklines.com/en/global/3095","Karma Innovation and Customization Center (KICC) ")</f>
        <v xml:space="preserve">Karma Innovation and Customization Center (KICC) </v>
      </c>
      <c r="E298" s="12" t="s">
        <v>1309</v>
      </c>
      <c r="F298" s="12" t="s">
        <v>15</v>
      </c>
      <c r="G298" s="12" t="s">
        <v>11</v>
      </c>
      <c r="H298" s="12" t="s">
        <v>49</v>
      </c>
      <c r="I298" s="14">
        <v>45356</v>
      </c>
      <c r="J298" s="12" t="s">
        <v>1310</v>
      </c>
    </row>
    <row r="299" spans="1:10" s="15" customFormat="1" x14ac:dyDescent="0.15">
      <c r="A299" s="11">
        <v>45358</v>
      </c>
      <c r="B299" s="12" t="s">
        <v>36</v>
      </c>
      <c r="C299" s="12" t="s">
        <v>36</v>
      </c>
      <c r="D299" s="13" t="str">
        <f>HYPERLINK("https://www.marklines.com/en/global/1939","Stellantis, Peugeot Citroen Automoviles Espana S.A., Vigo Plant")</f>
        <v>Stellantis, Peugeot Citroen Automoviles Espana S.A., Vigo Plant</v>
      </c>
      <c r="E299" s="12" t="s">
        <v>54</v>
      </c>
      <c r="F299" s="12" t="s">
        <v>16</v>
      </c>
      <c r="G299" s="12" t="s">
        <v>42</v>
      </c>
      <c r="H299" s="12"/>
      <c r="I299" s="14">
        <v>45357</v>
      </c>
      <c r="J299" s="12" t="s">
        <v>1311</v>
      </c>
    </row>
    <row r="300" spans="1:10" s="15" customFormat="1" x14ac:dyDescent="0.15">
      <c r="A300" s="11">
        <v>45358</v>
      </c>
      <c r="B300" s="12" t="s">
        <v>36</v>
      </c>
      <c r="C300" s="12" t="s">
        <v>38</v>
      </c>
      <c r="D300" s="13" t="str">
        <f>HYPERLINK("https://www.marklines.com/en/global/1327","Stellantis, FCA Italy, Mirafiori (Turin) Plant")</f>
        <v>Stellantis, FCA Italy, Mirafiori (Turin) Plant</v>
      </c>
      <c r="E300" s="12" t="s">
        <v>82</v>
      </c>
      <c r="F300" s="12" t="s">
        <v>16</v>
      </c>
      <c r="G300" s="12" t="s">
        <v>37</v>
      </c>
      <c r="H300" s="12"/>
      <c r="I300" s="14">
        <v>45357</v>
      </c>
      <c r="J300" s="12" t="s">
        <v>1312</v>
      </c>
    </row>
    <row r="301" spans="1:10" s="15" customFormat="1" x14ac:dyDescent="0.15">
      <c r="A301" s="11">
        <v>45358</v>
      </c>
      <c r="B301" s="12" t="s">
        <v>36</v>
      </c>
      <c r="C301" s="12" t="s">
        <v>81</v>
      </c>
      <c r="D301" s="13" t="str">
        <f>HYPERLINK("https://www.marklines.com/en/global/1327","Stellantis, FCA Italy, Mirafiori (Turin) Plant")</f>
        <v>Stellantis, FCA Italy, Mirafiori (Turin) Plant</v>
      </c>
      <c r="E301" s="12" t="s">
        <v>82</v>
      </c>
      <c r="F301" s="12" t="s">
        <v>16</v>
      </c>
      <c r="G301" s="12" t="s">
        <v>37</v>
      </c>
      <c r="H301" s="12"/>
      <c r="I301" s="14">
        <v>45357</v>
      </c>
      <c r="J301" s="12" t="s">
        <v>1312</v>
      </c>
    </row>
    <row r="302" spans="1:10" s="15" customFormat="1" x14ac:dyDescent="0.15">
      <c r="A302" s="11">
        <v>45358</v>
      </c>
      <c r="B302" s="12" t="s">
        <v>28</v>
      </c>
      <c r="C302" s="12" t="s">
        <v>35</v>
      </c>
      <c r="D302" s="13" t="str">
        <f>HYPERLINK("https://www.marklines.com/en/global/1965","Volkswagen Navarra, S.A., Pamplona (Landaben) Plant")</f>
        <v>Volkswagen Navarra, S.A., Pamplona (Landaben) Plant</v>
      </c>
      <c r="E302" s="12" t="s">
        <v>64</v>
      </c>
      <c r="F302" s="12" t="s">
        <v>16</v>
      </c>
      <c r="G302" s="12" t="s">
        <v>42</v>
      </c>
      <c r="H302" s="12"/>
      <c r="I302" s="14">
        <v>45357</v>
      </c>
      <c r="J302" s="12" t="s">
        <v>1313</v>
      </c>
    </row>
    <row r="303" spans="1:10" s="15" customFormat="1" x14ac:dyDescent="0.15">
      <c r="A303" s="11">
        <v>45358</v>
      </c>
      <c r="B303" s="12" t="s">
        <v>28</v>
      </c>
      <c r="C303" s="12" t="s">
        <v>44</v>
      </c>
      <c r="D303" s="13" t="str">
        <f>HYPERLINK("https://www.marklines.com/en/global/1965","Volkswagen Navarra, S.A., Pamplona (Landaben) Plant")</f>
        <v>Volkswagen Navarra, S.A., Pamplona (Landaben) Plant</v>
      </c>
      <c r="E303" s="12" t="s">
        <v>64</v>
      </c>
      <c r="F303" s="12" t="s">
        <v>16</v>
      </c>
      <c r="G303" s="12" t="s">
        <v>42</v>
      </c>
      <c r="H303" s="12"/>
      <c r="I303" s="14">
        <v>45357</v>
      </c>
      <c r="J303" s="12" t="s">
        <v>1313</v>
      </c>
    </row>
    <row r="304" spans="1:10" s="15" customFormat="1" x14ac:dyDescent="0.15">
      <c r="A304" s="11">
        <v>45358</v>
      </c>
      <c r="B304" s="12" t="s">
        <v>65</v>
      </c>
      <c r="C304" s="12" t="s">
        <v>312</v>
      </c>
      <c r="D304" s="13" t="str">
        <f>HYPERLINK("https://www.marklines.com/en/global/2729","Volvo Cars, Torslanda, Goteborg Plant")</f>
        <v>Volvo Cars, Torslanda, Goteborg Plant</v>
      </c>
      <c r="E304" s="12" t="s">
        <v>985</v>
      </c>
      <c r="F304" s="12" t="s">
        <v>16</v>
      </c>
      <c r="G304" s="12" t="s">
        <v>314</v>
      </c>
      <c r="H304" s="12"/>
      <c r="I304" s="14">
        <v>45357</v>
      </c>
      <c r="J304" s="12" t="s">
        <v>1314</v>
      </c>
    </row>
    <row r="305" spans="1:10" s="15" customFormat="1" x14ac:dyDescent="0.15">
      <c r="A305" s="11">
        <v>45358</v>
      </c>
      <c r="B305" s="12" t="s">
        <v>65</v>
      </c>
      <c r="C305" s="12" t="s">
        <v>312</v>
      </c>
      <c r="D305" s="13" t="str">
        <f>HYPERLINK("https://www.marklines.com/en/global/10539","NOVO Energy AB, Torslanda")</f>
        <v>NOVO Energy AB, Torslanda</v>
      </c>
      <c r="E305" s="12" t="s">
        <v>1315</v>
      </c>
      <c r="F305" s="12" t="s">
        <v>16</v>
      </c>
      <c r="G305" s="12" t="s">
        <v>314</v>
      </c>
      <c r="H305" s="12"/>
      <c r="I305" s="14">
        <v>45357</v>
      </c>
      <c r="J305" s="12" t="s">
        <v>1314</v>
      </c>
    </row>
    <row r="306" spans="1:10" s="15" customFormat="1" x14ac:dyDescent="0.15">
      <c r="A306" s="11">
        <v>45358</v>
      </c>
      <c r="B306" s="12" t="s">
        <v>30</v>
      </c>
      <c r="C306" s="12" t="s">
        <v>596</v>
      </c>
      <c r="D306" s="13" t="str">
        <f>HYPERLINK("https://www.marklines.com/en/global/9267","OOO Haveyl Motor Manufacturing Rus (Haval Motor Manufacturing Russia Limited Liability Company), Tula plant")</f>
        <v>OOO Haveyl Motor Manufacturing Rus (Haval Motor Manufacturing Russia Limited Liability Company), Tula plant</v>
      </c>
      <c r="E306" s="12" t="s">
        <v>1316</v>
      </c>
      <c r="F306" s="12" t="s">
        <v>17</v>
      </c>
      <c r="G306" s="12" t="s">
        <v>13</v>
      </c>
      <c r="H306" s="12"/>
      <c r="I306" s="14">
        <v>45357</v>
      </c>
      <c r="J306" s="12" t="s">
        <v>1317</v>
      </c>
    </row>
    <row r="307" spans="1:10" s="15" customFormat="1" x14ac:dyDescent="0.15">
      <c r="A307" s="11">
        <v>45358</v>
      </c>
      <c r="B307" s="12" t="s">
        <v>346</v>
      </c>
      <c r="C307" s="12" t="s">
        <v>346</v>
      </c>
      <c r="D307" s="13" t="str">
        <f>HYPERLINK("https://www.marklines.com/en/global/3189","Nissan North America, Smyrna Plant")</f>
        <v>Nissan North America, Smyrna Plant</v>
      </c>
      <c r="E307" s="12" t="s">
        <v>347</v>
      </c>
      <c r="F307" s="12" t="s">
        <v>15</v>
      </c>
      <c r="G307" s="12" t="s">
        <v>11</v>
      </c>
      <c r="H307" s="12" t="s">
        <v>348</v>
      </c>
      <c r="I307" s="14">
        <v>45357</v>
      </c>
      <c r="J307" s="12" t="s">
        <v>1318</v>
      </c>
    </row>
    <row r="308" spans="1:10" s="15" customFormat="1" x14ac:dyDescent="0.15">
      <c r="A308" s="11">
        <v>45358</v>
      </c>
      <c r="B308" s="12" t="s">
        <v>19</v>
      </c>
      <c r="C308" s="12" t="s">
        <v>19</v>
      </c>
      <c r="D308" s="13" t="str">
        <f>HYPERLINK("https://www.marklines.com/en/global/3255","Toyota Motor Manufacturing, Missouri (TMMMO)")</f>
        <v>Toyota Motor Manufacturing, Missouri (TMMMO)</v>
      </c>
      <c r="E308" s="12" t="s">
        <v>1319</v>
      </c>
      <c r="F308" s="12" t="s">
        <v>15</v>
      </c>
      <c r="G308" s="12" t="s">
        <v>11</v>
      </c>
      <c r="H308" s="12" t="s">
        <v>983</v>
      </c>
      <c r="I308" s="14">
        <v>45357</v>
      </c>
      <c r="J308" s="12" t="s">
        <v>1320</v>
      </c>
    </row>
    <row r="309" spans="1:10" s="15" customFormat="1" x14ac:dyDescent="0.15">
      <c r="A309" s="11">
        <v>45358</v>
      </c>
      <c r="B309" s="12" t="s">
        <v>31</v>
      </c>
      <c r="C309" s="12" t="s">
        <v>31</v>
      </c>
      <c r="D309" s="13" t="str">
        <f>HYPERLINK("https://www.marklines.com/en/global/3153","Rivian, Normal Plant (former Mitsubishi Motors North America, Normal Plant)")</f>
        <v>Rivian, Normal Plant (former Mitsubishi Motors North America, Normal Plant)</v>
      </c>
      <c r="E309" s="12" t="s">
        <v>32</v>
      </c>
      <c r="F309" s="12" t="s">
        <v>15</v>
      </c>
      <c r="G309" s="12" t="s">
        <v>11</v>
      </c>
      <c r="H309" s="12" t="s">
        <v>33</v>
      </c>
      <c r="I309" s="14">
        <v>45357</v>
      </c>
      <c r="J309" s="12" t="s">
        <v>1321</v>
      </c>
    </row>
    <row r="310" spans="1:10" s="15" customFormat="1" x14ac:dyDescent="0.15">
      <c r="A310" s="11">
        <v>45358</v>
      </c>
      <c r="B310" s="12" t="s">
        <v>19</v>
      </c>
      <c r="C310" s="12" t="s">
        <v>19</v>
      </c>
      <c r="D310" s="13" t="str">
        <f>HYPERLINK("https://www.marklines.com/en/global/1065","Indus Motor Company Ltd. (IMC), Karachi Plant")</f>
        <v>Indus Motor Company Ltd. (IMC), Karachi Plant</v>
      </c>
      <c r="E310" s="12" t="s">
        <v>1053</v>
      </c>
      <c r="F310" s="12" t="s">
        <v>22</v>
      </c>
      <c r="G310" s="12" t="s">
        <v>257</v>
      </c>
      <c r="H310" s="12"/>
      <c r="I310" s="14">
        <v>45356</v>
      </c>
      <c r="J310" s="12" t="s">
        <v>1322</v>
      </c>
    </row>
    <row r="311" spans="1:10" s="15" customFormat="1" x14ac:dyDescent="0.15">
      <c r="A311" s="11">
        <v>45358</v>
      </c>
      <c r="B311" s="12" t="s">
        <v>582</v>
      </c>
      <c r="C311" s="12" t="s">
        <v>1037</v>
      </c>
      <c r="D311" s="13" t="str">
        <f>HYPERLINK("https://www.marklines.com/en/global/3291","Mack Trucks, Inc., Lehigh Valley Operations, Macungie Plant")</f>
        <v>Mack Trucks, Inc., Lehigh Valley Operations, Macungie Plant</v>
      </c>
      <c r="E311" s="12" t="s">
        <v>1323</v>
      </c>
      <c r="F311" s="12" t="s">
        <v>15</v>
      </c>
      <c r="G311" s="12" t="s">
        <v>11</v>
      </c>
      <c r="H311" s="12" t="s">
        <v>1324</v>
      </c>
      <c r="I311" s="14">
        <v>45356</v>
      </c>
      <c r="J311" s="12" t="s">
        <v>1325</v>
      </c>
    </row>
    <row r="312" spans="1:10" s="15" customFormat="1" x14ac:dyDescent="0.15">
      <c r="A312" s="11">
        <v>45358</v>
      </c>
      <c r="B312" s="12" t="s">
        <v>19</v>
      </c>
      <c r="C312" s="12" t="s">
        <v>19</v>
      </c>
      <c r="D312" s="13" t="str">
        <f>HYPERLINK("https://www.marklines.com/en/global/8934","Toyota do Brasil Ltda., Porto Feliz Plant")</f>
        <v>Toyota do Brasil Ltda., Porto Feliz Plant</v>
      </c>
      <c r="E312" s="12" t="s">
        <v>1326</v>
      </c>
      <c r="F312" s="12" t="s">
        <v>66</v>
      </c>
      <c r="G312" s="12" t="s">
        <v>67</v>
      </c>
      <c r="H312" s="12"/>
      <c r="I312" s="14">
        <v>45356</v>
      </c>
      <c r="J312" s="12" t="s">
        <v>1327</v>
      </c>
    </row>
    <row r="313" spans="1:10" s="15" customFormat="1" x14ac:dyDescent="0.15">
      <c r="A313" s="11">
        <v>45358</v>
      </c>
      <c r="B313" s="12" t="s">
        <v>19</v>
      </c>
      <c r="C313" s="12" t="s">
        <v>19</v>
      </c>
      <c r="D313" s="13" t="str">
        <f>HYPERLINK("https://www.marklines.com/en/global/2917","Toyota do Brasil Ltda., Sorocaba Plant")</f>
        <v>Toyota do Brasil Ltda., Sorocaba Plant</v>
      </c>
      <c r="E313" s="12" t="s">
        <v>1328</v>
      </c>
      <c r="F313" s="12" t="s">
        <v>66</v>
      </c>
      <c r="G313" s="12" t="s">
        <v>67</v>
      </c>
      <c r="H313" s="12"/>
      <c r="I313" s="14">
        <v>45356</v>
      </c>
      <c r="J313" s="12" t="s">
        <v>1327</v>
      </c>
    </row>
    <row r="314" spans="1:10" s="15" customFormat="1" x14ac:dyDescent="0.15">
      <c r="A314" s="11">
        <v>45358</v>
      </c>
      <c r="B314" s="12" t="s">
        <v>19</v>
      </c>
      <c r="C314" s="12" t="s">
        <v>19</v>
      </c>
      <c r="D314" s="13" t="str">
        <f>HYPERLINK("https://www.marklines.com/en/global/2915","Toyota do Brasil Ltda., Indaiatuba Plant")</f>
        <v>Toyota do Brasil Ltda., Indaiatuba Plant</v>
      </c>
      <c r="E314" s="12" t="s">
        <v>1329</v>
      </c>
      <c r="F314" s="12" t="s">
        <v>66</v>
      </c>
      <c r="G314" s="12" t="s">
        <v>67</v>
      </c>
      <c r="H314" s="12"/>
      <c r="I314" s="14">
        <v>45356</v>
      </c>
      <c r="J314" s="12" t="s">
        <v>1327</v>
      </c>
    </row>
    <row r="315" spans="1:10" s="15" customFormat="1" x14ac:dyDescent="0.15">
      <c r="A315" s="11">
        <v>45358</v>
      </c>
      <c r="B315" s="12" t="s">
        <v>252</v>
      </c>
      <c r="C315" s="12" t="s">
        <v>252</v>
      </c>
      <c r="D315" s="13" t="str">
        <f>HYPERLINK("https://www.marklines.com/en/global/1947","Renault Spain, Valladolid Plant")</f>
        <v>Renault Spain, Valladolid Plant</v>
      </c>
      <c r="E315" s="12" t="s">
        <v>797</v>
      </c>
      <c r="F315" s="12" t="s">
        <v>16</v>
      </c>
      <c r="G315" s="12" t="s">
        <v>42</v>
      </c>
      <c r="H315" s="12"/>
      <c r="I315" s="14">
        <v>45355</v>
      </c>
      <c r="J315" s="12" t="s">
        <v>1330</v>
      </c>
    </row>
    <row r="316" spans="1:10" s="15" customFormat="1" x14ac:dyDescent="0.15">
      <c r="A316" s="11">
        <v>45358</v>
      </c>
      <c r="B316" s="12" t="s">
        <v>722</v>
      </c>
      <c r="C316" s="12" t="s">
        <v>722</v>
      </c>
      <c r="D316" s="13" t="str">
        <f>HYPERLINK("https://www.marklines.com/en/global/4273","Shaanxi Heavy Duty Automobile Co., Ltd.")</f>
        <v>Shaanxi Heavy Duty Automobile Co., Ltd.</v>
      </c>
      <c r="E316" s="12" t="s">
        <v>1331</v>
      </c>
      <c r="F316" s="12" t="s">
        <v>18</v>
      </c>
      <c r="G316" s="12" t="s">
        <v>24</v>
      </c>
      <c r="H316" s="12" t="s">
        <v>724</v>
      </c>
      <c r="I316" s="14">
        <v>45353</v>
      </c>
      <c r="J316" s="12" t="s">
        <v>1332</v>
      </c>
    </row>
    <row r="317" spans="1:10" s="15" customFormat="1" x14ac:dyDescent="0.15">
      <c r="A317" s="11">
        <v>45358</v>
      </c>
      <c r="B317" s="12" t="s">
        <v>58</v>
      </c>
      <c r="C317" s="12" t="s">
        <v>69</v>
      </c>
      <c r="D317" s="13" t="str">
        <f>HYPERLINK("https://www.marklines.com/en/global/3425","Beiqi Foton Motor Co., Ltd.")</f>
        <v>Beiqi Foton Motor Co., Ltd.</v>
      </c>
      <c r="E317" s="12" t="s">
        <v>70</v>
      </c>
      <c r="F317" s="12" t="s">
        <v>18</v>
      </c>
      <c r="G317" s="12" t="s">
        <v>24</v>
      </c>
      <c r="H317" s="12" t="s">
        <v>71</v>
      </c>
      <c r="I317" s="14">
        <v>45353</v>
      </c>
      <c r="J317" s="12" t="s">
        <v>1333</v>
      </c>
    </row>
    <row r="318" spans="1:10" s="15" customFormat="1" x14ac:dyDescent="0.15">
      <c r="A318" s="11">
        <v>45358</v>
      </c>
      <c r="B318" s="12" t="s">
        <v>268</v>
      </c>
      <c r="C318" s="12" t="s">
        <v>268</v>
      </c>
      <c r="D318" s="13" t="str">
        <f>HYPERLINK("https://www.marklines.com/en/global/3865","Anhui Jianghuai Automobile Group Corp., Ltd. (JAC)")</f>
        <v>Anhui Jianghuai Automobile Group Corp., Ltd. (JAC)</v>
      </c>
      <c r="E318" s="12" t="s">
        <v>370</v>
      </c>
      <c r="F318" s="12" t="s">
        <v>18</v>
      </c>
      <c r="G318" s="12" t="s">
        <v>24</v>
      </c>
      <c r="H318" s="12" t="s">
        <v>55</v>
      </c>
      <c r="I318" s="14">
        <v>45352</v>
      </c>
      <c r="J318" s="12" t="s">
        <v>1334</v>
      </c>
    </row>
    <row r="319" spans="1:10" s="15" customFormat="1" x14ac:dyDescent="0.15">
      <c r="A319" s="11">
        <v>45358</v>
      </c>
      <c r="B319" s="12" t="s">
        <v>268</v>
      </c>
      <c r="C319" s="12" t="s">
        <v>268</v>
      </c>
      <c r="D319" s="13" t="str">
        <f>HYPERLINK("https://www.marklines.com/en/global/10827","Jianghuai Huawei Smart Car Super Plant")</f>
        <v>Jianghuai Huawei Smart Car Super Plant</v>
      </c>
      <c r="E319" s="12" t="s">
        <v>1335</v>
      </c>
      <c r="F319" s="12" t="s">
        <v>18</v>
      </c>
      <c r="G319" s="12" t="s">
        <v>24</v>
      </c>
      <c r="H319" s="12" t="s">
        <v>55</v>
      </c>
      <c r="I319" s="14">
        <v>45352</v>
      </c>
      <c r="J319" s="12" t="s">
        <v>1334</v>
      </c>
    </row>
    <row r="320" spans="1:10" s="15" customFormat="1" x14ac:dyDescent="0.15">
      <c r="A320" s="11">
        <v>45358</v>
      </c>
      <c r="B320" s="12" t="s">
        <v>462</v>
      </c>
      <c r="C320" s="12" t="s">
        <v>463</v>
      </c>
      <c r="D320" s="13" t="str">
        <f>HYPERLINK("https://www.marklines.com/en/global/10753","Tata Group Battery Gigafactory, Sommerset Plant (tentative name）")</f>
        <v>Tata Group Battery Gigafactory, Sommerset Plant (tentative name）</v>
      </c>
      <c r="E320" s="12" t="s">
        <v>1210</v>
      </c>
      <c r="F320" s="12" t="s">
        <v>16</v>
      </c>
      <c r="G320" s="12" t="s">
        <v>233</v>
      </c>
      <c r="H320" s="12"/>
      <c r="I320" s="14">
        <v>45351</v>
      </c>
      <c r="J320" s="12" t="s">
        <v>1336</v>
      </c>
    </row>
    <row r="321" spans="1:10" s="15" customFormat="1" x14ac:dyDescent="0.15">
      <c r="A321" s="11">
        <v>45358</v>
      </c>
      <c r="B321" s="12" t="s">
        <v>582</v>
      </c>
      <c r="C321" s="12" t="s">
        <v>1037</v>
      </c>
      <c r="D321" s="13" t="str">
        <f>HYPERLINK("https://www.marklines.com/en/global/10303","Mack Trucks Roanoke Valley Operations (RVO)")</f>
        <v>Mack Trucks Roanoke Valley Operations (RVO)</v>
      </c>
      <c r="E321" s="12" t="s">
        <v>1038</v>
      </c>
      <c r="F321" s="12" t="s">
        <v>15</v>
      </c>
      <c r="G321" s="12" t="s">
        <v>11</v>
      </c>
      <c r="H321" s="12" t="s">
        <v>584</v>
      </c>
      <c r="I321" s="14">
        <v>45351</v>
      </c>
      <c r="J321" s="12" t="s">
        <v>1337</v>
      </c>
    </row>
    <row r="322" spans="1:10" s="15" customFormat="1" x14ac:dyDescent="0.15">
      <c r="A322" s="11">
        <v>45357</v>
      </c>
      <c r="B322" s="12" t="s">
        <v>36</v>
      </c>
      <c r="C322" s="12" t="s">
        <v>36</v>
      </c>
      <c r="D322" s="13" t="str">
        <f>HYPERLINK("https://www.marklines.com/en/global/1931","Stellantis, Opel Espana de Automoviles, S.A., Zaragoza (Figueruelas) Plant")</f>
        <v>Stellantis, Opel Espana de Automoviles, S.A., Zaragoza (Figueruelas) Plant</v>
      </c>
      <c r="E322" s="12" t="s">
        <v>52</v>
      </c>
      <c r="F322" s="12" t="s">
        <v>16</v>
      </c>
      <c r="G322" s="12" t="s">
        <v>42</v>
      </c>
      <c r="H322" s="12"/>
      <c r="I322" s="14">
        <v>45357</v>
      </c>
      <c r="J322" s="12" t="s">
        <v>1338</v>
      </c>
    </row>
    <row r="323" spans="1:10" s="15" customFormat="1" x14ac:dyDescent="0.15">
      <c r="A323" s="11">
        <v>45357</v>
      </c>
      <c r="B323" s="12" t="s">
        <v>86</v>
      </c>
      <c r="C323" s="12" t="s">
        <v>86</v>
      </c>
      <c r="D323" s="13" t="str">
        <f>HYPERLINK("https://www.marklines.com/en/global/741","Trucks Vostok Rus LLC (TVR), Naberezhnye Chelny Plant (formerly OOO Daimler Kamaz Rus (DK Rus), OOO Mercedes-Benz Trucks Vostok) ")</f>
        <v xml:space="preserve">Trucks Vostok Rus LLC (TVR), Naberezhnye Chelny Plant (formerly OOO Daimler Kamaz Rus (DK Rus), OOO Mercedes-Benz Trucks Vostok) </v>
      </c>
      <c r="E323" s="12" t="s">
        <v>122</v>
      </c>
      <c r="F323" s="12" t="s">
        <v>17</v>
      </c>
      <c r="G323" s="12" t="s">
        <v>13</v>
      </c>
      <c r="H323" s="12"/>
      <c r="I323" s="14">
        <v>45357</v>
      </c>
      <c r="J323" s="12" t="s">
        <v>1339</v>
      </c>
    </row>
    <row r="324" spans="1:10" s="15" customFormat="1" x14ac:dyDescent="0.15">
      <c r="A324" s="11">
        <v>45357</v>
      </c>
      <c r="B324" s="12" t="s">
        <v>68</v>
      </c>
      <c r="C324" s="12" t="s">
        <v>563</v>
      </c>
      <c r="D324" s="13" t="str">
        <f>HYPERLINK("https://www.marklines.com/en/global/3883","Chery Commercial Vehicle (Anhui) Co., Ltd.")</f>
        <v>Chery Commercial Vehicle (Anhui) Co., Ltd.</v>
      </c>
      <c r="E324" s="12" t="s">
        <v>565</v>
      </c>
      <c r="F324" s="12" t="s">
        <v>18</v>
      </c>
      <c r="G324" s="12" t="s">
        <v>24</v>
      </c>
      <c r="H324" s="12" t="s">
        <v>55</v>
      </c>
      <c r="I324" s="14">
        <v>45356</v>
      </c>
      <c r="J324" s="12" t="s">
        <v>1340</v>
      </c>
    </row>
    <row r="325" spans="1:10" s="15" customFormat="1" x14ac:dyDescent="0.15">
      <c r="A325" s="11">
        <v>45357</v>
      </c>
      <c r="B325" s="12" t="s">
        <v>50</v>
      </c>
      <c r="C325" s="12" t="s">
        <v>50</v>
      </c>
      <c r="D325" s="13" t="str">
        <f>HYPERLINK("https://www.marklines.com/en/global/9895","Tesla Gigafactory Berlin-Brandenburg")</f>
        <v>Tesla Gigafactory Berlin-Brandenburg</v>
      </c>
      <c r="E325" s="12" t="s">
        <v>474</v>
      </c>
      <c r="F325" s="12" t="s">
        <v>16</v>
      </c>
      <c r="G325" s="12" t="s">
        <v>208</v>
      </c>
      <c r="H325" s="12"/>
      <c r="I325" s="14">
        <v>45356</v>
      </c>
      <c r="J325" s="12" t="s">
        <v>1341</v>
      </c>
    </row>
    <row r="326" spans="1:10" s="15" customFormat="1" x14ac:dyDescent="0.15">
      <c r="A326" s="11">
        <v>45357</v>
      </c>
      <c r="B326" s="12" t="s">
        <v>12</v>
      </c>
      <c r="C326" s="12" t="s">
        <v>12</v>
      </c>
      <c r="D326" s="13" t="str">
        <f>HYPERLINK("https://www.marklines.com/en/global/1925","Barcelona Decarbonisation Hub (D-HUB) (former Nissan Motor Iberica, Barcelona Plant)")</f>
        <v>Barcelona Decarbonisation Hub (D-HUB) (former Nissan Motor Iberica, Barcelona Plant)</v>
      </c>
      <c r="E326" s="12" t="s">
        <v>1342</v>
      </c>
      <c r="F326" s="12" t="s">
        <v>16</v>
      </c>
      <c r="G326" s="12" t="s">
        <v>42</v>
      </c>
      <c r="H326" s="12"/>
      <c r="I326" s="14">
        <v>45356</v>
      </c>
      <c r="J326" s="12" t="s">
        <v>1343</v>
      </c>
    </row>
    <row r="327" spans="1:10" s="15" customFormat="1" x14ac:dyDescent="0.15">
      <c r="A327" s="11">
        <v>45357</v>
      </c>
      <c r="B327" s="12" t="s">
        <v>371</v>
      </c>
      <c r="C327" s="12" t="s">
        <v>375</v>
      </c>
      <c r="D327" s="13" t="str">
        <f>HYPERLINK("https://www.marklines.com/en/global/2675","Stellantis, FCA Canada, Windsor Assembly Plant")</f>
        <v>Stellantis, FCA Canada, Windsor Assembly Plant</v>
      </c>
      <c r="E327" s="12" t="s">
        <v>1344</v>
      </c>
      <c r="F327" s="12" t="s">
        <v>15</v>
      </c>
      <c r="G327" s="12" t="s">
        <v>260</v>
      </c>
      <c r="H327" s="12"/>
      <c r="I327" s="14">
        <v>45356</v>
      </c>
      <c r="J327" s="12" t="s">
        <v>1345</v>
      </c>
    </row>
    <row r="328" spans="1:10" s="15" customFormat="1" x14ac:dyDescent="0.15">
      <c r="A328" s="11">
        <v>45357</v>
      </c>
      <c r="B328" s="12" t="s">
        <v>21</v>
      </c>
      <c r="C328" s="12" t="s">
        <v>21</v>
      </c>
      <c r="D328" s="13" t="str">
        <f>HYPERLINK("https://www.marklines.com/en/global/2599","Ford Motor, Kansas City Assembly Plant")</f>
        <v>Ford Motor, Kansas City Assembly Plant</v>
      </c>
      <c r="E328" s="12" t="s">
        <v>982</v>
      </c>
      <c r="F328" s="12" t="s">
        <v>15</v>
      </c>
      <c r="G328" s="12" t="s">
        <v>11</v>
      </c>
      <c r="H328" s="12" t="s">
        <v>983</v>
      </c>
      <c r="I328" s="14">
        <v>45356</v>
      </c>
      <c r="J328" s="12" t="s">
        <v>1346</v>
      </c>
    </row>
    <row r="329" spans="1:10" s="15" customFormat="1" x14ac:dyDescent="0.15">
      <c r="A329" s="11">
        <v>45357</v>
      </c>
      <c r="B329" s="12" t="s">
        <v>27</v>
      </c>
      <c r="C329" s="12" t="s">
        <v>27</v>
      </c>
      <c r="D329" s="13" t="str">
        <f>HYPERLINK("https://www.marklines.com/en/global/1973","BMW Manufacturing Thailand, Rayong Plant")</f>
        <v>BMW Manufacturing Thailand, Rayong Plant</v>
      </c>
      <c r="E329" s="12" t="s">
        <v>1347</v>
      </c>
      <c r="F329" s="12" t="s">
        <v>29</v>
      </c>
      <c r="G329" s="12" t="s">
        <v>301</v>
      </c>
      <c r="H329" s="12" t="s">
        <v>422</v>
      </c>
      <c r="I329" s="14">
        <v>45355</v>
      </c>
      <c r="J329" s="12" t="s">
        <v>1348</v>
      </c>
    </row>
    <row r="330" spans="1:10" s="15" customFormat="1" x14ac:dyDescent="0.15">
      <c r="A330" s="11">
        <v>45357</v>
      </c>
      <c r="B330" s="12" t="s">
        <v>51</v>
      </c>
      <c r="C330" s="12" t="s">
        <v>51</v>
      </c>
      <c r="D330" s="13" t="str">
        <f>HYPERLINK("https://www.marklines.com/en/global/9503","Shanghai NIO Automobile Co., Ltd.")</f>
        <v>Shanghai NIO Automobile Co., Ltd.</v>
      </c>
      <c r="E330" s="12" t="s">
        <v>83</v>
      </c>
      <c r="F330" s="12" t="s">
        <v>18</v>
      </c>
      <c r="G330" s="12" t="s">
        <v>24</v>
      </c>
      <c r="H330" s="12" t="s">
        <v>56</v>
      </c>
      <c r="I330" s="14">
        <v>45354</v>
      </c>
      <c r="J330" s="12" t="s">
        <v>1349</v>
      </c>
    </row>
    <row r="331" spans="1:10" s="15" customFormat="1" x14ac:dyDescent="0.15">
      <c r="A331" s="11">
        <v>45357</v>
      </c>
      <c r="B331" s="12" t="s">
        <v>448</v>
      </c>
      <c r="C331" s="12" t="s">
        <v>448</v>
      </c>
      <c r="D331" s="13" t="str">
        <f>HYPERLINK("https://www.marklines.com/en/global/9553","Leapmotor Co., Ltd. ")</f>
        <v xml:space="preserve">Leapmotor Co., Ltd. </v>
      </c>
      <c r="E331" s="12" t="s">
        <v>449</v>
      </c>
      <c r="F331" s="12" t="s">
        <v>18</v>
      </c>
      <c r="G331" s="12" t="s">
        <v>24</v>
      </c>
      <c r="H331" s="12" t="s">
        <v>61</v>
      </c>
      <c r="I331" s="14">
        <v>45353</v>
      </c>
      <c r="J331" s="12" t="s">
        <v>1350</v>
      </c>
    </row>
    <row r="332" spans="1:10" s="15" customFormat="1" x14ac:dyDescent="0.15">
      <c r="A332" s="11">
        <v>45357</v>
      </c>
      <c r="B332" s="12" t="s">
        <v>1308</v>
      </c>
      <c r="C332" s="12" t="s">
        <v>1308</v>
      </c>
      <c r="D332" s="13" t="str">
        <f>HYPERLINK("https://www.marklines.com/en/global/3095","Karma Innovation and Customization Center (KICC) ")</f>
        <v xml:space="preserve">Karma Innovation and Customization Center (KICC) </v>
      </c>
      <c r="E332" s="12" t="s">
        <v>1309</v>
      </c>
      <c r="F332" s="12" t="s">
        <v>15</v>
      </c>
      <c r="G332" s="12" t="s">
        <v>11</v>
      </c>
      <c r="H332" s="12" t="s">
        <v>49</v>
      </c>
      <c r="I332" s="14">
        <v>45353</v>
      </c>
      <c r="J332" s="12" t="s">
        <v>1351</v>
      </c>
    </row>
    <row r="333" spans="1:10" s="15" customFormat="1" x14ac:dyDescent="0.15">
      <c r="A333" s="11">
        <v>45357</v>
      </c>
      <c r="B333" s="12" t="s">
        <v>1269</v>
      </c>
      <c r="C333" s="12" t="s">
        <v>1269</v>
      </c>
      <c r="D333" s="13" t="str">
        <f>HYPERLINK("https://www.marklines.com/en/global/3433","Beijing Li Auto Co., Ltd. (formerly Beijing Hyundai Motor Co., Ltd., First Plant)")</f>
        <v>Beijing Li Auto Co., Ltd. (formerly Beijing Hyundai Motor Co., Ltd., First Plant)</v>
      </c>
      <c r="E333" s="12" t="s">
        <v>1270</v>
      </c>
      <c r="F333" s="12" t="s">
        <v>18</v>
      </c>
      <c r="G333" s="12" t="s">
        <v>24</v>
      </c>
      <c r="H333" s="12" t="s">
        <v>71</v>
      </c>
      <c r="I333" s="14">
        <v>45352</v>
      </c>
      <c r="J333" s="12" t="s">
        <v>1352</v>
      </c>
    </row>
    <row r="334" spans="1:10" s="15" customFormat="1" x14ac:dyDescent="0.15">
      <c r="A334" s="11">
        <v>45357</v>
      </c>
      <c r="B334" s="12" t="s">
        <v>248</v>
      </c>
      <c r="C334" s="12" t="s">
        <v>1353</v>
      </c>
      <c r="D334" s="13" t="str">
        <f>HYPERLINK("https://www.marklines.com/en/global/10383","Zhiji Motor Technology Co., Ltd.")</f>
        <v>Zhiji Motor Technology Co., Ltd.</v>
      </c>
      <c r="E334" s="12" t="s">
        <v>1354</v>
      </c>
      <c r="F334" s="12" t="s">
        <v>18</v>
      </c>
      <c r="G334" s="12" t="s">
        <v>24</v>
      </c>
      <c r="H334" s="12" t="s">
        <v>56</v>
      </c>
      <c r="I334" s="14">
        <v>45352</v>
      </c>
      <c r="J334" s="12" t="s">
        <v>1355</v>
      </c>
    </row>
    <row r="335" spans="1:10" s="15" customFormat="1" x14ac:dyDescent="0.15">
      <c r="A335" s="11">
        <v>45357</v>
      </c>
      <c r="B335" s="12" t="s">
        <v>72</v>
      </c>
      <c r="C335" s="12" t="s">
        <v>72</v>
      </c>
      <c r="D335" s="13" t="str">
        <f>HYPERLINK("https://www.marklines.com/en/global/3539","Hebei Changan Automobile Co., Ltd. ")</f>
        <v xml:space="preserve">Hebei Changan Automobile Co., Ltd. </v>
      </c>
      <c r="E335" s="12" t="s">
        <v>1356</v>
      </c>
      <c r="F335" s="12" t="s">
        <v>18</v>
      </c>
      <c r="G335" s="12" t="s">
        <v>24</v>
      </c>
      <c r="H335" s="12" t="s">
        <v>443</v>
      </c>
      <c r="I335" s="14">
        <v>45352</v>
      </c>
      <c r="J335" s="12" t="s">
        <v>1357</v>
      </c>
    </row>
    <row r="336" spans="1:10" s="15" customFormat="1" x14ac:dyDescent="0.15">
      <c r="A336" s="11">
        <v>45357</v>
      </c>
      <c r="B336" s="12" t="s">
        <v>346</v>
      </c>
      <c r="C336" s="12" t="s">
        <v>346</v>
      </c>
      <c r="D336" s="13" t="str">
        <f>HYPERLINK("https://www.marklines.com/en/global/3187","Nissan North America, Canton Plant")</f>
        <v>Nissan North America, Canton Plant</v>
      </c>
      <c r="E336" s="12" t="s">
        <v>451</v>
      </c>
      <c r="F336" s="12" t="s">
        <v>15</v>
      </c>
      <c r="G336" s="12" t="s">
        <v>11</v>
      </c>
      <c r="H336" s="12" t="s">
        <v>452</v>
      </c>
      <c r="I336" s="14">
        <v>45352</v>
      </c>
      <c r="J336" s="12" t="s">
        <v>1358</v>
      </c>
    </row>
    <row r="337" spans="1:10" s="15" customFormat="1" x14ac:dyDescent="0.15">
      <c r="A337" s="11">
        <v>45357</v>
      </c>
      <c r="B337" s="12" t="s">
        <v>346</v>
      </c>
      <c r="C337" s="12" t="s">
        <v>346</v>
      </c>
      <c r="D337" s="13" t="str">
        <f>HYPERLINK("https://www.marklines.com/en/global/3189","Nissan North America, Smyrna Plant")</f>
        <v>Nissan North America, Smyrna Plant</v>
      </c>
      <c r="E337" s="12" t="s">
        <v>347</v>
      </c>
      <c r="F337" s="12" t="s">
        <v>15</v>
      </c>
      <c r="G337" s="12" t="s">
        <v>11</v>
      </c>
      <c r="H337" s="12" t="s">
        <v>348</v>
      </c>
      <c r="I337" s="14">
        <v>45352</v>
      </c>
      <c r="J337" s="12" t="s">
        <v>1358</v>
      </c>
    </row>
    <row r="338" spans="1:10" s="15" customFormat="1" x14ac:dyDescent="0.15">
      <c r="A338" s="11">
        <v>45357</v>
      </c>
      <c r="B338" s="12" t="s">
        <v>68</v>
      </c>
      <c r="C338" s="12" t="s">
        <v>566</v>
      </c>
      <c r="D338" s="13" t="str">
        <f>HYPERLINK("https://www.marklines.com/en/global/9390","Chery New Energy Automobile Co., Ltd. (Formerly Chery New Energy Technology Automotive Co., Ltd.)")</f>
        <v>Chery New Energy Automobile Co., Ltd. (Formerly Chery New Energy Technology Automotive Co., Ltd.)</v>
      </c>
      <c r="E338" s="12" t="s">
        <v>562</v>
      </c>
      <c r="F338" s="12" t="s">
        <v>18</v>
      </c>
      <c r="G338" s="12" t="s">
        <v>24</v>
      </c>
      <c r="H338" s="12" t="s">
        <v>55</v>
      </c>
      <c r="I338" s="14">
        <v>45350</v>
      </c>
      <c r="J338" s="12" t="s">
        <v>1359</v>
      </c>
    </row>
    <row r="339" spans="1:10" s="15" customFormat="1" x14ac:dyDescent="0.15">
      <c r="A339" s="11">
        <v>45356</v>
      </c>
      <c r="B339" s="12" t="s">
        <v>50</v>
      </c>
      <c r="C339" s="12" t="s">
        <v>50</v>
      </c>
      <c r="D339" s="13" t="str">
        <f>HYPERLINK("https://www.marklines.com/en/global/9895","Tesla Gigafactory Berlin-Brandenburg")</f>
        <v>Tesla Gigafactory Berlin-Brandenburg</v>
      </c>
      <c r="E339" s="12" t="s">
        <v>474</v>
      </c>
      <c r="F339" s="12" t="s">
        <v>16</v>
      </c>
      <c r="G339" s="12" t="s">
        <v>208</v>
      </c>
      <c r="H339" s="12"/>
      <c r="I339" s="14">
        <v>45356</v>
      </c>
      <c r="J339" s="12" t="s">
        <v>1360</v>
      </c>
    </row>
    <row r="340" spans="1:10" s="15" customFormat="1" x14ac:dyDescent="0.15">
      <c r="A340" s="11">
        <v>45356</v>
      </c>
      <c r="B340" s="12" t="s">
        <v>454</v>
      </c>
      <c r="C340" s="12" t="s">
        <v>455</v>
      </c>
      <c r="D340" s="13" t="str">
        <f>HYPERLINK("https://www.marklines.com/en/global/10418","YASA Ltd. (formerly YASA Motors Ltd.)")</f>
        <v>YASA Ltd. (formerly YASA Motors Ltd.)</v>
      </c>
      <c r="E340" s="12" t="s">
        <v>1361</v>
      </c>
      <c r="F340" s="12" t="s">
        <v>16</v>
      </c>
      <c r="G340" s="12" t="s">
        <v>233</v>
      </c>
      <c r="H340" s="12"/>
      <c r="I340" s="14">
        <v>45355</v>
      </c>
      <c r="J340" s="12" t="s">
        <v>1362</v>
      </c>
    </row>
    <row r="341" spans="1:10" s="15" customFormat="1" x14ac:dyDescent="0.15">
      <c r="A341" s="11">
        <v>45356</v>
      </c>
      <c r="B341" s="12" t="s">
        <v>346</v>
      </c>
      <c r="C341" s="12" t="s">
        <v>346</v>
      </c>
      <c r="D341" s="13" t="str">
        <f>HYPERLINK("https://www.marklines.com/en/global/10054","Nissan Technical Centre Europe (NTCE) (Cranfield)")</f>
        <v>Nissan Technical Centre Europe (NTCE) (Cranfield)</v>
      </c>
      <c r="E341" s="12" t="s">
        <v>1363</v>
      </c>
      <c r="F341" s="12" t="s">
        <v>16</v>
      </c>
      <c r="G341" s="12" t="s">
        <v>233</v>
      </c>
      <c r="H341" s="12"/>
      <c r="I341" s="14">
        <v>45355</v>
      </c>
      <c r="J341" s="12" t="s">
        <v>1364</v>
      </c>
    </row>
    <row r="342" spans="1:10" s="15" customFormat="1" x14ac:dyDescent="0.15">
      <c r="A342" s="11">
        <v>45356</v>
      </c>
      <c r="B342" s="12" t="s">
        <v>346</v>
      </c>
      <c r="C342" s="12" t="s">
        <v>346</v>
      </c>
      <c r="D342" s="13" t="str">
        <f>HYPERLINK("https://www.marklines.com/en/global/10401","AESC UK Ltd., Sunderland Plant (formerly Envision AESC UK Ltd.)")</f>
        <v>AESC UK Ltd., Sunderland Plant (formerly Envision AESC UK Ltd.)</v>
      </c>
      <c r="E342" s="12" t="s">
        <v>965</v>
      </c>
      <c r="F342" s="12" t="s">
        <v>16</v>
      </c>
      <c r="G342" s="12" t="s">
        <v>233</v>
      </c>
      <c r="H342" s="12"/>
      <c r="I342" s="14">
        <v>45355</v>
      </c>
      <c r="J342" s="12" t="s">
        <v>1364</v>
      </c>
    </row>
    <row r="343" spans="1:10" s="15" customFormat="1" x14ac:dyDescent="0.15">
      <c r="A343" s="11">
        <v>45356</v>
      </c>
      <c r="B343" s="12" t="s">
        <v>346</v>
      </c>
      <c r="C343" s="12" t="s">
        <v>346</v>
      </c>
      <c r="D343" s="13" t="str">
        <f>HYPERLINK("https://www.marklines.com/en/global/10818","AESC UK Ltd., Sunderland second plant")</f>
        <v>AESC UK Ltd., Sunderland second plant</v>
      </c>
      <c r="E343" s="12" t="s">
        <v>1365</v>
      </c>
      <c r="F343" s="12" t="s">
        <v>16</v>
      </c>
      <c r="G343" s="12" t="s">
        <v>233</v>
      </c>
      <c r="H343" s="12"/>
      <c r="I343" s="14">
        <v>45355</v>
      </c>
      <c r="J343" s="12" t="s">
        <v>1364</v>
      </c>
    </row>
    <row r="344" spans="1:10" s="15" customFormat="1" x14ac:dyDescent="0.15">
      <c r="A344" s="11">
        <v>45356</v>
      </c>
      <c r="B344" s="12" t="s">
        <v>462</v>
      </c>
      <c r="C344" s="12" t="s">
        <v>1366</v>
      </c>
      <c r="D344" s="13" t="str">
        <f>HYPERLINK("https://www.marklines.com/en/global/2327","Jaguar Cars Ltd.")</f>
        <v>Jaguar Cars Ltd.</v>
      </c>
      <c r="E344" s="12" t="s">
        <v>1367</v>
      </c>
      <c r="F344" s="12" t="s">
        <v>16</v>
      </c>
      <c r="G344" s="12" t="s">
        <v>233</v>
      </c>
      <c r="H344" s="12"/>
      <c r="I344" s="14">
        <v>45353</v>
      </c>
      <c r="J344" s="12" t="s">
        <v>1368</v>
      </c>
    </row>
    <row r="345" spans="1:10" s="15" customFormat="1" x14ac:dyDescent="0.15">
      <c r="A345" s="11">
        <v>45356</v>
      </c>
      <c r="B345" s="12" t="s">
        <v>462</v>
      </c>
      <c r="C345" s="12" t="s">
        <v>1366</v>
      </c>
      <c r="D345" s="13" t="str">
        <f>HYPERLINK("https://www.marklines.com/en/global/2333","Jaguar Land Rover, Castle Bromwich Plant")</f>
        <v>Jaguar Land Rover, Castle Bromwich Plant</v>
      </c>
      <c r="E345" s="12" t="s">
        <v>1369</v>
      </c>
      <c r="F345" s="12" t="s">
        <v>16</v>
      </c>
      <c r="G345" s="12" t="s">
        <v>233</v>
      </c>
      <c r="H345" s="12"/>
      <c r="I345" s="14">
        <v>45353</v>
      </c>
      <c r="J345" s="12" t="s">
        <v>1368</v>
      </c>
    </row>
    <row r="346" spans="1:10" s="15" customFormat="1" x14ac:dyDescent="0.15">
      <c r="A346" s="11">
        <v>45356</v>
      </c>
      <c r="B346" s="12" t="s">
        <v>462</v>
      </c>
      <c r="C346" s="12" t="s">
        <v>1366</v>
      </c>
      <c r="D346" s="13" t="str">
        <f>HYPERLINK("https://www.marklines.com/en/global/1809","Magna Steyr Fahrzeugtechnik AG &amp; Co KG, Graz Plant")</f>
        <v>Magna Steyr Fahrzeugtechnik AG &amp; Co KG, Graz Plant</v>
      </c>
      <c r="E346" s="12" t="s">
        <v>675</v>
      </c>
      <c r="F346" s="12" t="s">
        <v>16</v>
      </c>
      <c r="G346" s="12" t="s">
        <v>637</v>
      </c>
      <c r="H346" s="12"/>
      <c r="I346" s="14">
        <v>45353</v>
      </c>
      <c r="J346" s="12" t="s">
        <v>1368</v>
      </c>
    </row>
    <row r="347" spans="1:10" s="15" customFormat="1" x14ac:dyDescent="0.15">
      <c r="A347" s="11">
        <v>45356</v>
      </c>
      <c r="B347" s="12" t="s">
        <v>19</v>
      </c>
      <c r="C347" s="12" t="s">
        <v>19</v>
      </c>
      <c r="D347" s="13" t="str">
        <f>HYPERLINK("https://www.marklines.com/en/global/4215","FAW Toyota Motor (Chengdu) Co., Ltd. (formerly Sichuan FAW Toyota Motor Co., Ltd.)")</f>
        <v>FAW Toyota Motor (Chengdu) Co., Ltd. (formerly Sichuan FAW Toyota Motor Co., Ltd.)</v>
      </c>
      <c r="E347" s="12" t="s">
        <v>1370</v>
      </c>
      <c r="F347" s="12" t="s">
        <v>18</v>
      </c>
      <c r="G347" s="12" t="s">
        <v>24</v>
      </c>
      <c r="H347" s="12" t="s">
        <v>330</v>
      </c>
      <c r="I347" s="14">
        <v>45351</v>
      </c>
      <c r="J347" s="12" t="s">
        <v>1371</v>
      </c>
    </row>
    <row r="348" spans="1:10" s="15" customFormat="1" x14ac:dyDescent="0.15">
      <c r="A348" s="11">
        <v>45356</v>
      </c>
      <c r="B348" s="12" t="s">
        <v>30</v>
      </c>
      <c r="C348" s="12" t="s">
        <v>30</v>
      </c>
      <c r="D348" s="13" t="str">
        <f>HYPERLINK("https://www.marklines.com/en/global/3533","Great Wall Motor Company Limited (GWM)")</f>
        <v>Great Wall Motor Company Limited (GWM)</v>
      </c>
      <c r="E348" s="12" t="s">
        <v>442</v>
      </c>
      <c r="F348" s="12" t="s">
        <v>18</v>
      </c>
      <c r="G348" s="12" t="s">
        <v>24</v>
      </c>
      <c r="H348" s="12" t="s">
        <v>443</v>
      </c>
      <c r="I348" s="14">
        <v>45350</v>
      </c>
      <c r="J348" s="12" t="s">
        <v>1372</v>
      </c>
    </row>
    <row r="349" spans="1:10" s="15" customFormat="1" x14ac:dyDescent="0.15">
      <c r="A349" s="11">
        <v>45355</v>
      </c>
      <c r="B349" s="12" t="s">
        <v>36</v>
      </c>
      <c r="C349" s="12" t="s">
        <v>38</v>
      </c>
      <c r="D349" s="13" t="str">
        <f>HYPERLINK("https://www.marklines.com/en/global/1337","Stellantis, Fiat Powertrain Technologies, Mirafiori (Turin) Plant")</f>
        <v>Stellantis, Fiat Powertrain Technologies, Mirafiori (Turin) Plant</v>
      </c>
      <c r="E349" s="12" t="s">
        <v>1028</v>
      </c>
      <c r="F349" s="12" t="s">
        <v>16</v>
      </c>
      <c r="G349" s="12" t="s">
        <v>37</v>
      </c>
      <c r="H349" s="12"/>
      <c r="I349" s="14">
        <v>45352</v>
      </c>
      <c r="J349" s="12" t="s">
        <v>1373</v>
      </c>
    </row>
    <row r="350" spans="1:10" s="15" customFormat="1" x14ac:dyDescent="0.15">
      <c r="A350" s="11">
        <v>45355</v>
      </c>
      <c r="B350" s="12" t="s">
        <v>36</v>
      </c>
      <c r="C350" s="12" t="s">
        <v>38</v>
      </c>
      <c r="D350" s="13" t="str">
        <f>HYPERLINK("https://www.marklines.com/en/global/1327","Stellantis, FCA Italy, Mirafiori (Turin) Plant")</f>
        <v>Stellantis, FCA Italy, Mirafiori (Turin) Plant</v>
      </c>
      <c r="E350" s="12" t="s">
        <v>82</v>
      </c>
      <c r="F350" s="12" t="s">
        <v>16</v>
      </c>
      <c r="G350" s="12" t="s">
        <v>37</v>
      </c>
      <c r="H350" s="12"/>
      <c r="I350" s="14">
        <v>45352</v>
      </c>
      <c r="J350" s="12" t="s">
        <v>1373</v>
      </c>
    </row>
    <row r="351" spans="1:10" s="15" customFormat="1" x14ac:dyDescent="0.15">
      <c r="A351" s="11">
        <v>45355</v>
      </c>
      <c r="B351" s="12" t="s">
        <v>36</v>
      </c>
      <c r="C351" s="12" t="s">
        <v>81</v>
      </c>
      <c r="D351" s="13" t="str">
        <f>HYPERLINK("https://www.marklines.com/en/global/1327","Stellantis, FCA Italy, Mirafiori (Turin) Plant")</f>
        <v>Stellantis, FCA Italy, Mirafiori (Turin) Plant</v>
      </c>
      <c r="E351" s="12" t="s">
        <v>82</v>
      </c>
      <c r="F351" s="12" t="s">
        <v>16</v>
      </c>
      <c r="G351" s="12" t="s">
        <v>37</v>
      </c>
      <c r="H351" s="12"/>
      <c r="I351" s="14">
        <v>45352</v>
      </c>
      <c r="J351" s="12" t="s">
        <v>1373</v>
      </c>
    </row>
    <row r="352" spans="1:10" s="15" customFormat="1" x14ac:dyDescent="0.15">
      <c r="A352" s="11">
        <v>45355</v>
      </c>
      <c r="B352" s="12" t="s">
        <v>27</v>
      </c>
      <c r="C352" s="12" t="s">
        <v>27</v>
      </c>
      <c r="D352" s="13" t="str">
        <f>HYPERLINK("https://www.marklines.com/en/global/2207","BMW AG, Dingolfing Plant")</f>
        <v>BMW AG, Dingolfing Plant</v>
      </c>
      <c r="E352" s="12" t="s">
        <v>882</v>
      </c>
      <c r="F352" s="12" t="s">
        <v>16</v>
      </c>
      <c r="G352" s="12" t="s">
        <v>208</v>
      </c>
      <c r="H352" s="12"/>
      <c r="I352" s="14">
        <v>45352</v>
      </c>
      <c r="J352" s="12" t="s">
        <v>1374</v>
      </c>
    </row>
    <row r="353" spans="1:10" s="15" customFormat="1" x14ac:dyDescent="0.15">
      <c r="A353" s="11">
        <v>45355</v>
      </c>
      <c r="B353" s="12" t="s">
        <v>27</v>
      </c>
      <c r="C353" s="12" t="s">
        <v>968</v>
      </c>
      <c r="D353" s="13" t="str">
        <f>HYPERLINK("https://www.marklines.com/en/global/2215","BMW AG, Leipzig Plant")</f>
        <v>BMW AG, Leipzig Plant</v>
      </c>
      <c r="E353" s="12" t="s">
        <v>1375</v>
      </c>
      <c r="F353" s="12" t="s">
        <v>16</v>
      </c>
      <c r="G353" s="12" t="s">
        <v>208</v>
      </c>
      <c r="H353" s="12"/>
      <c r="I353" s="14">
        <v>45352</v>
      </c>
      <c r="J353" s="12" t="s">
        <v>1376</v>
      </c>
    </row>
    <row r="354" spans="1:10" s="15" customFormat="1" x14ac:dyDescent="0.15">
      <c r="A354" s="11">
        <v>45355</v>
      </c>
      <c r="B354" s="12" t="s">
        <v>27</v>
      </c>
      <c r="C354" s="12" t="s">
        <v>968</v>
      </c>
      <c r="D354" s="13" t="str">
        <f>HYPERLINK("https://www.marklines.com/en/global/2215","BMW AG, Leipzig Plant")</f>
        <v>BMW AG, Leipzig Plant</v>
      </c>
      <c r="E354" s="12" t="s">
        <v>1375</v>
      </c>
      <c r="F354" s="12" t="s">
        <v>16</v>
      </c>
      <c r="G354" s="12" t="s">
        <v>208</v>
      </c>
      <c r="H354" s="12"/>
      <c r="I354" s="14">
        <v>45352</v>
      </c>
      <c r="J354" s="12" t="s">
        <v>1377</v>
      </c>
    </row>
    <row r="355" spans="1:10" s="15" customFormat="1" x14ac:dyDescent="0.15">
      <c r="A355" s="11">
        <v>45355</v>
      </c>
      <c r="B355" s="12" t="s">
        <v>281</v>
      </c>
      <c r="C355" s="12" t="s">
        <v>281</v>
      </c>
      <c r="D355" s="13" t="str">
        <f>HYPERLINK("https://www.marklines.com/en/global/2013","Isuzu Motors Company (Thailand) Ltd.")</f>
        <v>Isuzu Motors Company (Thailand) Ltd.</v>
      </c>
      <c r="E355" s="12" t="s">
        <v>1378</v>
      </c>
      <c r="F355" s="12" t="s">
        <v>29</v>
      </c>
      <c r="G355" s="12" t="s">
        <v>301</v>
      </c>
      <c r="H355" s="12" t="s">
        <v>690</v>
      </c>
      <c r="I355" s="14">
        <v>45352</v>
      </c>
      <c r="J355" s="12" t="s">
        <v>1379</v>
      </c>
    </row>
    <row r="356" spans="1:10" s="15" customFormat="1" x14ac:dyDescent="0.15">
      <c r="A356" s="11">
        <v>45355</v>
      </c>
      <c r="B356" s="12" t="s">
        <v>281</v>
      </c>
      <c r="C356" s="12" t="s">
        <v>281</v>
      </c>
      <c r="D356" s="13" t="str">
        <f>HYPERLINK("https://www.marklines.com/en/global/2015","Isuzu Motors Company (Thailand), Samutprakan (Samrong) Plant")</f>
        <v>Isuzu Motors Company (Thailand), Samutprakan (Samrong) Plant</v>
      </c>
      <c r="E356" s="12" t="s">
        <v>1380</v>
      </c>
      <c r="F356" s="12" t="s">
        <v>29</v>
      </c>
      <c r="G356" s="12" t="s">
        <v>301</v>
      </c>
      <c r="H356" s="12" t="s">
        <v>690</v>
      </c>
      <c r="I356" s="14">
        <v>45352</v>
      </c>
      <c r="J356" s="12" t="s">
        <v>1379</v>
      </c>
    </row>
    <row r="357" spans="1:10" s="15" customFormat="1" x14ac:dyDescent="0.15">
      <c r="A357" s="11">
        <v>45355</v>
      </c>
      <c r="B357" s="12" t="s">
        <v>281</v>
      </c>
      <c r="C357" s="12" t="s">
        <v>281</v>
      </c>
      <c r="D357" s="13" t="str">
        <f>HYPERLINK("https://www.marklines.com/en/global/2017","Isuzu Motors Company (Thailand), Chachoengsao (Gateway) Plant")</f>
        <v>Isuzu Motors Company (Thailand), Chachoengsao (Gateway) Plant</v>
      </c>
      <c r="E357" s="12" t="s">
        <v>1381</v>
      </c>
      <c r="F357" s="12" t="s">
        <v>29</v>
      </c>
      <c r="G357" s="12" t="s">
        <v>301</v>
      </c>
      <c r="H357" s="12" t="s">
        <v>695</v>
      </c>
      <c r="I357" s="14">
        <v>45352</v>
      </c>
      <c r="J357" s="12" t="s">
        <v>1379</v>
      </c>
    </row>
    <row r="358" spans="1:10" s="15" customFormat="1" x14ac:dyDescent="0.15">
      <c r="A358" s="11">
        <v>45355</v>
      </c>
      <c r="B358" s="12" t="s">
        <v>462</v>
      </c>
      <c r="C358" s="12" t="s">
        <v>1366</v>
      </c>
      <c r="D358" s="13" t="str">
        <f>HYPERLINK("https://www.marklines.com/en/global/8598","Jaguar Land Rover, Electric Propulsion Manufacturing Centre (formerly Engine Manufacturing Centre (EMC))")</f>
        <v>Jaguar Land Rover, Electric Propulsion Manufacturing Centre (formerly Engine Manufacturing Centre (EMC))</v>
      </c>
      <c r="E358" s="12" t="s">
        <v>1382</v>
      </c>
      <c r="F358" s="12" t="s">
        <v>16</v>
      </c>
      <c r="G358" s="12" t="s">
        <v>233</v>
      </c>
      <c r="H358" s="12"/>
      <c r="I358" s="14">
        <v>45352</v>
      </c>
      <c r="J358" s="12" t="s">
        <v>1383</v>
      </c>
    </row>
    <row r="359" spans="1:10" s="15" customFormat="1" x14ac:dyDescent="0.15">
      <c r="A359" s="11">
        <v>45355</v>
      </c>
      <c r="B359" s="12" t="s">
        <v>462</v>
      </c>
      <c r="C359" s="12" t="s">
        <v>1366</v>
      </c>
      <c r="D359" s="13" t="str">
        <f>HYPERLINK("https://www.marklines.com/en/global/2325","Jaguar Land Rover Automotive Plc")</f>
        <v>Jaguar Land Rover Automotive Plc</v>
      </c>
      <c r="E359" s="12" t="s">
        <v>1384</v>
      </c>
      <c r="F359" s="12" t="s">
        <v>16</v>
      </c>
      <c r="G359" s="12" t="s">
        <v>233</v>
      </c>
      <c r="H359" s="12"/>
      <c r="I359" s="14">
        <v>45352</v>
      </c>
      <c r="J359" s="12" t="s">
        <v>1383</v>
      </c>
    </row>
    <row r="360" spans="1:10" s="15" customFormat="1" x14ac:dyDescent="0.15">
      <c r="A360" s="11">
        <v>45355</v>
      </c>
      <c r="B360" s="12" t="s">
        <v>462</v>
      </c>
      <c r="C360" s="12" t="s">
        <v>1385</v>
      </c>
      <c r="D360" s="13" t="str">
        <f>HYPERLINK("https://www.marklines.com/en/global/2335","Jaguar Land Rover, Halewood Plant")</f>
        <v>Jaguar Land Rover, Halewood Plant</v>
      </c>
      <c r="E360" s="12" t="s">
        <v>1386</v>
      </c>
      <c r="F360" s="12" t="s">
        <v>16</v>
      </c>
      <c r="G360" s="12" t="s">
        <v>233</v>
      </c>
      <c r="H360" s="12"/>
      <c r="I360" s="14">
        <v>45352</v>
      </c>
      <c r="J360" s="12" t="s">
        <v>1383</v>
      </c>
    </row>
    <row r="361" spans="1:10" s="15" customFormat="1" x14ac:dyDescent="0.15">
      <c r="A361" s="11">
        <v>45355</v>
      </c>
      <c r="B361" s="12" t="s">
        <v>12</v>
      </c>
      <c r="C361" s="12" t="s">
        <v>12</v>
      </c>
      <c r="D361" s="13" t="str">
        <f>HYPERLINK("https://www.marklines.com/en/global/1815","Steyr Automotive GmbH, Steyr Plant (formerly MAN Truck &amp; Bus Oesterreich GmbH)")</f>
        <v>Steyr Automotive GmbH, Steyr Plant (formerly MAN Truck &amp; Bus Oesterreich GmbH)</v>
      </c>
      <c r="E361" s="12" t="s">
        <v>1387</v>
      </c>
      <c r="F361" s="12" t="s">
        <v>16</v>
      </c>
      <c r="G361" s="12" t="s">
        <v>637</v>
      </c>
      <c r="H361" s="12"/>
      <c r="I361" s="14">
        <v>45352</v>
      </c>
      <c r="J361" s="12" t="s">
        <v>1388</v>
      </c>
    </row>
    <row r="362" spans="1:10" s="15" customFormat="1" x14ac:dyDescent="0.15">
      <c r="A362" s="11">
        <v>45355</v>
      </c>
      <c r="B362" s="12" t="s">
        <v>346</v>
      </c>
      <c r="C362" s="12" t="s">
        <v>346</v>
      </c>
      <c r="D362" s="13" t="str">
        <f>HYPERLINK("https://www.marklines.com/en/global/2361","Nissan Motor Manufacturing UK (NMUK), Sunderland Plant")</f>
        <v>Nissan Motor Manufacturing UK (NMUK), Sunderland Plant</v>
      </c>
      <c r="E362" s="12" t="s">
        <v>1389</v>
      </c>
      <c r="F362" s="12" t="s">
        <v>16</v>
      </c>
      <c r="G362" s="12" t="s">
        <v>233</v>
      </c>
      <c r="H362" s="12"/>
      <c r="I362" s="14">
        <v>45352</v>
      </c>
      <c r="J362" s="12" t="s">
        <v>1390</v>
      </c>
    </row>
    <row r="363" spans="1:10" s="15" customFormat="1" x14ac:dyDescent="0.15">
      <c r="A363" s="11">
        <v>45355</v>
      </c>
      <c r="B363" s="12" t="s">
        <v>68</v>
      </c>
      <c r="C363" s="12" t="s">
        <v>563</v>
      </c>
      <c r="D363" s="13" t="str">
        <f>HYPERLINK("https://www.marklines.com/en/global/3969","Chery Commercial Vehicle (Anhui) Co., Ltd. Henan Branch (formerly Chery Automobile Henan Co., Ltd.)")</f>
        <v>Chery Commercial Vehicle (Anhui) Co., Ltd. Henan Branch (formerly Chery Automobile Henan Co., Ltd.)</v>
      </c>
      <c r="E363" s="12" t="s">
        <v>564</v>
      </c>
      <c r="F363" s="12" t="s">
        <v>18</v>
      </c>
      <c r="G363" s="12" t="s">
        <v>24</v>
      </c>
      <c r="H363" s="12" t="s">
        <v>401</v>
      </c>
      <c r="I363" s="14">
        <v>45351</v>
      </c>
      <c r="J363" s="12" t="s">
        <v>1391</v>
      </c>
    </row>
    <row r="364" spans="1:10" s="15" customFormat="1" x14ac:dyDescent="0.15">
      <c r="A364" s="11">
        <v>45355</v>
      </c>
      <c r="B364" s="12" t="s">
        <v>28</v>
      </c>
      <c r="C364" s="12" t="s">
        <v>35</v>
      </c>
      <c r="D364" s="13" t="str">
        <f>HYPERLINK("https://www.marklines.com/en/global/10714","Volkswagen (China) Technology Co., Ltd. (VCTC)")</f>
        <v>Volkswagen (China) Technology Co., Ltd. (VCTC)</v>
      </c>
      <c r="E364" s="12" t="s">
        <v>738</v>
      </c>
      <c r="F364" s="12" t="s">
        <v>18</v>
      </c>
      <c r="G364" s="12" t="s">
        <v>24</v>
      </c>
      <c r="H364" s="12" t="s">
        <v>55</v>
      </c>
      <c r="I364" s="14">
        <v>45351</v>
      </c>
      <c r="J364" s="12" t="s">
        <v>1392</v>
      </c>
    </row>
    <row r="365" spans="1:10" s="15" customFormat="1" x14ac:dyDescent="0.15">
      <c r="A365" s="11">
        <v>45355</v>
      </c>
      <c r="B365" s="12" t="s">
        <v>28</v>
      </c>
      <c r="C365" s="12" t="s">
        <v>35</v>
      </c>
      <c r="D365" s="13" t="str">
        <f>HYPERLINK("https://www.marklines.com/en/global/3481","Volkswagen (China) Investment Co., Ltd. ")</f>
        <v xml:space="preserve">Volkswagen (China) Investment Co., Ltd. </v>
      </c>
      <c r="E365" s="12" t="s">
        <v>739</v>
      </c>
      <c r="F365" s="12" t="s">
        <v>18</v>
      </c>
      <c r="G365" s="12" t="s">
        <v>24</v>
      </c>
      <c r="H365" s="12" t="s">
        <v>71</v>
      </c>
      <c r="I365" s="14">
        <v>45351</v>
      </c>
      <c r="J365" s="12" t="s">
        <v>1392</v>
      </c>
    </row>
    <row r="366" spans="1:10" s="15" customFormat="1" x14ac:dyDescent="0.15">
      <c r="A366" s="11">
        <v>45355</v>
      </c>
      <c r="B366" s="12" t="s">
        <v>84</v>
      </c>
      <c r="C366" s="12" t="s">
        <v>84</v>
      </c>
      <c r="D366" s="13" t="str">
        <f>HYPERLINK("https://www.marklines.com/en/global/9485","Guangzhou Xiaopeng Motors Technology Co., Ltd. ")</f>
        <v xml:space="preserve">Guangzhou Xiaopeng Motors Technology Co., Ltd. </v>
      </c>
      <c r="E366" s="12" t="s">
        <v>607</v>
      </c>
      <c r="F366" s="12" t="s">
        <v>18</v>
      </c>
      <c r="G366" s="12" t="s">
        <v>24</v>
      </c>
      <c r="H366" s="12" t="s">
        <v>63</v>
      </c>
      <c r="I366" s="14">
        <v>45351</v>
      </c>
      <c r="J366" s="12" t="s">
        <v>1392</v>
      </c>
    </row>
    <row r="367" spans="1:10" s="15" customFormat="1" x14ac:dyDescent="0.15">
      <c r="A367" s="11">
        <v>45355</v>
      </c>
      <c r="B367" s="12" t="s">
        <v>28</v>
      </c>
      <c r="C367" s="12" t="s">
        <v>35</v>
      </c>
      <c r="D367" s="13" t="str">
        <f>HYPERLINK("https://www.marklines.com/en/global/655","Volkswagen of South Africa (Pty) Ltd., Kariega Plant (formerly Uitenhage Plant)")</f>
        <v>Volkswagen of South Africa (Pty) Ltd., Kariega Plant (formerly Uitenhage Plant)</v>
      </c>
      <c r="E367" s="12" t="s">
        <v>859</v>
      </c>
      <c r="F367" s="12" t="s">
        <v>471</v>
      </c>
      <c r="G367" s="12" t="s">
        <v>693</v>
      </c>
      <c r="H367" s="12"/>
      <c r="I367" s="14">
        <v>45350</v>
      </c>
      <c r="J367" s="12" t="s">
        <v>1393</v>
      </c>
    </row>
    <row r="368" spans="1:10" s="15" customFormat="1" x14ac:dyDescent="0.15">
      <c r="A368" s="11">
        <v>45355</v>
      </c>
      <c r="B368" s="12" t="s">
        <v>448</v>
      </c>
      <c r="C368" s="12" t="s">
        <v>448</v>
      </c>
      <c r="D368" s="13" t="str">
        <f>HYPERLINK("https://www.marklines.com/en/global/9553","Leapmotor Co., Ltd. ")</f>
        <v xml:space="preserve">Leapmotor Co., Ltd. </v>
      </c>
      <c r="E368" s="12" t="s">
        <v>449</v>
      </c>
      <c r="F368" s="12" t="s">
        <v>18</v>
      </c>
      <c r="G368" s="12" t="s">
        <v>24</v>
      </c>
      <c r="H368" s="12" t="s">
        <v>61</v>
      </c>
      <c r="I368" s="14">
        <v>45350</v>
      </c>
      <c r="J368" s="12" t="s">
        <v>1394</v>
      </c>
    </row>
    <row r="369" spans="1:10" s="15" customFormat="1" x14ac:dyDescent="0.15">
      <c r="A369" s="11">
        <v>45355</v>
      </c>
      <c r="B369" s="12" t="s">
        <v>462</v>
      </c>
      <c r="C369" s="12" t="s">
        <v>463</v>
      </c>
      <c r="D369" s="13" t="str">
        <f>HYPERLINK("https://www.marklines.com/en/global/1156","Tata Passenger Electric Mobility Limited (TPEML), Sanand Plant (formerly Ford India, Sanand Plant)")</f>
        <v>Tata Passenger Electric Mobility Limited (TPEML), Sanand Plant (formerly Ford India, Sanand Plant)</v>
      </c>
      <c r="E369" s="12" t="s">
        <v>464</v>
      </c>
      <c r="F369" s="12" t="s">
        <v>22</v>
      </c>
      <c r="G369" s="12" t="s">
        <v>23</v>
      </c>
      <c r="H369" s="12" t="s">
        <v>212</v>
      </c>
      <c r="I369" s="14">
        <v>45330</v>
      </c>
      <c r="J369" s="12" t="s">
        <v>1395</v>
      </c>
    </row>
    <row r="370" spans="1:10" s="15" customFormat="1" x14ac:dyDescent="0.15">
      <c r="A370" s="11">
        <v>45353</v>
      </c>
      <c r="B370" s="12" t="s">
        <v>350</v>
      </c>
      <c r="C370" s="12" t="s">
        <v>350</v>
      </c>
      <c r="D370" s="13" t="str">
        <f>HYPERLINK("https://www.marklines.com/en/global/2523","General Motors, Spring Hill Manufacturing (formerly Spring Hill Assembly)")</f>
        <v>General Motors, Spring Hill Manufacturing (formerly Spring Hill Assembly)</v>
      </c>
      <c r="E370" s="12" t="s">
        <v>630</v>
      </c>
      <c r="F370" s="12" t="s">
        <v>15</v>
      </c>
      <c r="G370" s="12" t="s">
        <v>11</v>
      </c>
      <c r="H370" s="12" t="s">
        <v>348</v>
      </c>
      <c r="I370" s="14">
        <v>45352</v>
      </c>
      <c r="J370" s="12" t="s">
        <v>1396</v>
      </c>
    </row>
    <row r="371" spans="1:10" s="15" customFormat="1" x14ac:dyDescent="0.15">
      <c r="A371" s="11">
        <v>45353</v>
      </c>
      <c r="B371" s="12" t="s">
        <v>350</v>
      </c>
      <c r="C371" s="12" t="s">
        <v>350</v>
      </c>
      <c r="D371" s="13" t="str">
        <f>HYPERLINK("https://www.marklines.com/en/global/9976","Ultium Cells LLC, Warren Plant ")</f>
        <v xml:space="preserve">Ultium Cells LLC, Warren Plant </v>
      </c>
      <c r="E371" s="12" t="s">
        <v>939</v>
      </c>
      <c r="F371" s="12" t="s">
        <v>15</v>
      </c>
      <c r="G371" s="12" t="s">
        <v>11</v>
      </c>
      <c r="H371" s="12" t="s">
        <v>490</v>
      </c>
      <c r="I371" s="14">
        <v>45352</v>
      </c>
      <c r="J371" s="12" t="s">
        <v>1396</v>
      </c>
    </row>
    <row r="372" spans="1:10" s="15" customFormat="1" x14ac:dyDescent="0.15">
      <c r="A372" s="11">
        <v>45353</v>
      </c>
      <c r="B372" s="12" t="s">
        <v>350</v>
      </c>
      <c r="C372" s="12" t="s">
        <v>350</v>
      </c>
      <c r="D372" s="13" t="str">
        <f>HYPERLINK("https://www.marklines.com/en/global/2459","General Motors, Factory ZERO (Detroit-Hamtramck Plant) ")</f>
        <v xml:space="preserve">General Motors, Factory ZERO (Detroit-Hamtramck Plant) </v>
      </c>
      <c r="E372" s="12" t="s">
        <v>677</v>
      </c>
      <c r="F372" s="12" t="s">
        <v>15</v>
      </c>
      <c r="G372" s="12" t="s">
        <v>11</v>
      </c>
      <c r="H372" s="12" t="s">
        <v>505</v>
      </c>
      <c r="I372" s="14">
        <v>45352</v>
      </c>
      <c r="J372" s="12" t="s">
        <v>1396</v>
      </c>
    </row>
    <row r="373" spans="1:10" s="15" customFormat="1" x14ac:dyDescent="0.15">
      <c r="A373" s="11">
        <v>45353</v>
      </c>
      <c r="B373" s="12" t="s">
        <v>27</v>
      </c>
      <c r="C373" s="12" t="s">
        <v>27</v>
      </c>
      <c r="D373" s="13" t="str">
        <f>HYPERLINK("https://www.marklines.com/en/global/2209","BMW AG, Regensburg Plant")</f>
        <v>BMW AG, Regensburg Plant</v>
      </c>
      <c r="E373" s="12" t="s">
        <v>1397</v>
      </c>
      <c r="F373" s="12" t="s">
        <v>16</v>
      </c>
      <c r="G373" s="12" t="s">
        <v>208</v>
      </c>
      <c r="H373" s="12"/>
      <c r="I373" s="14">
        <v>45352</v>
      </c>
      <c r="J373" s="12" t="s">
        <v>1398</v>
      </c>
    </row>
    <row r="374" spans="1:10" s="15" customFormat="1" x14ac:dyDescent="0.15">
      <c r="A374" s="11">
        <v>45353</v>
      </c>
      <c r="B374" s="12" t="s">
        <v>1399</v>
      </c>
      <c r="C374" s="12" t="s">
        <v>1399</v>
      </c>
      <c r="D374" s="13" t="str">
        <f>HYPERLINK("https://www.marklines.com/en/global/6437","Shyft Group, Builtmore Contract Mfg., Charlotte Plant")</f>
        <v>Shyft Group, Builtmore Contract Mfg., Charlotte Plant</v>
      </c>
      <c r="E374" s="12" t="s">
        <v>1400</v>
      </c>
      <c r="F374" s="12" t="s">
        <v>15</v>
      </c>
      <c r="G374" s="12" t="s">
        <v>11</v>
      </c>
      <c r="H374" s="12" t="s">
        <v>505</v>
      </c>
      <c r="I374" s="14">
        <v>45349</v>
      </c>
      <c r="J374" s="12" t="s">
        <v>1401</v>
      </c>
    </row>
    <row r="375" spans="1:10" s="15" customFormat="1" x14ac:dyDescent="0.15">
      <c r="A375" s="11">
        <v>45352</v>
      </c>
      <c r="B375" s="12" t="s">
        <v>68</v>
      </c>
      <c r="C375" s="12" t="s">
        <v>1177</v>
      </c>
      <c r="D375" s="13" t="str">
        <f>HYPERLINK("https://www.marklines.com/en/global/3879","Chery Automobile Co., Ltd. ")</f>
        <v xml:space="preserve">Chery Automobile Co., Ltd. </v>
      </c>
      <c r="E375" s="12" t="s">
        <v>92</v>
      </c>
      <c r="F375" s="12" t="s">
        <v>18</v>
      </c>
      <c r="G375" s="12" t="s">
        <v>24</v>
      </c>
      <c r="H375" s="12" t="s">
        <v>55</v>
      </c>
      <c r="I375" s="14">
        <v>45352</v>
      </c>
      <c r="J375" s="12" t="s">
        <v>1178</v>
      </c>
    </row>
    <row r="376" spans="1:10" s="15" customFormat="1" x14ac:dyDescent="0.15">
      <c r="A376" s="11">
        <v>45352</v>
      </c>
      <c r="B376" s="12" t="s">
        <v>12</v>
      </c>
      <c r="C376" s="12" t="s">
        <v>12</v>
      </c>
      <c r="D376" s="13" t="str">
        <f>HYPERLINK("https://www.marklines.com/en/global/817","AGR Automotive Plant, Kaluga (formerly OOO Volkswagen Russia)")</f>
        <v>AGR Automotive Plant, Kaluga (formerly OOO Volkswagen Russia)</v>
      </c>
      <c r="E376" s="12" t="s">
        <v>114</v>
      </c>
      <c r="F376" s="12" t="s">
        <v>17</v>
      </c>
      <c r="G376" s="12" t="s">
        <v>13</v>
      </c>
      <c r="H376" s="12"/>
      <c r="I376" s="14">
        <v>45351</v>
      </c>
      <c r="J376" s="12" t="s">
        <v>1179</v>
      </c>
    </row>
    <row r="377" spans="1:10" s="15" customFormat="1" x14ac:dyDescent="0.15">
      <c r="A377" s="11">
        <v>45352</v>
      </c>
      <c r="B377" s="12" t="s">
        <v>14</v>
      </c>
      <c r="C377" s="12" t="s">
        <v>14</v>
      </c>
      <c r="D377" s="13" t="str">
        <f>HYPERLINK("https://www.marklines.com/en/global/10661","L-H Battery Company, Inc., Ohio Plant (tentative name)")</f>
        <v>L-H Battery Company, Inc., Ohio Plant (tentative name)</v>
      </c>
      <c r="E377" s="12" t="s">
        <v>1180</v>
      </c>
      <c r="F377" s="12" t="s">
        <v>15</v>
      </c>
      <c r="G377" s="12" t="s">
        <v>11</v>
      </c>
      <c r="H377" s="12" t="s">
        <v>490</v>
      </c>
      <c r="I377" s="14">
        <v>45351</v>
      </c>
      <c r="J377" s="12" t="s">
        <v>1181</v>
      </c>
    </row>
    <row r="378" spans="1:10" s="15" customFormat="1" x14ac:dyDescent="0.15">
      <c r="A378" s="11">
        <v>45352</v>
      </c>
      <c r="B378" s="12" t="s">
        <v>501</v>
      </c>
      <c r="C378" s="12" t="s">
        <v>501</v>
      </c>
      <c r="D378" s="13" t="str">
        <f>HYPERLINK("https://www.marklines.com/en/global/10596","Lion Electric, Joliet plant")</f>
        <v>Lion Electric, Joliet plant</v>
      </c>
      <c r="E378" s="12" t="s">
        <v>502</v>
      </c>
      <c r="F378" s="12" t="s">
        <v>15</v>
      </c>
      <c r="G378" s="12" t="s">
        <v>11</v>
      </c>
      <c r="H378" s="12" t="s">
        <v>33</v>
      </c>
      <c r="I378" s="14">
        <v>45351</v>
      </c>
      <c r="J378" s="12" t="s">
        <v>1182</v>
      </c>
    </row>
    <row r="379" spans="1:10" s="15" customFormat="1" x14ac:dyDescent="0.15">
      <c r="A379" s="11">
        <v>45352</v>
      </c>
      <c r="B379" s="12" t="s">
        <v>501</v>
      </c>
      <c r="C379" s="12" t="s">
        <v>501</v>
      </c>
      <c r="D379" s="13" t="str">
        <f>HYPERLINK("https://www.marklines.com/en/global/10597","Lion Electric, Canada Plant")</f>
        <v>Lion Electric, Canada Plant</v>
      </c>
      <c r="E379" s="12" t="s">
        <v>1183</v>
      </c>
      <c r="F379" s="12" t="s">
        <v>15</v>
      </c>
      <c r="G379" s="12" t="s">
        <v>260</v>
      </c>
      <c r="H379" s="12"/>
      <c r="I379" s="14">
        <v>45351</v>
      </c>
      <c r="J379" s="12" t="s">
        <v>1182</v>
      </c>
    </row>
    <row r="380" spans="1:10" s="15" customFormat="1" x14ac:dyDescent="0.15">
      <c r="A380" s="11">
        <v>45352</v>
      </c>
      <c r="B380" s="12" t="s">
        <v>36</v>
      </c>
      <c r="C380" s="12" t="s">
        <v>38</v>
      </c>
      <c r="D380" s="13" t="str">
        <f>HYPERLINK("https://www.marklines.com/en/global/1329","Stellantis, FCA Italy, Giambattista Vico (Pomigliano d'Arco) Plant")</f>
        <v>Stellantis, FCA Italy, Giambattista Vico (Pomigliano d'Arco) Plant</v>
      </c>
      <c r="E380" s="12" t="s">
        <v>857</v>
      </c>
      <c r="F380" s="12" t="s">
        <v>16</v>
      </c>
      <c r="G380" s="12" t="s">
        <v>37</v>
      </c>
      <c r="H380" s="12"/>
      <c r="I380" s="14">
        <v>45351</v>
      </c>
      <c r="J380" s="12" t="s">
        <v>1184</v>
      </c>
    </row>
    <row r="381" spans="1:10" s="15" customFormat="1" x14ac:dyDescent="0.15">
      <c r="A381" s="11">
        <v>45352</v>
      </c>
      <c r="B381" s="12" t="s">
        <v>346</v>
      </c>
      <c r="C381" s="12" t="s">
        <v>346</v>
      </c>
      <c r="D381" s="13" t="str">
        <f>HYPERLINK("https://www.marklines.com/en/global/10651","AESC, Extremadura Plant (formerly Envision AESC)")</f>
        <v>AESC, Extremadura Plant (formerly Envision AESC)</v>
      </c>
      <c r="E381" s="12" t="s">
        <v>1185</v>
      </c>
      <c r="F381" s="12" t="s">
        <v>16</v>
      </c>
      <c r="G381" s="12" t="s">
        <v>42</v>
      </c>
      <c r="H381" s="12"/>
      <c r="I381" s="14">
        <v>45350</v>
      </c>
      <c r="J381" s="12" t="s">
        <v>1186</v>
      </c>
    </row>
    <row r="382" spans="1:10" s="15" customFormat="1" x14ac:dyDescent="0.15">
      <c r="A382" s="11">
        <v>45352</v>
      </c>
      <c r="B382" s="12" t="s">
        <v>65</v>
      </c>
      <c r="C382" s="12" t="s">
        <v>65</v>
      </c>
      <c r="D382" s="13" t="str">
        <f>HYPERLINK("https://www.marklines.com/en/global/3807","Zhejiang Geely Holding Group Co., Ltd.")</f>
        <v>Zhejiang Geely Holding Group Co., Ltd.</v>
      </c>
      <c r="E382" s="12" t="s">
        <v>229</v>
      </c>
      <c r="F382" s="12" t="s">
        <v>18</v>
      </c>
      <c r="G382" s="12" t="s">
        <v>24</v>
      </c>
      <c r="H382" s="12" t="s">
        <v>61</v>
      </c>
      <c r="I382" s="14">
        <v>45349</v>
      </c>
      <c r="J382" s="12" t="s">
        <v>1187</v>
      </c>
    </row>
    <row r="383" spans="1:10" s="15" customFormat="1" x14ac:dyDescent="0.15">
      <c r="A383" s="11">
        <v>45352</v>
      </c>
      <c r="B383" s="12" t="s">
        <v>65</v>
      </c>
      <c r="C383" s="12" t="s">
        <v>659</v>
      </c>
      <c r="D383" s="13" t="str">
        <f>HYPERLINK("https://www.marklines.com/en/global/3893","Anhui Hualing Automobile Co., Ltd.")</f>
        <v>Anhui Hualing Automobile Co., Ltd.</v>
      </c>
      <c r="E383" s="12" t="s">
        <v>1188</v>
      </c>
      <c r="F383" s="12" t="s">
        <v>18</v>
      </c>
      <c r="G383" s="12" t="s">
        <v>24</v>
      </c>
      <c r="H383" s="12" t="s">
        <v>55</v>
      </c>
      <c r="I383" s="14">
        <v>45349</v>
      </c>
      <c r="J383" s="12" t="s">
        <v>1189</v>
      </c>
    </row>
    <row r="384" spans="1:10" s="15" customFormat="1" x14ac:dyDescent="0.15">
      <c r="A384" s="11">
        <v>45352</v>
      </c>
      <c r="B384" s="12" t="s">
        <v>65</v>
      </c>
      <c r="C384" s="12" t="s">
        <v>659</v>
      </c>
      <c r="D384" s="13" t="str">
        <f>HYPERLINK("https://www.marklines.com/en/global/3895","Hanma Technology Group Co.,Ltd.  (formerly Hualing Xingma Automobile (Group) Co., Ltd.)")</f>
        <v>Hanma Technology Group Co.,Ltd.  (formerly Hualing Xingma Automobile (Group) Co., Ltd.)</v>
      </c>
      <c r="E384" s="12" t="s">
        <v>660</v>
      </c>
      <c r="F384" s="12" t="s">
        <v>18</v>
      </c>
      <c r="G384" s="12" t="s">
        <v>24</v>
      </c>
      <c r="H384" s="12" t="s">
        <v>55</v>
      </c>
      <c r="I384" s="14">
        <v>45349</v>
      </c>
      <c r="J384" s="12" t="s">
        <v>1189</v>
      </c>
    </row>
    <row r="385" spans="1:10" s="15" customFormat="1" x14ac:dyDescent="0.15">
      <c r="A385" s="11">
        <v>45352</v>
      </c>
      <c r="B385" s="12" t="s">
        <v>237</v>
      </c>
      <c r="C385" s="12" t="s">
        <v>237</v>
      </c>
      <c r="D385" s="13" t="str">
        <f>HYPERLINK("https://www.marklines.com/en/global/3971","Dongfeng Motor Corporation ")</f>
        <v xml:space="preserve">Dongfeng Motor Corporation </v>
      </c>
      <c r="E385" s="12" t="s">
        <v>238</v>
      </c>
      <c r="F385" s="12" t="s">
        <v>18</v>
      </c>
      <c r="G385" s="12" t="s">
        <v>24</v>
      </c>
      <c r="H385" s="12" t="s">
        <v>76</v>
      </c>
      <c r="I385" s="14">
        <v>45349</v>
      </c>
      <c r="J385" s="12" t="s">
        <v>1190</v>
      </c>
    </row>
    <row r="386" spans="1:10" s="15" customFormat="1" x14ac:dyDescent="0.15">
      <c r="A386" s="11">
        <v>45352</v>
      </c>
      <c r="B386" s="12" t="s">
        <v>210</v>
      </c>
      <c r="C386" s="12" t="s">
        <v>210</v>
      </c>
      <c r="D386" s="13" t="str">
        <f>HYPERLINK("https://www.marklines.com/en/global/1793","Magyar Suzuki Zrt., Esztergom Plant")</f>
        <v>Magyar Suzuki Zrt., Esztergom Plant</v>
      </c>
      <c r="E386" s="12" t="s">
        <v>416</v>
      </c>
      <c r="F386" s="12" t="s">
        <v>17</v>
      </c>
      <c r="G386" s="12" t="s">
        <v>417</v>
      </c>
      <c r="H386" s="12"/>
      <c r="I386" s="14">
        <v>45330</v>
      </c>
      <c r="J386" s="12" t="s">
        <v>1191</v>
      </c>
    </row>
    <row r="387" spans="1:10" s="15" customFormat="1" x14ac:dyDescent="0.15">
      <c r="A387" s="11">
        <v>45351</v>
      </c>
      <c r="B387" s="12" t="s">
        <v>30</v>
      </c>
      <c r="C387" s="12" t="s">
        <v>30</v>
      </c>
      <c r="D387" s="13" t="str">
        <f>HYPERLINK("https://www.marklines.com/en/global/10739","SVOLT Energy Thailand, Chon Buri plant")</f>
        <v>SVOLT Energy Thailand, Chon Buri plant</v>
      </c>
      <c r="E387" s="12" t="s">
        <v>1192</v>
      </c>
      <c r="F387" s="12" t="s">
        <v>29</v>
      </c>
      <c r="G387" s="12" t="s">
        <v>301</v>
      </c>
      <c r="H387" s="12" t="s">
        <v>302</v>
      </c>
      <c r="I387" s="14">
        <v>45351</v>
      </c>
      <c r="J387" s="12" t="s">
        <v>1193</v>
      </c>
    </row>
    <row r="388" spans="1:10" s="15" customFormat="1" x14ac:dyDescent="0.15">
      <c r="A388" s="11">
        <v>45351</v>
      </c>
      <c r="B388" s="12" t="s">
        <v>30</v>
      </c>
      <c r="C388" s="12" t="s">
        <v>30</v>
      </c>
      <c r="D388" s="13" t="str">
        <f>HYPERLINK("https://www.marklines.com/en/global/10739","SVOLT Energy Thailand, Chon Buri plant")</f>
        <v>SVOLT Energy Thailand, Chon Buri plant</v>
      </c>
      <c r="E388" s="12" t="s">
        <v>1192</v>
      </c>
      <c r="F388" s="12" t="s">
        <v>29</v>
      </c>
      <c r="G388" s="12" t="s">
        <v>301</v>
      </c>
      <c r="H388" s="12" t="s">
        <v>302</v>
      </c>
      <c r="I388" s="14">
        <v>45350</v>
      </c>
      <c r="J388" s="12" t="s">
        <v>1194</v>
      </c>
    </row>
    <row r="389" spans="1:10" s="15" customFormat="1" x14ac:dyDescent="0.15">
      <c r="A389" s="11">
        <v>45351</v>
      </c>
      <c r="B389" s="12" t="s">
        <v>34</v>
      </c>
      <c r="C389" s="12" t="s">
        <v>34</v>
      </c>
      <c r="D389" s="13" t="str">
        <f>HYPERLINK("https://www.marklines.com/en/global/1177","Hyundai Motor India (HMIL), Chennai Plant")</f>
        <v>Hyundai Motor India (HMIL), Chennai Plant</v>
      </c>
      <c r="E389" s="12" t="s">
        <v>274</v>
      </c>
      <c r="F389" s="12" t="s">
        <v>22</v>
      </c>
      <c r="G389" s="12" t="s">
        <v>23</v>
      </c>
      <c r="H389" s="12" t="s">
        <v>254</v>
      </c>
      <c r="I389" s="14">
        <v>45350</v>
      </c>
      <c r="J389" s="12" t="s">
        <v>1195</v>
      </c>
    </row>
    <row r="390" spans="1:10" s="15" customFormat="1" x14ac:dyDescent="0.15">
      <c r="A390" s="11">
        <v>45351</v>
      </c>
      <c r="B390" s="12" t="s">
        <v>582</v>
      </c>
      <c r="C390" s="12" t="s">
        <v>582</v>
      </c>
      <c r="D390" s="13" t="str">
        <f>HYPERLINK("https://www.marklines.com/en/global/3287","Volvo Trucks North America Inc., New River Valley (Dublin) Plant")</f>
        <v>Volvo Trucks North America Inc., New River Valley (Dublin) Plant</v>
      </c>
      <c r="E390" s="12" t="s">
        <v>583</v>
      </c>
      <c r="F390" s="12" t="s">
        <v>15</v>
      </c>
      <c r="G390" s="12" t="s">
        <v>11</v>
      </c>
      <c r="H390" s="12" t="s">
        <v>584</v>
      </c>
      <c r="I390" s="14">
        <v>45350</v>
      </c>
      <c r="J390" s="12" t="s">
        <v>1196</v>
      </c>
    </row>
    <row r="391" spans="1:10" s="15" customFormat="1" x14ac:dyDescent="0.15">
      <c r="A391" s="11">
        <v>45351</v>
      </c>
      <c r="B391" s="12" t="s">
        <v>28</v>
      </c>
      <c r="C391" s="12" t="s">
        <v>35</v>
      </c>
      <c r="D391" s="13" t="str">
        <f>HYPERLINK("https://www.marklines.com/en/global/3309","Volkswagen Group of America Chattanooga Operations, LLC, Chattanooga Plant")</f>
        <v>Volkswagen Group of America Chattanooga Operations, LLC, Chattanooga Plant</v>
      </c>
      <c r="E391" s="12" t="s">
        <v>829</v>
      </c>
      <c r="F391" s="12" t="s">
        <v>15</v>
      </c>
      <c r="G391" s="12" t="s">
        <v>11</v>
      </c>
      <c r="H391" s="12" t="s">
        <v>348</v>
      </c>
      <c r="I391" s="14">
        <v>45349</v>
      </c>
      <c r="J391" s="12" t="s">
        <v>1197</v>
      </c>
    </row>
    <row r="392" spans="1:10" s="15" customFormat="1" x14ac:dyDescent="0.15">
      <c r="A392" s="11">
        <v>45351</v>
      </c>
      <c r="B392" s="12" t="s">
        <v>454</v>
      </c>
      <c r="C392" s="12" t="s">
        <v>455</v>
      </c>
      <c r="D392" s="13" t="str">
        <f>HYPERLINK("https://www.marklines.com/en/global/3049","Mercedes-Benz U.S. International (MBUSI), Tuscaloosa (Vance) Plant")</f>
        <v>Mercedes-Benz U.S. International (MBUSI), Tuscaloosa (Vance) Plant</v>
      </c>
      <c r="E392" s="12" t="s">
        <v>456</v>
      </c>
      <c r="F392" s="12" t="s">
        <v>15</v>
      </c>
      <c r="G392" s="12" t="s">
        <v>11</v>
      </c>
      <c r="H392" s="12" t="s">
        <v>457</v>
      </c>
      <c r="I392" s="14">
        <v>45349</v>
      </c>
      <c r="J392" s="12" t="s">
        <v>1198</v>
      </c>
    </row>
    <row r="393" spans="1:10" s="15" customFormat="1" x14ac:dyDescent="0.15">
      <c r="A393" s="11">
        <v>45351</v>
      </c>
      <c r="B393" s="12" t="s">
        <v>30</v>
      </c>
      <c r="C393" s="12" t="s">
        <v>648</v>
      </c>
      <c r="D393" s="13" t="str">
        <f>HYPERLINK("https://www.marklines.com/en/global/9836","Great Wall Motor Co., Ltd. Xushui Branch")</f>
        <v>Great Wall Motor Co., Ltd. Xushui Branch</v>
      </c>
      <c r="E393" s="12" t="s">
        <v>649</v>
      </c>
      <c r="F393" s="12" t="s">
        <v>18</v>
      </c>
      <c r="G393" s="12" t="s">
        <v>24</v>
      </c>
      <c r="H393" s="12" t="s">
        <v>76</v>
      </c>
      <c r="I393" s="14">
        <v>45348</v>
      </c>
      <c r="J393" s="12" t="s">
        <v>1199</v>
      </c>
    </row>
    <row r="394" spans="1:10" s="15" customFormat="1" x14ac:dyDescent="0.15">
      <c r="A394" s="11">
        <v>45351</v>
      </c>
      <c r="B394" s="12" t="s">
        <v>237</v>
      </c>
      <c r="C394" s="12" t="s">
        <v>237</v>
      </c>
      <c r="D394" s="13" t="str">
        <f>HYPERLINK("https://www.marklines.com/en/global/4145","Dongfeng Liuzhou Motor Co., Ltd. ")</f>
        <v xml:space="preserve">Dongfeng Liuzhou Motor Co., Ltd. </v>
      </c>
      <c r="E394" s="12" t="s">
        <v>947</v>
      </c>
      <c r="F394" s="12" t="s">
        <v>18</v>
      </c>
      <c r="G394" s="12" t="s">
        <v>24</v>
      </c>
      <c r="H394" s="12" t="s">
        <v>326</v>
      </c>
      <c r="I394" s="14">
        <v>45348</v>
      </c>
      <c r="J394" s="12" t="s">
        <v>1200</v>
      </c>
    </row>
    <row r="395" spans="1:10" s="15" customFormat="1" x14ac:dyDescent="0.15">
      <c r="A395" s="11">
        <v>45351</v>
      </c>
      <c r="B395" s="12" t="s">
        <v>68</v>
      </c>
      <c r="C395" s="12" t="s">
        <v>560</v>
      </c>
      <c r="D395" s="13" t="str">
        <f>HYPERLINK("https://www.marklines.com/en/global/10481","Chery Automobile Co., Ltd. Qingdao Branch")</f>
        <v>Chery Automobile Co., Ltd. Qingdao Branch</v>
      </c>
      <c r="E395" s="12" t="s">
        <v>148</v>
      </c>
      <c r="F395" s="12" t="s">
        <v>18</v>
      </c>
      <c r="G395" s="12" t="s">
        <v>24</v>
      </c>
      <c r="H395" s="12" t="s">
        <v>62</v>
      </c>
      <c r="I395" s="14">
        <v>45348</v>
      </c>
      <c r="J395" s="12" t="s">
        <v>1201</v>
      </c>
    </row>
    <row r="396" spans="1:10" s="15" customFormat="1" x14ac:dyDescent="0.15">
      <c r="A396" s="11">
        <v>45351</v>
      </c>
      <c r="B396" s="12" t="s">
        <v>19</v>
      </c>
      <c r="C396" s="12" t="s">
        <v>19</v>
      </c>
      <c r="D396" s="13" t="str">
        <f>HYPERLINK("https://www.marklines.com/en/global/907","Toyota Motor Manufacturing de Baja California, S.de R.L. de C.V. (TMMBC), Tijuana Plant")</f>
        <v>Toyota Motor Manufacturing de Baja California, S.de R.L. de C.V. (TMMBC), Tijuana Plant</v>
      </c>
      <c r="E396" s="12" t="s">
        <v>1172</v>
      </c>
      <c r="F396" s="12" t="s">
        <v>15</v>
      </c>
      <c r="G396" s="12" t="s">
        <v>218</v>
      </c>
      <c r="H396" s="12"/>
      <c r="I396" s="14">
        <v>45348</v>
      </c>
      <c r="J396" s="12" t="s">
        <v>1202</v>
      </c>
    </row>
    <row r="397" spans="1:10" s="15" customFormat="1" x14ac:dyDescent="0.15">
      <c r="A397" s="11">
        <v>45351</v>
      </c>
      <c r="B397" s="12" t="s">
        <v>19</v>
      </c>
      <c r="C397" s="12" t="s">
        <v>19</v>
      </c>
      <c r="D397" s="13" t="str">
        <f>HYPERLINK("https://www.marklines.com/en/global/9330","Toyota Motor Mexico (TMMGT), Guanajuato Plant")</f>
        <v>Toyota Motor Mexico (TMMGT), Guanajuato Plant</v>
      </c>
      <c r="E397" s="12" t="s">
        <v>1174</v>
      </c>
      <c r="F397" s="12" t="s">
        <v>15</v>
      </c>
      <c r="G397" s="12" t="s">
        <v>218</v>
      </c>
      <c r="H397" s="12"/>
      <c r="I397" s="14">
        <v>45348</v>
      </c>
      <c r="J397" s="12" t="s">
        <v>1202</v>
      </c>
    </row>
    <row r="398" spans="1:10" s="15" customFormat="1" x14ac:dyDescent="0.15">
      <c r="A398" s="11">
        <v>45351</v>
      </c>
      <c r="B398" s="12" t="s">
        <v>21</v>
      </c>
      <c r="C398" s="12" t="s">
        <v>21</v>
      </c>
      <c r="D398" s="13" t="str">
        <f>HYPERLINK("https://www.marklines.com/en/global/3041","Ford Motor, Flat Rock Assembly Plant")</f>
        <v>Ford Motor, Flat Rock Assembly Plant</v>
      </c>
      <c r="E398" s="12" t="s">
        <v>1203</v>
      </c>
      <c r="F398" s="12" t="s">
        <v>15</v>
      </c>
      <c r="G398" s="12" t="s">
        <v>11</v>
      </c>
      <c r="H398" s="12" t="s">
        <v>505</v>
      </c>
      <c r="I398" s="14">
        <v>45348</v>
      </c>
      <c r="J398" s="12" t="s">
        <v>1204</v>
      </c>
    </row>
    <row r="399" spans="1:10" s="15" customFormat="1" x14ac:dyDescent="0.15">
      <c r="A399" s="11">
        <v>45351</v>
      </c>
      <c r="B399" s="12" t="s">
        <v>12</v>
      </c>
      <c r="C399" s="12" t="s">
        <v>12</v>
      </c>
      <c r="D399" s="13" t="str">
        <f>HYPERLINK("https://www.marklines.com/en/global/2861","CAOA Chery Brazil, Anapolis Plant (Former Hyundai Caoa do Brasil Ltda.)")</f>
        <v>CAOA Chery Brazil, Anapolis Plant (Former Hyundai Caoa do Brasil Ltda.)</v>
      </c>
      <c r="E399" s="12" t="s">
        <v>604</v>
      </c>
      <c r="F399" s="12" t="s">
        <v>66</v>
      </c>
      <c r="G399" s="12" t="s">
        <v>67</v>
      </c>
      <c r="H399" s="12"/>
      <c r="I399" s="14">
        <v>45348</v>
      </c>
      <c r="J399" s="12" t="s">
        <v>1205</v>
      </c>
    </row>
    <row r="400" spans="1:10" s="15" customFormat="1" x14ac:dyDescent="0.15">
      <c r="A400" s="11">
        <v>45351</v>
      </c>
      <c r="B400" s="12" t="s">
        <v>12</v>
      </c>
      <c r="C400" s="12" t="s">
        <v>1155</v>
      </c>
      <c r="D400" s="13" t="str">
        <f>HYPERLINK("https://www.marklines.com/en/global/10598","Weichai New Energy Commercial Vehicle Co., Ltd.")</f>
        <v>Weichai New Energy Commercial Vehicle Co., Ltd.</v>
      </c>
      <c r="E400" s="12" t="s">
        <v>1156</v>
      </c>
      <c r="F400" s="12" t="s">
        <v>18</v>
      </c>
      <c r="G400" s="12" t="s">
        <v>24</v>
      </c>
      <c r="H400" s="12" t="s">
        <v>62</v>
      </c>
      <c r="I400" s="14">
        <v>45346</v>
      </c>
      <c r="J400" s="12" t="s">
        <v>1206</v>
      </c>
    </row>
    <row r="401" spans="1:10" s="15" customFormat="1" x14ac:dyDescent="0.15">
      <c r="A401" s="11">
        <v>45351</v>
      </c>
      <c r="B401" s="12" t="s">
        <v>390</v>
      </c>
      <c r="C401" s="12" t="s">
        <v>390</v>
      </c>
      <c r="D401" s="13" t="str">
        <f>HYPERLINK("https://www.marklines.com/en/global/3333","China FAW Group Co., Ltd.  (Formerly China FAW Group Corporation)")</f>
        <v>China FAW Group Co., Ltd.  (Formerly China FAW Group Corporation)</v>
      </c>
      <c r="E401" s="12" t="s">
        <v>600</v>
      </c>
      <c r="F401" s="12" t="s">
        <v>18</v>
      </c>
      <c r="G401" s="12" t="s">
        <v>24</v>
      </c>
      <c r="H401" s="12" t="s">
        <v>392</v>
      </c>
      <c r="I401" s="14">
        <v>45127</v>
      </c>
      <c r="J401" s="12" t="s">
        <v>1207</v>
      </c>
    </row>
    <row r="402" spans="1:10" s="15" customFormat="1" x14ac:dyDescent="0.15">
      <c r="A402" s="11">
        <v>45351</v>
      </c>
      <c r="B402" s="12" t="s">
        <v>390</v>
      </c>
      <c r="C402" s="12" t="s">
        <v>930</v>
      </c>
      <c r="D402" s="13" t="str">
        <f>HYPERLINK("https://www.marklines.com/en/global/10437","FAW Hongqi New Energy Car Plant")</f>
        <v>FAW Hongqi New Energy Car Plant</v>
      </c>
      <c r="E402" s="12" t="s">
        <v>933</v>
      </c>
      <c r="F402" s="12" t="s">
        <v>18</v>
      </c>
      <c r="G402" s="12" t="s">
        <v>24</v>
      </c>
      <c r="H402" s="12" t="s">
        <v>392</v>
      </c>
      <c r="I402" s="14">
        <v>45127</v>
      </c>
      <c r="J402" s="12" t="s">
        <v>1208</v>
      </c>
    </row>
    <row r="403" spans="1:10" s="15" customFormat="1" x14ac:dyDescent="0.15">
      <c r="A403" s="11">
        <v>45351</v>
      </c>
      <c r="B403" s="12" t="s">
        <v>390</v>
      </c>
      <c r="C403" s="12" t="s">
        <v>930</v>
      </c>
      <c r="D403" s="13" t="str">
        <f>HYPERLINK("https://www.marklines.com/en/global/3339","China FAW Corporation Limited Weishan 2nd Plant")</f>
        <v>China FAW Corporation Limited Weishan 2nd Plant</v>
      </c>
      <c r="E403" s="12" t="s">
        <v>934</v>
      </c>
      <c r="F403" s="12" t="s">
        <v>18</v>
      </c>
      <c r="G403" s="12" t="s">
        <v>24</v>
      </c>
      <c r="H403" s="12" t="s">
        <v>392</v>
      </c>
      <c r="I403" s="14">
        <v>45127</v>
      </c>
      <c r="J403" s="12" t="s">
        <v>1208</v>
      </c>
    </row>
    <row r="404" spans="1:10" s="15" customFormat="1" x14ac:dyDescent="0.15">
      <c r="A404" s="11">
        <v>45351</v>
      </c>
      <c r="B404" s="12" t="s">
        <v>390</v>
      </c>
      <c r="C404" s="12" t="s">
        <v>930</v>
      </c>
      <c r="D404" s="13" t="str">
        <f>HYPERLINK("https://www.marklines.com/en/global/9099","China FAW Corporation Limited Hongqi Branch")</f>
        <v>China FAW Corporation Limited Hongqi Branch</v>
      </c>
      <c r="E404" s="12" t="s">
        <v>935</v>
      </c>
      <c r="F404" s="12" t="s">
        <v>18</v>
      </c>
      <c r="G404" s="12" t="s">
        <v>24</v>
      </c>
      <c r="H404" s="12" t="s">
        <v>392</v>
      </c>
      <c r="I404" s="14">
        <v>45127</v>
      </c>
      <c r="J404" s="12" t="s">
        <v>1208</v>
      </c>
    </row>
    <row r="405" spans="1:10" s="15" customFormat="1" x14ac:dyDescent="0.15">
      <c r="A405" s="11">
        <v>45351</v>
      </c>
      <c r="B405" s="12" t="s">
        <v>390</v>
      </c>
      <c r="C405" s="12" t="s">
        <v>390</v>
      </c>
      <c r="D405" s="13" t="str">
        <f>HYPERLINK("https://www.marklines.com/en/global/3333","China FAW Group Co., Ltd.  (Formerly China FAW Group Corporation)")</f>
        <v>China FAW Group Co., Ltd.  (Formerly China FAW Group Corporation)</v>
      </c>
      <c r="E405" s="12" t="s">
        <v>600</v>
      </c>
      <c r="F405" s="12" t="s">
        <v>18</v>
      </c>
      <c r="G405" s="12" t="s">
        <v>24</v>
      </c>
      <c r="H405" s="12" t="s">
        <v>392</v>
      </c>
      <c r="I405" s="14">
        <v>45127</v>
      </c>
      <c r="J405" s="12" t="s">
        <v>1209</v>
      </c>
    </row>
    <row r="406" spans="1:10" s="15" customFormat="1" x14ac:dyDescent="0.15">
      <c r="A406" s="11">
        <v>45350</v>
      </c>
      <c r="B406" s="12" t="s">
        <v>462</v>
      </c>
      <c r="C406" s="12" t="s">
        <v>463</v>
      </c>
      <c r="D406" s="13" t="str">
        <f>HYPERLINK("https://www.marklines.com/en/global/10753","Tata Group Battery Gigafactory, Sommerset Plant (tentative name）")</f>
        <v>Tata Group Battery Gigafactory, Sommerset Plant (tentative name）</v>
      </c>
      <c r="E406" s="12" t="s">
        <v>1210</v>
      </c>
      <c r="F406" s="12" t="s">
        <v>16</v>
      </c>
      <c r="G406" s="12" t="s">
        <v>233</v>
      </c>
      <c r="H406" s="12"/>
      <c r="I406" s="14">
        <v>45350</v>
      </c>
      <c r="J406" s="12" t="s">
        <v>1211</v>
      </c>
    </row>
    <row r="407" spans="1:10" s="15" customFormat="1" x14ac:dyDescent="0.15">
      <c r="A407" s="11">
        <v>45350</v>
      </c>
      <c r="B407" s="12" t="s">
        <v>237</v>
      </c>
      <c r="C407" s="12" t="s">
        <v>237</v>
      </c>
      <c r="D407" s="13" t="str">
        <f>HYPERLINK("https://www.marklines.com/en/global/671","ZAO AvtoTOR, Kaliningrad Plant")</f>
        <v>ZAO AvtoTOR, Kaliningrad Plant</v>
      </c>
      <c r="E407" s="12" t="s">
        <v>717</v>
      </c>
      <c r="F407" s="12" t="s">
        <v>17</v>
      </c>
      <c r="G407" s="12" t="s">
        <v>13</v>
      </c>
      <c r="H407" s="12"/>
      <c r="I407" s="14">
        <v>45349</v>
      </c>
      <c r="J407" s="12" t="s">
        <v>1212</v>
      </c>
    </row>
    <row r="408" spans="1:10" s="15" customFormat="1" x14ac:dyDescent="0.15">
      <c r="A408" s="11">
        <v>45350</v>
      </c>
      <c r="B408" s="12" t="s">
        <v>210</v>
      </c>
      <c r="C408" s="12" t="s">
        <v>210</v>
      </c>
      <c r="D408" s="13" t="str">
        <f>HYPERLINK("https://www.marklines.com/en/global/497","Suzuki Motor, Iwata Plant")</f>
        <v>Suzuki Motor, Iwata Plant</v>
      </c>
      <c r="E408" s="12" t="s">
        <v>1213</v>
      </c>
      <c r="F408" s="12" t="s">
        <v>18</v>
      </c>
      <c r="G408" s="12" t="s">
        <v>20</v>
      </c>
      <c r="H408" s="12" t="s">
        <v>107</v>
      </c>
      <c r="I408" s="14">
        <v>45349</v>
      </c>
      <c r="J408" s="12" t="s">
        <v>1214</v>
      </c>
    </row>
    <row r="409" spans="1:10" s="15" customFormat="1" x14ac:dyDescent="0.15">
      <c r="A409" s="11">
        <v>45350</v>
      </c>
      <c r="B409" s="12" t="s">
        <v>28</v>
      </c>
      <c r="C409" s="12" t="s">
        <v>44</v>
      </c>
      <c r="D409" s="13" t="str">
        <f>HYPERLINK("https://www.marklines.com/en/global/10232","SKODA Auto Volkswagen India Pvt Ltd, Technology Center (Mahalunge, Maharashtra)")</f>
        <v>SKODA Auto Volkswagen India Pvt Ltd, Technology Center (Mahalunge, Maharashtra)</v>
      </c>
      <c r="E409" s="12" t="s">
        <v>1215</v>
      </c>
      <c r="F409" s="12" t="s">
        <v>22</v>
      </c>
      <c r="G409" s="12" t="s">
        <v>23</v>
      </c>
      <c r="H409" s="12" t="s">
        <v>294</v>
      </c>
      <c r="I409" s="14">
        <v>45349</v>
      </c>
      <c r="J409" s="12" t="s">
        <v>1216</v>
      </c>
    </row>
    <row r="410" spans="1:10" s="15" customFormat="1" x14ac:dyDescent="0.15">
      <c r="A410" s="11">
        <v>45350</v>
      </c>
      <c r="B410" s="12" t="s">
        <v>28</v>
      </c>
      <c r="C410" s="12" t="s">
        <v>44</v>
      </c>
      <c r="D410" s="13" t="str">
        <f>HYPERLINK("https://www.marklines.com/en/global/1304","ŠKODA AUTO Volkswagen India Pvt. Ltd. (SAVWIPL) (formerly Skoda Auto India Private Ltd.)")</f>
        <v>ŠKODA AUTO Volkswagen India Pvt. Ltd. (SAVWIPL) (formerly Skoda Auto India Private Ltd.)</v>
      </c>
      <c r="E410" s="12" t="s">
        <v>1217</v>
      </c>
      <c r="F410" s="12" t="s">
        <v>22</v>
      </c>
      <c r="G410" s="12" t="s">
        <v>23</v>
      </c>
      <c r="H410" s="12" t="s">
        <v>294</v>
      </c>
      <c r="I410" s="14">
        <v>45349</v>
      </c>
      <c r="J410" s="12" t="s">
        <v>1216</v>
      </c>
    </row>
    <row r="411" spans="1:10" s="15" customFormat="1" x14ac:dyDescent="0.15">
      <c r="A411" s="11">
        <v>45350</v>
      </c>
      <c r="B411" s="12" t="s">
        <v>14</v>
      </c>
      <c r="C411" s="12" t="s">
        <v>14</v>
      </c>
      <c r="D411" s="13" t="str">
        <f>HYPERLINK("https://www.marklines.com/en/global/2453","GM, Brownstown Battery (formerly GM Subsystem Manufacturing LLC, Brownstown Township Plant)")</f>
        <v>GM, Brownstown Battery (formerly GM Subsystem Manufacturing LLC, Brownstown Township Plant)</v>
      </c>
      <c r="E411" s="12" t="s">
        <v>504</v>
      </c>
      <c r="F411" s="12" t="s">
        <v>15</v>
      </c>
      <c r="G411" s="12" t="s">
        <v>11</v>
      </c>
      <c r="H411" s="12" t="s">
        <v>505</v>
      </c>
      <c r="I411" s="14">
        <v>45349</v>
      </c>
      <c r="J411" s="12" t="s">
        <v>1218</v>
      </c>
    </row>
    <row r="412" spans="1:10" s="15" customFormat="1" x14ac:dyDescent="0.15">
      <c r="A412" s="11">
        <v>45350</v>
      </c>
      <c r="B412" s="12" t="s">
        <v>14</v>
      </c>
      <c r="C412" s="12" t="s">
        <v>14</v>
      </c>
      <c r="D412" s="13" t="str">
        <f>HYPERLINK("https://www.marklines.com/en/global/3112","Honda of America Manufacturing Inc., Performance Manufacturing Center")</f>
        <v>Honda of America Manufacturing Inc., Performance Manufacturing Center</v>
      </c>
      <c r="E412" s="12" t="s">
        <v>822</v>
      </c>
      <c r="F412" s="12" t="s">
        <v>15</v>
      </c>
      <c r="G412" s="12" t="s">
        <v>11</v>
      </c>
      <c r="H412" s="12" t="s">
        <v>490</v>
      </c>
      <c r="I412" s="14">
        <v>45349</v>
      </c>
      <c r="J412" s="12" t="s">
        <v>1218</v>
      </c>
    </row>
    <row r="413" spans="1:10" s="15" customFormat="1" x14ac:dyDescent="0.15">
      <c r="A413" s="11">
        <v>45350</v>
      </c>
      <c r="B413" s="12" t="s">
        <v>65</v>
      </c>
      <c r="C413" s="12" t="s">
        <v>316</v>
      </c>
      <c r="D413" s="13" t="str">
        <f>HYPERLINK("https://www.marklines.com/en/global/9324","Volvo Cars, Ridgeville Plant")</f>
        <v>Volvo Cars, Ridgeville Plant</v>
      </c>
      <c r="E413" s="12" t="s">
        <v>1219</v>
      </c>
      <c r="F413" s="12" t="s">
        <v>15</v>
      </c>
      <c r="G413" s="12" t="s">
        <v>11</v>
      </c>
      <c r="H413" s="12" t="s">
        <v>627</v>
      </c>
      <c r="I413" s="14">
        <v>45349</v>
      </c>
      <c r="J413" s="12" t="s">
        <v>1220</v>
      </c>
    </row>
    <row r="414" spans="1:10" s="15" customFormat="1" x14ac:dyDescent="0.15">
      <c r="A414" s="11">
        <v>45350</v>
      </c>
      <c r="B414" s="12" t="s">
        <v>65</v>
      </c>
      <c r="C414" s="12" t="s">
        <v>316</v>
      </c>
      <c r="D414" s="13" t="str">
        <f>HYPERLINK("https://www.marklines.com/en/global/4303","Volvo Car Chengdu Manufacturing Plant")</f>
        <v>Volvo Car Chengdu Manufacturing Plant</v>
      </c>
      <c r="E414" s="12" t="s">
        <v>1221</v>
      </c>
      <c r="F414" s="12" t="s">
        <v>18</v>
      </c>
      <c r="G414" s="12" t="s">
        <v>24</v>
      </c>
      <c r="H414" s="12" t="s">
        <v>330</v>
      </c>
      <c r="I414" s="14">
        <v>45349</v>
      </c>
      <c r="J414" s="12" t="s">
        <v>1220</v>
      </c>
    </row>
    <row r="415" spans="1:10" s="15" customFormat="1" x14ac:dyDescent="0.15">
      <c r="A415" s="11">
        <v>45350</v>
      </c>
      <c r="B415" s="12" t="s">
        <v>956</v>
      </c>
      <c r="C415" s="12" t="s">
        <v>956</v>
      </c>
      <c r="D415" s="13" t="str">
        <f>HYPERLINK("https://www.marklines.com/en/global/533","Subaru, Gunma Oizumi Plant (Gunma Plant)")</f>
        <v>Subaru, Gunma Oizumi Plant (Gunma Plant)</v>
      </c>
      <c r="E415" s="12" t="s">
        <v>1222</v>
      </c>
      <c r="F415" s="12" t="s">
        <v>18</v>
      </c>
      <c r="G415" s="12" t="s">
        <v>20</v>
      </c>
      <c r="H415" s="12" t="s">
        <v>840</v>
      </c>
      <c r="I415" s="14">
        <v>45348</v>
      </c>
      <c r="J415" s="12" t="s">
        <v>1223</v>
      </c>
    </row>
    <row r="416" spans="1:10" s="15" customFormat="1" x14ac:dyDescent="0.15">
      <c r="A416" s="11">
        <v>45350</v>
      </c>
      <c r="B416" s="12" t="s">
        <v>956</v>
      </c>
      <c r="C416" s="12" t="s">
        <v>956</v>
      </c>
      <c r="D416" s="13" t="str">
        <f>HYPERLINK("https://www.marklines.com/en/global/529","Subaru, Gunma Main Plant (Gunma Plant)")</f>
        <v>Subaru, Gunma Main Plant (Gunma Plant)</v>
      </c>
      <c r="E416" s="12" t="s">
        <v>1224</v>
      </c>
      <c r="F416" s="12" t="s">
        <v>18</v>
      </c>
      <c r="G416" s="12" t="s">
        <v>20</v>
      </c>
      <c r="H416" s="12" t="s">
        <v>840</v>
      </c>
      <c r="I416" s="14">
        <v>45348</v>
      </c>
      <c r="J416" s="12" t="s">
        <v>1223</v>
      </c>
    </row>
    <row r="417" spans="1:10" s="15" customFormat="1" x14ac:dyDescent="0.15">
      <c r="A417" s="11">
        <v>45350</v>
      </c>
      <c r="B417" s="12" t="s">
        <v>956</v>
      </c>
      <c r="C417" s="12" t="s">
        <v>956</v>
      </c>
      <c r="D417" s="13" t="str">
        <f>HYPERLINK("https://www.marklines.com/en/global/531","Subaru, Gunma Yajima Plant (Gunma Plant) ")</f>
        <v xml:space="preserve">Subaru, Gunma Yajima Plant (Gunma Plant) </v>
      </c>
      <c r="E417" s="12" t="s">
        <v>1225</v>
      </c>
      <c r="F417" s="12" t="s">
        <v>18</v>
      </c>
      <c r="G417" s="12" t="s">
        <v>20</v>
      </c>
      <c r="H417" s="12" t="s">
        <v>840</v>
      </c>
      <c r="I417" s="14">
        <v>45348</v>
      </c>
      <c r="J417" s="12" t="s">
        <v>1223</v>
      </c>
    </row>
    <row r="418" spans="1:10" s="15" customFormat="1" x14ac:dyDescent="0.15">
      <c r="A418" s="11">
        <v>45350</v>
      </c>
      <c r="B418" s="12" t="s">
        <v>19</v>
      </c>
      <c r="C418" s="12" t="s">
        <v>19</v>
      </c>
      <c r="D418" s="13" t="str">
        <f>HYPERLINK("https://www.marklines.com/en/global/549","Daihatsu Motor Kyushu, Kurume Plant")</f>
        <v>Daihatsu Motor Kyushu, Kurume Plant</v>
      </c>
      <c r="E418" s="12" t="s">
        <v>1153</v>
      </c>
      <c r="F418" s="12" t="s">
        <v>18</v>
      </c>
      <c r="G418" s="12" t="s">
        <v>20</v>
      </c>
      <c r="H418" s="12" t="s">
        <v>199</v>
      </c>
      <c r="I418" s="14">
        <v>45348</v>
      </c>
      <c r="J418" s="12" t="s">
        <v>1226</v>
      </c>
    </row>
    <row r="419" spans="1:10" s="15" customFormat="1" x14ac:dyDescent="0.15">
      <c r="A419" s="11">
        <v>45350</v>
      </c>
      <c r="B419" s="12" t="s">
        <v>19</v>
      </c>
      <c r="C419" s="12" t="s">
        <v>19</v>
      </c>
      <c r="D419" s="13" t="str">
        <f>HYPERLINK("https://www.marklines.com/en/global/547","Daihatsu Motor Kyushu, Oita (Nakatsu) Plant")</f>
        <v>Daihatsu Motor Kyushu, Oita (Nakatsu) Plant</v>
      </c>
      <c r="E419" s="12" t="s">
        <v>520</v>
      </c>
      <c r="F419" s="12" t="s">
        <v>18</v>
      </c>
      <c r="G419" s="12" t="s">
        <v>20</v>
      </c>
      <c r="H419" s="12" t="s">
        <v>521</v>
      </c>
      <c r="I419" s="14">
        <v>45348</v>
      </c>
      <c r="J419" s="12" t="s">
        <v>1226</v>
      </c>
    </row>
    <row r="420" spans="1:10" s="15" customFormat="1" x14ac:dyDescent="0.15">
      <c r="A420" s="11">
        <v>45350</v>
      </c>
      <c r="B420" s="12" t="s">
        <v>19</v>
      </c>
      <c r="C420" s="12" t="s">
        <v>512</v>
      </c>
      <c r="D420" s="13" t="str">
        <f>HYPERLINK("https://www.marklines.com/en/global/549","Daihatsu Motor Kyushu, Kurume Plant")</f>
        <v>Daihatsu Motor Kyushu, Kurume Plant</v>
      </c>
      <c r="E420" s="12" t="s">
        <v>1153</v>
      </c>
      <c r="F420" s="12" t="s">
        <v>18</v>
      </c>
      <c r="G420" s="12" t="s">
        <v>20</v>
      </c>
      <c r="H420" s="12" t="s">
        <v>199</v>
      </c>
      <c r="I420" s="14">
        <v>45348</v>
      </c>
      <c r="J420" s="12" t="s">
        <v>1226</v>
      </c>
    </row>
    <row r="421" spans="1:10" s="15" customFormat="1" x14ac:dyDescent="0.15">
      <c r="A421" s="11">
        <v>45350</v>
      </c>
      <c r="B421" s="12" t="s">
        <v>19</v>
      </c>
      <c r="C421" s="12" t="s">
        <v>512</v>
      </c>
      <c r="D421" s="13" t="str">
        <f>HYPERLINK("https://www.marklines.com/en/global/547","Daihatsu Motor Kyushu, Oita (Nakatsu) Plant")</f>
        <v>Daihatsu Motor Kyushu, Oita (Nakatsu) Plant</v>
      </c>
      <c r="E421" s="12" t="s">
        <v>520</v>
      </c>
      <c r="F421" s="12" t="s">
        <v>18</v>
      </c>
      <c r="G421" s="12" t="s">
        <v>20</v>
      </c>
      <c r="H421" s="12" t="s">
        <v>521</v>
      </c>
      <c r="I421" s="14">
        <v>45348</v>
      </c>
      <c r="J421" s="12" t="s">
        <v>1226</v>
      </c>
    </row>
    <row r="422" spans="1:10" s="15" customFormat="1" x14ac:dyDescent="0.15">
      <c r="A422" s="11">
        <v>45350</v>
      </c>
      <c r="B422" s="12" t="s">
        <v>956</v>
      </c>
      <c r="C422" s="12" t="s">
        <v>956</v>
      </c>
      <c r="D422" s="13" t="str">
        <f>HYPERLINK("https://www.marklines.com/en/global/547","Daihatsu Motor Kyushu, Oita (Nakatsu) Plant")</f>
        <v>Daihatsu Motor Kyushu, Oita (Nakatsu) Plant</v>
      </c>
      <c r="E422" s="12" t="s">
        <v>520</v>
      </c>
      <c r="F422" s="12" t="s">
        <v>18</v>
      </c>
      <c r="G422" s="12" t="s">
        <v>20</v>
      </c>
      <c r="H422" s="12" t="s">
        <v>521</v>
      </c>
      <c r="I422" s="14">
        <v>45348</v>
      </c>
      <c r="J422" s="12" t="s">
        <v>1226</v>
      </c>
    </row>
    <row r="423" spans="1:10" s="15" customFormat="1" x14ac:dyDescent="0.15">
      <c r="A423" s="11">
        <v>45350</v>
      </c>
      <c r="B423" s="12" t="s">
        <v>65</v>
      </c>
      <c r="C423" s="12" t="s">
        <v>1227</v>
      </c>
      <c r="D423" s="13" t="str">
        <f>HYPERLINK("https://www.marklines.com/en/global/3681","Shandong TKing Ouling Automobile Manufacture Co., Ltd.")</f>
        <v>Shandong TKing Ouling Automobile Manufacture Co., Ltd.</v>
      </c>
      <c r="E423" s="12" t="s">
        <v>1228</v>
      </c>
      <c r="F423" s="12" t="s">
        <v>18</v>
      </c>
      <c r="G423" s="12" t="s">
        <v>24</v>
      </c>
      <c r="H423" s="12" t="s">
        <v>62</v>
      </c>
      <c r="I423" s="14">
        <v>45348</v>
      </c>
      <c r="J423" s="12" t="s">
        <v>1229</v>
      </c>
    </row>
    <row r="424" spans="1:10" s="15" customFormat="1" x14ac:dyDescent="0.15">
      <c r="A424" s="11">
        <v>45350</v>
      </c>
      <c r="B424" s="12" t="s">
        <v>34</v>
      </c>
      <c r="C424" s="12" t="s">
        <v>34</v>
      </c>
      <c r="D424" s="13" t="str">
        <f>HYPERLINK("https://www.marklines.com/en/global/10587","Hyundai Motor Group Metaplant America (HMGMA) LLC")</f>
        <v>Hyundai Motor Group Metaplant America (HMGMA) LLC</v>
      </c>
      <c r="E424" s="12" t="s">
        <v>762</v>
      </c>
      <c r="F424" s="12" t="s">
        <v>15</v>
      </c>
      <c r="G424" s="12" t="s">
        <v>11</v>
      </c>
      <c r="H424" s="12" t="s">
        <v>361</v>
      </c>
      <c r="I424" s="14">
        <v>45348</v>
      </c>
      <c r="J424" s="12" t="s">
        <v>1230</v>
      </c>
    </row>
    <row r="425" spans="1:10" s="15" customFormat="1" x14ac:dyDescent="0.15">
      <c r="A425" s="11">
        <v>45350</v>
      </c>
      <c r="B425" s="12" t="s">
        <v>57</v>
      </c>
      <c r="C425" s="12" t="s">
        <v>57</v>
      </c>
      <c r="D425" s="13" t="str">
        <f>HYPERLINK("https://www.marklines.com/en/global/4125","BYD Automobile Industry Co., Ltd., Shenzhen Plant")</f>
        <v>BYD Automobile Industry Co., Ltd., Shenzhen Plant</v>
      </c>
      <c r="E425" s="12" t="s">
        <v>395</v>
      </c>
      <c r="F425" s="12" t="s">
        <v>18</v>
      </c>
      <c r="G425" s="12" t="s">
        <v>24</v>
      </c>
      <c r="H425" s="12" t="s">
        <v>63</v>
      </c>
      <c r="I425" s="14">
        <v>45347</v>
      </c>
      <c r="J425" s="12" t="s">
        <v>1231</v>
      </c>
    </row>
    <row r="426" spans="1:10" s="15" customFormat="1" x14ac:dyDescent="0.15">
      <c r="A426" s="11">
        <v>45350</v>
      </c>
      <c r="B426" s="12" t="s">
        <v>19</v>
      </c>
      <c r="C426" s="12" t="s">
        <v>19</v>
      </c>
      <c r="D426" s="13" t="str">
        <f>HYPERLINK("https://www.marklines.com/en/global/413","Toyota Auto Body, Inabe Plant")</f>
        <v>Toyota Auto Body, Inabe Plant</v>
      </c>
      <c r="E426" s="12" t="s">
        <v>202</v>
      </c>
      <c r="F426" s="12" t="s">
        <v>18</v>
      </c>
      <c r="G426" s="12" t="s">
        <v>20</v>
      </c>
      <c r="H426" s="12" t="s">
        <v>203</v>
      </c>
      <c r="I426" s="14">
        <v>45345</v>
      </c>
      <c r="J426" s="12" t="s">
        <v>1232</v>
      </c>
    </row>
    <row r="427" spans="1:10" s="15" customFormat="1" x14ac:dyDescent="0.15">
      <c r="A427" s="11">
        <v>45350</v>
      </c>
      <c r="B427" s="12" t="s">
        <v>19</v>
      </c>
      <c r="C427" s="12" t="s">
        <v>19</v>
      </c>
      <c r="D427" s="13" t="str">
        <f>HYPERLINK("https://www.marklines.com/en/global/417","Gifu Auto Body Co., Ltd., Honsha Plant")</f>
        <v>Gifu Auto Body Co., Ltd., Honsha Plant</v>
      </c>
      <c r="E427" s="12" t="s">
        <v>204</v>
      </c>
      <c r="F427" s="12" t="s">
        <v>18</v>
      </c>
      <c r="G427" s="12" t="s">
        <v>20</v>
      </c>
      <c r="H427" s="12" t="s">
        <v>205</v>
      </c>
      <c r="I427" s="14">
        <v>45345</v>
      </c>
      <c r="J427" s="12" t="s">
        <v>1232</v>
      </c>
    </row>
    <row r="428" spans="1:10" s="15" customFormat="1" x14ac:dyDescent="0.15">
      <c r="A428" s="11">
        <v>45350</v>
      </c>
      <c r="B428" s="12" t="s">
        <v>34</v>
      </c>
      <c r="C428" s="12" t="s">
        <v>34</v>
      </c>
      <c r="D428" s="13" t="str">
        <f>HYPERLINK("https://www.marklines.com/en/global/10587","Hyundai Motor Group Metaplant America (HMGMA) LLC")</f>
        <v>Hyundai Motor Group Metaplant America (HMGMA) LLC</v>
      </c>
      <c r="E428" s="12" t="s">
        <v>762</v>
      </c>
      <c r="F428" s="12" t="s">
        <v>15</v>
      </c>
      <c r="G428" s="12" t="s">
        <v>11</v>
      </c>
      <c r="H428" s="12" t="s">
        <v>361</v>
      </c>
      <c r="I428" s="14">
        <v>45345</v>
      </c>
      <c r="J428" s="12" t="s">
        <v>1233</v>
      </c>
    </row>
    <row r="429" spans="1:10" s="15" customFormat="1" x14ac:dyDescent="0.15">
      <c r="A429" s="11">
        <v>45350</v>
      </c>
      <c r="B429" s="12" t="s">
        <v>34</v>
      </c>
      <c r="C429" s="12" t="s">
        <v>359</v>
      </c>
      <c r="D429" s="13" t="str">
        <f>HYPERLINK("https://www.marklines.com/en/global/3145","Kia Georgia, Inc. (KMMG), West Point Plant")</f>
        <v>Kia Georgia, Inc. (KMMG), West Point Plant</v>
      </c>
      <c r="E429" s="12" t="s">
        <v>360</v>
      </c>
      <c r="F429" s="12" t="s">
        <v>15</v>
      </c>
      <c r="G429" s="12" t="s">
        <v>11</v>
      </c>
      <c r="H429" s="12" t="s">
        <v>361</v>
      </c>
      <c r="I429" s="14">
        <v>45345</v>
      </c>
      <c r="J429" s="12" t="s">
        <v>1233</v>
      </c>
    </row>
    <row r="430" spans="1:10" s="15" customFormat="1" x14ac:dyDescent="0.15">
      <c r="A430" s="11">
        <v>45350</v>
      </c>
      <c r="B430" s="12" t="s">
        <v>454</v>
      </c>
      <c r="C430" s="12" t="s">
        <v>455</v>
      </c>
      <c r="D430" s="13" t="str">
        <f>HYPERLINK("https://www.marklines.com/en/global/933","Hicom Automotive Manufacturers (Malaysia) Sdn. Bhd., Pekan Plant II")</f>
        <v>Hicom Automotive Manufacturers (Malaysia) Sdn. Bhd., Pekan Plant II</v>
      </c>
      <c r="E430" s="12" t="s">
        <v>1234</v>
      </c>
      <c r="F430" s="12" t="s">
        <v>29</v>
      </c>
      <c r="G430" s="12" t="s">
        <v>75</v>
      </c>
      <c r="H430" s="12"/>
      <c r="I430" s="14">
        <v>45345</v>
      </c>
      <c r="J430" s="12" t="s">
        <v>1235</v>
      </c>
    </row>
    <row r="431" spans="1:10" s="15" customFormat="1" x14ac:dyDescent="0.15">
      <c r="A431" s="11">
        <v>45350</v>
      </c>
      <c r="B431" s="12" t="s">
        <v>224</v>
      </c>
      <c r="C431" s="12" t="s">
        <v>225</v>
      </c>
      <c r="D431" s="13" t="str">
        <f>HYPERLINK("https://www.marklines.com/en/global/581","Mitsubishi Fuso Truck and Bus, Kawasaki Plant")</f>
        <v>Mitsubishi Fuso Truck and Bus, Kawasaki Plant</v>
      </c>
      <c r="E431" s="12" t="s">
        <v>702</v>
      </c>
      <c r="F431" s="12" t="s">
        <v>18</v>
      </c>
      <c r="G431" s="12" t="s">
        <v>20</v>
      </c>
      <c r="H431" s="12" t="s">
        <v>283</v>
      </c>
      <c r="I431" s="14">
        <v>45343</v>
      </c>
      <c r="J431" s="12" t="s">
        <v>1236</v>
      </c>
    </row>
    <row r="432" spans="1:10" s="15" customFormat="1" x14ac:dyDescent="0.15">
      <c r="A432" s="11">
        <v>45350</v>
      </c>
      <c r="B432" s="12" t="s">
        <v>19</v>
      </c>
      <c r="C432" s="12" t="s">
        <v>684</v>
      </c>
      <c r="D432" s="13" t="str">
        <f>HYPERLINK("https://www.marklines.com/en/global/593","J-Bus, Komatsu Plant")</f>
        <v>J-Bus, Komatsu Plant</v>
      </c>
      <c r="E432" s="12" t="s">
        <v>1237</v>
      </c>
      <c r="F432" s="12" t="s">
        <v>18</v>
      </c>
      <c r="G432" s="12" t="s">
        <v>20</v>
      </c>
      <c r="H432" s="12" t="s">
        <v>1238</v>
      </c>
      <c r="I432" s="14">
        <v>45343</v>
      </c>
      <c r="J432" s="12" t="s">
        <v>1239</v>
      </c>
    </row>
    <row r="433" spans="1:10" s="15" customFormat="1" x14ac:dyDescent="0.15">
      <c r="A433" s="11">
        <v>45350</v>
      </c>
      <c r="B433" s="12" t="s">
        <v>19</v>
      </c>
      <c r="C433" s="12" t="s">
        <v>19</v>
      </c>
      <c r="D433" s="13" t="str">
        <f>HYPERLINK("https://www.marklines.com/en/global/539","Daihatsu Motor, Head (Ikeda) Plant")</f>
        <v>Daihatsu Motor, Head (Ikeda) Plant</v>
      </c>
      <c r="E433" s="12" t="s">
        <v>516</v>
      </c>
      <c r="F433" s="12" t="s">
        <v>18</v>
      </c>
      <c r="G433" s="12" t="s">
        <v>20</v>
      </c>
      <c r="H433" s="12" t="s">
        <v>517</v>
      </c>
      <c r="I433" s="14">
        <v>45342</v>
      </c>
      <c r="J433" s="12" t="s">
        <v>1240</v>
      </c>
    </row>
    <row r="434" spans="1:10" s="15" customFormat="1" x14ac:dyDescent="0.15">
      <c r="A434" s="11">
        <v>45350</v>
      </c>
      <c r="B434" s="12" t="s">
        <v>19</v>
      </c>
      <c r="C434" s="12" t="s">
        <v>19</v>
      </c>
      <c r="D434" s="13" t="str">
        <f>HYPERLINK("https://www.marklines.com/en/global/541","Daihatsu Motor, Kyoto (Oyamazaki) Plant")</f>
        <v>Daihatsu Motor, Kyoto (Oyamazaki) Plant</v>
      </c>
      <c r="E434" s="12" t="s">
        <v>518</v>
      </c>
      <c r="F434" s="12" t="s">
        <v>18</v>
      </c>
      <c r="G434" s="12" t="s">
        <v>20</v>
      </c>
      <c r="H434" s="12" t="s">
        <v>519</v>
      </c>
      <c r="I434" s="14">
        <v>45342</v>
      </c>
      <c r="J434" s="12" t="s">
        <v>1240</v>
      </c>
    </row>
    <row r="435" spans="1:10" s="15" customFormat="1" x14ac:dyDescent="0.15">
      <c r="A435" s="11">
        <v>45350</v>
      </c>
      <c r="B435" s="12" t="s">
        <v>19</v>
      </c>
      <c r="C435" s="12" t="s">
        <v>19</v>
      </c>
      <c r="D435" s="13" t="str">
        <f>HYPERLINK("https://www.marklines.com/en/global/543","Daihatsu Motor, Shiga (Ryuo) Plant")</f>
        <v>Daihatsu Motor, Shiga (Ryuo) Plant</v>
      </c>
      <c r="E435" s="12" t="s">
        <v>513</v>
      </c>
      <c r="F435" s="12" t="s">
        <v>18</v>
      </c>
      <c r="G435" s="12" t="s">
        <v>20</v>
      </c>
      <c r="H435" s="12" t="s">
        <v>514</v>
      </c>
      <c r="I435" s="14">
        <v>45342</v>
      </c>
      <c r="J435" s="12" t="s">
        <v>1240</v>
      </c>
    </row>
    <row r="436" spans="1:10" s="15" customFormat="1" x14ac:dyDescent="0.15">
      <c r="A436" s="11">
        <v>45350</v>
      </c>
      <c r="B436" s="12" t="s">
        <v>19</v>
      </c>
      <c r="C436" s="12" t="s">
        <v>19</v>
      </c>
      <c r="D436" s="13" t="str">
        <f>HYPERLINK("https://www.marklines.com/en/global/547","Daihatsu Motor Kyushu, Oita (Nakatsu) Plant")</f>
        <v>Daihatsu Motor Kyushu, Oita (Nakatsu) Plant</v>
      </c>
      <c r="E436" s="12" t="s">
        <v>520</v>
      </c>
      <c r="F436" s="12" t="s">
        <v>18</v>
      </c>
      <c r="G436" s="12" t="s">
        <v>20</v>
      </c>
      <c r="H436" s="12" t="s">
        <v>521</v>
      </c>
      <c r="I436" s="14">
        <v>45342</v>
      </c>
      <c r="J436" s="12" t="s">
        <v>1240</v>
      </c>
    </row>
    <row r="437" spans="1:10" s="15" customFormat="1" x14ac:dyDescent="0.15">
      <c r="A437" s="11">
        <v>45350</v>
      </c>
      <c r="B437" s="12" t="s">
        <v>19</v>
      </c>
      <c r="C437" s="12" t="s">
        <v>512</v>
      </c>
      <c r="D437" s="13" t="str">
        <f>HYPERLINK("https://www.marklines.com/en/global/539","Daihatsu Motor, Head (Ikeda) Plant")</f>
        <v>Daihatsu Motor, Head (Ikeda) Plant</v>
      </c>
      <c r="E437" s="12" t="s">
        <v>516</v>
      </c>
      <c r="F437" s="12" t="s">
        <v>18</v>
      </c>
      <c r="G437" s="12" t="s">
        <v>20</v>
      </c>
      <c r="H437" s="12" t="s">
        <v>517</v>
      </c>
      <c r="I437" s="14">
        <v>45342</v>
      </c>
      <c r="J437" s="12" t="s">
        <v>1240</v>
      </c>
    </row>
    <row r="438" spans="1:10" s="15" customFormat="1" x14ac:dyDescent="0.15">
      <c r="A438" s="11">
        <v>45350</v>
      </c>
      <c r="B438" s="12" t="s">
        <v>19</v>
      </c>
      <c r="C438" s="12" t="s">
        <v>512</v>
      </c>
      <c r="D438" s="13" t="str">
        <f>HYPERLINK("https://www.marklines.com/en/global/541","Daihatsu Motor, Kyoto (Oyamazaki) Plant")</f>
        <v>Daihatsu Motor, Kyoto (Oyamazaki) Plant</v>
      </c>
      <c r="E438" s="12" t="s">
        <v>518</v>
      </c>
      <c r="F438" s="12" t="s">
        <v>18</v>
      </c>
      <c r="G438" s="12" t="s">
        <v>20</v>
      </c>
      <c r="H438" s="12" t="s">
        <v>519</v>
      </c>
      <c r="I438" s="14">
        <v>45342</v>
      </c>
      <c r="J438" s="12" t="s">
        <v>1240</v>
      </c>
    </row>
    <row r="439" spans="1:10" s="15" customFormat="1" x14ac:dyDescent="0.15">
      <c r="A439" s="11">
        <v>45350</v>
      </c>
      <c r="B439" s="12" t="s">
        <v>19</v>
      </c>
      <c r="C439" s="12" t="s">
        <v>512</v>
      </c>
      <c r="D439" s="13" t="str">
        <f>HYPERLINK("https://www.marklines.com/en/global/543","Daihatsu Motor, Shiga (Ryuo) Plant")</f>
        <v>Daihatsu Motor, Shiga (Ryuo) Plant</v>
      </c>
      <c r="E439" s="12" t="s">
        <v>513</v>
      </c>
      <c r="F439" s="12" t="s">
        <v>18</v>
      </c>
      <c r="G439" s="12" t="s">
        <v>20</v>
      </c>
      <c r="H439" s="12" t="s">
        <v>514</v>
      </c>
      <c r="I439" s="14">
        <v>45342</v>
      </c>
      <c r="J439" s="12" t="s">
        <v>1240</v>
      </c>
    </row>
    <row r="440" spans="1:10" s="15" customFormat="1" x14ac:dyDescent="0.15">
      <c r="A440" s="11">
        <v>45350</v>
      </c>
      <c r="B440" s="12" t="s">
        <v>19</v>
      </c>
      <c r="C440" s="12" t="s">
        <v>512</v>
      </c>
      <c r="D440" s="13" t="str">
        <f>HYPERLINK("https://www.marklines.com/en/global/547","Daihatsu Motor Kyushu, Oita (Nakatsu) Plant")</f>
        <v>Daihatsu Motor Kyushu, Oita (Nakatsu) Plant</v>
      </c>
      <c r="E440" s="12" t="s">
        <v>520</v>
      </c>
      <c r="F440" s="12" t="s">
        <v>18</v>
      </c>
      <c r="G440" s="12" t="s">
        <v>20</v>
      </c>
      <c r="H440" s="12" t="s">
        <v>521</v>
      </c>
      <c r="I440" s="14">
        <v>45342</v>
      </c>
      <c r="J440" s="12" t="s">
        <v>1240</v>
      </c>
    </row>
    <row r="441" spans="1:10" s="15" customFormat="1" x14ac:dyDescent="0.15">
      <c r="A441" s="11">
        <v>45350</v>
      </c>
      <c r="B441" s="12" t="s">
        <v>956</v>
      </c>
      <c r="C441" s="12" t="s">
        <v>956</v>
      </c>
      <c r="D441" s="13" t="str">
        <f>HYPERLINK("https://www.marklines.com/en/global/541","Daihatsu Motor, Kyoto (Oyamazaki) Plant")</f>
        <v>Daihatsu Motor, Kyoto (Oyamazaki) Plant</v>
      </c>
      <c r="E441" s="12" t="s">
        <v>518</v>
      </c>
      <c r="F441" s="12" t="s">
        <v>18</v>
      </c>
      <c r="G441" s="12" t="s">
        <v>20</v>
      </c>
      <c r="H441" s="12" t="s">
        <v>519</v>
      </c>
      <c r="I441" s="14">
        <v>45342</v>
      </c>
      <c r="J441" s="12" t="s">
        <v>1240</v>
      </c>
    </row>
    <row r="442" spans="1:10" s="15" customFormat="1" x14ac:dyDescent="0.15">
      <c r="A442" s="11">
        <v>45350</v>
      </c>
      <c r="B442" s="12" t="s">
        <v>956</v>
      </c>
      <c r="C442" s="12" t="s">
        <v>956</v>
      </c>
      <c r="D442" s="13" t="str">
        <f>HYPERLINK("https://www.marklines.com/en/global/543","Daihatsu Motor, Shiga (Ryuo) Plant")</f>
        <v>Daihatsu Motor, Shiga (Ryuo) Plant</v>
      </c>
      <c r="E442" s="12" t="s">
        <v>513</v>
      </c>
      <c r="F442" s="12" t="s">
        <v>18</v>
      </c>
      <c r="G442" s="12" t="s">
        <v>20</v>
      </c>
      <c r="H442" s="12" t="s">
        <v>514</v>
      </c>
      <c r="I442" s="14">
        <v>45342</v>
      </c>
      <c r="J442" s="12" t="s">
        <v>1240</v>
      </c>
    </row>
    <row r="443" spans="1:10" s="15" customFormat="1" x14ac:dyDescent="0.15">
      <c r="A443" s="11">
        <v>45350</v>
      </c>
      <c r="B443" s="12" t="s">
        <v>956</v>
      </c>
      <c r="C443" s="12" t="s">
        <v>956</v>
      </c>
      <c r="D443" s="13" t="str">
        <f>HYPERLINK("https://www.marklines.com/en/global/547","Daihatsu Motor Kyushu, Oita (Nakatsu) Plant")</f>
        <v>Daihatsu Motor Kyushu, Oita (Nakatsu) Plant</v>
      </c>
      <c r="E443" s="12" t="s">
        <v>520</v>
      </c>
      <c r="F443" s="12" t="s">
        <v>18</v>
      </c>
      <c r="G443" s="12" t="s">
        <v>20</v>
      </c>
      <c r="H443" s="12" t="s">
        <v>521</v>
      </c>
      <c r="I443" s="14">
        <v>45342</v>
      </c>
      <c r="J443" s="12" t="s">
        <v>1240</v>
      </c>
    </row>
    <row r="444" spans="1:10" s="15" customFormat="1" x14ac:dyDescent="0.15">
      <c r="A444" s="11">
        <v>45350</v>
      </c>
      <c r="B444" s="12" t="s">
        <v>19</v>
      </c>
      <c r="C444" s="12" t="s">
        <v>19</v>
      </c>
      <c r="D444" s="13" t="str">
        <f>HYPERLINK("https://www.marklines.com/en/global/547","Daihatsu Motor Kyushu, Oita (Nakatsu) Plant")</f>
        <v>Daihatsu Motor Kyushu, Oita (Nakatsu) Plant</v>
      </c>
      <c r="E444" s="12" t="s">
        <v>520</v>
      </c>
      <c r="F444" s="12" t="s">
        <v>18</v>
      </c>
      <c r="G444" s="12" t="s">
        <v>20</v>
      </c>
      <c r="H444" s="12" t="s">
        <v>521</v>
      </c>
      <c r="I444" s="14">
        <v>45341</v>
      </c>
      <c r="J444" s="12" t="s">
        <v>1241</v>
      </c>
    </row>
    <row r="445" spans="1:10" s="15" customFormat="1" x14ac:dyDescent="0.15">
      <c r="A445" s="11">
        <v>45350</v>
      </c>
      <c r="B445" s="12" t="s">
        <v>19</v>
      </c>
      <c r="C445" s="12" t="s">
        <v>512</v>
      </c>
      <c r="D445" s="13" t="str">
        <f>HYPERLINK("https://www.marklines.com/en/global/547","Daihatsu Motor Kyushu, Oita (Nakatsu) Plant")</f>
        <v>Daihatsu Motor Kyushu, Oita (Nakatsu) Plant</v>
      </c>
      <c r="E445" s="12" t="s">
        <v>520</v>
      </c>
      <c r="F445" s="12" t="s">
        <v>18</v>
      </c>
      <c r="G445" s="12" t="s">
        <v>20</v>
      </c>
      <c r="H445" s="12" t="s">
        <v>521</v>
      </c>
      <c r="I445" s="14">
        <v>45341</v>
      </c>
      <c r="J445" s="12" t="s">
        <v>1241</v>
      </c>
    </row>
    <row r="446" spans="1:10" s="15" customFormat="1" x14ac:dyDescent="0.15">
      <c r="A446" s="11">
        <v>45350</v>
      </c>
      <c r="B446" s="12" t="s">
        <v>956</v>
      </c>
      <c r="C446" s="12" t="s">
        <v>956</v>
      </c>
      <c r="D446" s="13" t="str">
        <f>HYPERLINK("https://www.marklines.com/en/global/547","Daihatsu Motor Kyushu, Oita (Nakatsu) Plant")</f>
        <v>Daihatsu Motor Kyushu, Oita (Nakatsu) Plant</v>
      </c>
      <c r="E446" s="12" t="s">
        <v>520</v>
      </c>
      <c r="F446" s="12" t="s">
        <v>18</v>
      </c>
      <c r="G446" s="12" t="s">
        <v>20</v>
      </c>
      <c r="H446" s="12" t="s">
        <v>521</v>
      </c>
      <c r="I446" s="14">
        <v>45341</v>
      </c>
      <c r="J446" s="12" t="s">
        <v>1241</v>
      </c>
    </row>
    <row r="447" spans="1:10" s="15" customFormat="1" x14ac:dyDescent="0.15">
      <c r="A447" s="11">
        <v>45350</v>
      </c>
      <c r="B447" s="12" t="s">
        <v>956</v>
      </c>
      <c r="C447" s="12" t="s">
        <v>956</v>
      </c>
      <c r="D447" s="13" t="str">
        <f>HYPERLINK("https://www.marklines.com/en/global/533","Subaru, Gunma Oizumi Plant (Gunma Plant)")</f>
        <v>Subaru, Gunma Oizumi Plant (Gunma Plant)</v>
      </c>
      <c r="E447" s="12" t="s">
        <v>1222</v>
      </c>
      <c r="F447" s="12" t="s">
        <v>18</v>
      </c>
      <c r="G447" s="12" t="s">
        <v>20</v>
      </c>
      <c r="H447" s="12" t="s">
        <v>840</v>
      </c>
      <c r="I447" s="14">
        <v>45339</v>
      </c>
      <c r="J447" s="12" t="s">
        <v>1242</v>
      </c>
    </row>
    <row r="448" spans="1:10" s="15" customFormat="1" x14ac:dyDescent="0.15">
      <c r="A448" s="11">
        <v>45350</v>
      </c>
      <c r="B448" s="12" t="s">
        <v>956</v>
      </c>
      <c r="C448" s="12" t="s">
        <v>956</v>
      </c>
      <c r="D448" s="13" t="str">
        <f>HYPERLINK("https://www.marklines.com/en/global/529","Subaru, Gunma Main Plant (Gunma Plant)")</f>
        <v>Subaru, Gunma Main Plant (Gunma Plant)</v>
      </c>
      <c r="E448" s="12" t="s">
        <v>1224</v>
      </c>
      <c r="F448" s="12" t="s">
        <v>18</v>
      </c>
      <c r="G448" s="12" t="s">
        <v>20</v>
      </c>
      <c r="H448" s="12" t="s">
        <v>840</v>
      </c>
      <c r="I448" s="14">
        <v>45339</v>
      </c>
      <c r="J448" s="12" t="s">
        <v>1242</v>
      </c>
    </row>
    <row r="449" spans="1:10" s="15" customFormat="1" x14ac:dyDescent="0.15">
      <c r="A449" s="11">
        <v>45350</v>
      </c>
      <c r="B449" s="12" t="s">
        <v>956</v>
      </c>
      <c r="C449" s="12" t="s">
        <v>956</v>
      </c>
      <c r="D449" s="13" t="str">
        <f>HYPERLINK("https://www.marklines.com/en/global/531","Subaru, Gunma Yajima Plant (Gunma Plant) ")</f>
        <v xml:space="preserve">Subaru, Gunma Yajima Plant (Gunma Plant) </v>
      </c>
      <c r="E449" s="12" t="s">
        <v>1225</v>
      </c>
      <c r="F449" s="12" t="s">
        <v>18</v>
      </c>
      <c r="G449" s="12" t="s">
        <v>20</v>
      </c>
      <c r="H449" s="12" t="s">
        <v>840</v>
      </c>
      <c r="I449" s="14">
        <v>45339</v>
      </c>
      <c r="J449" s="12" t="s">
        <v>1242</v>
      </c>
    </row>
    <row r="450" spans="1:10" s="15" customFormat="1" x14ac:dyDescent="0.15">
      <c r="A450" s="11">
        <v>45350</v>
      </c>
      <c r="B450" s="12" t="s">
        <v>19</v>
      </c>
      <c r="C450" s="12" t="s">
        <v>19</v>
      </c>
      <c r="D450" s="13" t="str">
        <f>HYPERLINK("https://www.marklines.com/en/global/543","Daihatsu Motor, Shiga (Ryuo) Plant")</f>
        <v>Daihatsu Motor, Shiga (Ryuo) Plant</v>
      </c>
      <c r="E450" s="12" t="s">
        <v>513</v>
      </c>
      <c r="F450" s="12" t="s">
        <v>18</v>
      </c>
      <c r="G450" s="12" t="s">
        <v>20</v>
      </c>
      <c r="H450" s="12" t="s">
        <v>514</v>
      </c>
      <c r="I450" s="14">
        <v>45338</v>
      </c>
      <c r="J450" s="12" t="s">
        <v>1243</v>
      </c>
    </row>
    <row r="451" spans="1:10" s="15" customFormat="1" x14ac:dyDescent="0.15">
      <c r="A451" s="11">
        <v>45350</v>
      </c>
      <c r="B451" s="12" t="s">
        <v>19</v>
      </c>
      <c r="C451" s="12" t="s">
        <v>512</v>
      </c>
      <c r="D451" s="13" t="str">
        <f>HYPERLINK("https://www.marklines.com/en/global/543","Daihatsu Motor, Shiga (Ryuo) Plant")</f>
        <v>Daihatsu Motor, Shiga (Ryuo) Plant</v>
      </c>
      <c r="E451" s="12" t="s">
        <v>513</v>
      </c>
      <c r="F451" s="12" t="s">
        <v>18</v>
      </c>
      <c r="G451" s="12" t="s">
        <v>20</v>
      </c>
      <c r="H451" s="12" t="s">
        <v>514</v>
      </c>
      <c r="I451" s="14">
        <v>45338</v>
      </c>
      <c r="J451" s="12" t="s">
        <v>1243</v>
      </c>
    </row>
    <row r="452" spans="1:10" s="15" customFormat="1" x14ac:dyDescent="0.15">
      <c r="A452" s="11">
        <v>45350</v>
      </c>
      <c r="B452" s="12" t="s">
        <v>956</v>
      </c>
      <c r="C452" s="12" t="s">
        <v>956</v>
      </c>
      <c r="D452" s="13" t="str">
        <f>HYPERLINK("https://www.marklines.com/en/global/543","Daihatsu Motor, Shiga (Ryuo) Plant")</f>
        <v>Daihatsu Motor, Shiga (Ryuo) Plant</v>
      </c>
      <c r="E452" s="12" t="s">
        <v>513</v>
      </c>
      <c r="F452" s="12" t="s">
        <v>18</v>
      </c>
      <c r="G452" s="12" t="s">
        <v>20</v>
      </c>
      <c r="H452" s="12" t="s">
        <v>514</v>
      </c>
      <c r="I452" s="14">
        <v>45338</v>
      </c>
      <c r="J452" s="12" t="s">
        <v>1243</v>
      </c>
    </row>
    <row r="453" spans="1:10" s="15" customFormat="1" x14ac:dyDescent="0.15">
      <c r="A453" s="11">
        <v>45350</v>
      </c>
      <c r="B453" s="12" t="s">
        <v>12</v>
      </c>
      <c r="C453" s="12" t="s">
        <v>1244</v>
      </c>
      <c r="D453" s="13" t="str">
        <f>HYPERLINK("https://www.marklines.com/en/global/10698","EV Motors Japan Co.,Ltd., Zero Emission e-PARK")</f>
        <v>EV Motors Japan Co.,Ltd., Zero Emission e-PARK</v>
      </c>
      <c r="E453" s="12" t="s">
        <v>1245</v>
      </c>
      <c r="F453" s="12" t="s">
        <v>18</v>
      </c>
      <c r="G453" s="12" t="s">
        <v>20</v>
      </c>
      <c r="H453" s="12" t="s">
        <v>199</v>
      </c>
      <c r="I453" s="14">
        <v>45329</v>
      </c>
      <c r="J453" s="12" t="s">
        <v>1246</v>
      </c>
    </row>
    <row r="454" spans="1:10" s="15" customFormat="1" x14ac:dyDescent="0.15">
      <c r="A454" s="11">
        <v>45349</v>
      </c>
      <c r="B454" s="12" t="s">
        <v>39</v>
      </c>
      <c r="C454" s="12" t="s">
        <v>40</v>
      </c>
      <c r="D454" s="13" t="str">
        <f>HYPERLINK("https://www.marklines.com/en/global/729","LLC ""LADA Izhevsk"", LADA Izhevsk Automotive Plant (formerly OJSC Izh-Avto, Izhevsk Automobilny Zavod) ")</f>
        <v xml:space="preserve">LLC "LADA Izhevsk", LADA Izhevsk Automotive Plant (formerly OJSC Izh-Avto, Izhevsk Automobilny Zavod) </v>
      </c>
      <c r="E454" s="12" t="s">
        <v>46</v>
      </c>
      <c r="F454" s="12" t="s">
        <v>17</v>
      </c>
      <c r="G454" s="12" t="s">
        <v>13</v>
      </c>
      <c r="H454" s="12"/>
      <c r="I454" s="14">
        <v>45349</v>
      </c>
      <c r="J454" s="12" t="s">
        <v>1247</v>
      </c>
    </row>
    <row r="455" spans="1:10" s="15" customFormat="1" x14ac:dyDescent="0.15">
      <c r="A455" s="11">
        <v>45349</v>
      </c>
      <c r="B455" s="12" t="s">
        <v>57</v>
      </c>
      <c r="C455" s="12" t="s">
        <v>57</v>
      </c>
      <c r="D455" s="13" t="str">
        <f>HYPERLINK("https://www.marklines.com/en/global/4269","BYD Automobile Co., Ltd.")</f>
        <v>BYD Automobile Co., Ltd.</v>
      </c>
      <c r="E455" s="12" t="s">
        <v>1248</v>
      </c>
      <c r="F455" s="12" t="s">
        <v>18</v>
      </c>
      <c r="G455" s="12" t="s">
        <v>24</v>
      </c>
      <c r="H455" s="12" t="s">
        <v>724</v>
      </c>
      <c r="I455" s="14">
        <v>45348</v>
      </c>
      <c r="J455" s="12" t="s">
        <v>1249</v>
      </c>
    </row>
    <row r="456" spans="1:10" s="15" customFormat="1" x14ac:dyDescent="0.15">
      <c r="A456" s="11">
        <v>45349</v>
      </c>
      <c r="B456" s="12" t="s">
        <v>210</v>
      </c>
      <c r="C456" s="12" t="s">
        <v>210</v>
      </c>
      <c r="D456" s="13" t="str">
        <f>HYPERLINK("https://www.marklines.com/en/global/1793","Magyar Suzuki Zrt., Esztergom Plant")</f>
        <v>Magyar Suzuki Zrt., Esztergom Plant</v>
      </c>
      <c r="E456" s="12" t="s">
        <v>416</v>
      </c>
      <c r="F456" s="12" t="s">
        <v>17</v>
      </c>
      <c r="G456" s="12" t="s">
        <v>417</v>
      </c>
      <c r="H456" s="12"/>
      <c r="I456" s="14">
        <v>45348</v>
      </c>
      <c r="J456" s="12" t="s">
        <v>1250</v>
      </c>
    </row>
    <row r="457" spans="1:10" s="15" customFormat="1" x14ac:dyDescent="0.15">
      <c r="A457" s="11">
        <v>45349</v>
      </c>
      <c r="B457" s="12" t="s">
        <v>350</v>
      </c>
      <c r="C457" s="12" t="s">
        <v>629</v>
      </c>
      <c r="D457" s="13" t="str">
        <f>HYPERLINK("https://www.marklines.com/en/global/2523","General Motors, Spring Hill Manufacturing (formerly Spring Hill Assembly)")</f>
        <v>General Motors, Spring Hill Manufacturing (formerly Spring Hill Assembly)</v>
      </c>
      <c r="E457" s="12" t="s">
        <v>630</v>
      </c>
      <c r="F457" s="12" t="s">
        <v>15</v>
      </c>
      <c r="G457" s="12" t="s">
        <v>11</v>
      </c>
      <c r="H457" s="12" t="s">
        <v>348</v>
      </c>
      <c r="I457" s="14">
        <v>45348</v>
      </c>
      <c r="J457" s="12" t="s">
        <v>1251</v>
      </c>
    </row>
    <row r="458" spans="1:10" s="15" customFormat="1" x14ac:dyDescent="0.15">
      <c r="A458" s="11">
        <v>45349</v>
      </c>
      <c r="B458" s="12" t="s">
        <v>28</v>
      </c>
      <c r="C458" s="12" t="s">
        <v>1252</v>
      </c>
      <c r="D458" s="13" t="str">
        <f>HYPERLINK("https://www.marklines.com/en/global/889","International Truck, Escobedo Plant")</f>
        <v>International Truck, Escobedo Plant</v>
      </c>
      <c r="E458" s="12" t="s">
        <v>1253</v>
      </c>
      <c r="F458" s="12" t="s">
        <v>15</v>
      </c>
      <c r="G458" s="12" t="s">
        <v>218</v>
      </c>
      <c r="H458" s="12"/>
      <c r="I458" s="14">
        <v>45348</v>
      </c>
      <c r="J458" s="12" t="s">
        <v>1254</v>
      </c>
    </row>
    <row r="459" spans="1:10" s="15" customFormat="1" x14ac:dyDescent="0.15">
      <c r="A459" s="11">
        <v>45349</v>
      </c>
      <c r="B459" s="12" t="s">
        <v>28</v>
      </c>
      <c r="C459" s="12" t="s">
        <v>1255</v>
      </c>
      <c r="D459" s="13" t="str">
        <f>HYPERLINK("https://www.marklines.com/en/global/889","International Truck, Escobedo Plant")</f>
        <v>International Truck, Escobedo Plant</v>
      </c>
      <c r="E459" s="12" t="s">
        <v>1253</v>
      </c>
      <c r="F459" s="12" t="s">
        <v>15</v>
      </c>
      <c r="G459" s="12" t="s">
        <v>218</v>
      </c>
      <c r="H459" s="12"/>
      <c r="I459" s="14">
        <v>45348</v>
      </c>
      <c r="J459" s="12" t="s">
        <v>1254</v>
      </c>
    </row>
    <row r="460" spans="1:10" s="15" customFormat="1" x14ac:dyDescent="0.15">
      <c r="A460" s="11">
        <v>45349</v>
      </c>
      <c r="B460" s="12" t="s">
        <v>28</v>
      </c>
      <c r="C460" s="12" t="s">
        <v>43</v>
      </c>
      <c r="D460" s="13" t="str">
        <f>HYPERLINK("https://www.marklines.com/en/global/8739","Audi Mexico S.A. de C.V., San José Chiapa Plant")</f>
        <v>Audi Mexico S.A. de C.V., San José Chiapa Plant</v>
      </c>
      <c r="E460" s="12" t="s">
        <v>551</v>
      </c>
      <c r="F460" s="12" t="s">
        <v>15</v>
      </c>
      <c r="G460" s="12" t="s">
        <v>218</v>
      </c>
      <c r="H460" s="12"/>
      <c r="I460" s="14">
        <v>45346</v>
      </c>
      <c r="J460" s="12" t="s">
        <v>1256</v>
      </c>
    </row>
    <row r="461" spans="1:10" s="15" customFormat="1" x14ac:dyDescent="0.15">
      <c r="A461" s="11">
        <v>45349</v>
      </c>
      <c r="B461" s="12" t="s">
        <v>248</v>
      </c>
      <c r="C461" s="12" t="s">
        <v>643</v>
      </c>
      <c r="D461" s="13" t="str">
        <f>HYPERLINK("https://www.marklines.com/en/global/4153","SAIC-GM-Wuling Automobile Co., Ltd. (SGMW)　")</f>
        <v>SAIC-GM-Wuling Automobile Co., Ltd. (SGMW)　</v>
      </c>
      <c r="E461" s="12" t="s">
        <v>713</v>
      </c>
      <c r="F461" s="12" t="s">
        <v>18</v>
      </c>
      <c r="G461" s="12" t="s">
        <v>24</v>
      </c>
      <c r="H461" s="12" t="s">
        <v>326</v>
      </c>
      <c r="I461" s="14">
        <v>45345</v>
      </c>
      <c r="J461" s="12" t="s">
        <v>1257</v>
      </c>
    </row>
    <row r="462" spans="1:10" s="15" customFormat="1" x14ac:dyDescent="0.15">
      <c r="A462" s="11">
        <v>45349</v>
      </c>
      <c r="B462" s="12" t="s">
        <v>21</v>
      </c>
      <c r="C462" s="12" t="s">
        <v>21</v>
      </c>
      <c r="D462" s="13" t="str">
        <f>HYPERLINK("https://www.marklines.com/en/global/10376","Ford Motor, Rouge Electric Vehicle Center")</f>
        <v>Ford Motor, Rouge Electric Vehicle Center</v>
      </c>
      <c r="E462" s="12" t="s">
        <v>625</v>
      </c>
      <c r="F462" s="12" t="s">
        <v>15</v>
      </c>
      <c r="G462" s="12" t="s">
        <v>11</v>
      </c>
      <c r="H462" s="12" t="s">
        <v>505</v>
      </c>
      <c r="I462" s="14">
        <v>45345</v>
      </c>
      <c r="J462" s="12" t="s">
        <v>1258</v>
      </c>
    </row>
    <row r="463" spans="1:10" s="15" customFormat="1" x14ac:dyDescent="0.15">
      <c r="A463" s="11">
        <v>45349</v>
      </c>
      <c r="B463" s="12" t="s">
        <v>350</v>
      </c>
      <c r="C463" s="12" t="s">
        <v>646</v>
      </c>
      <c r="D463" s="13" t="str">
        <f>HYPERLINK("https://www.marklines.com/en/global/2473","General Motors, Lansing Delta Township Plant")</f>
        <v>General Motors, Lansing Delta Township Plant</v>
      </c>
      <c r="E463" s="12" t="s">
        <v>1259</v>
      </c>
      <c r="F463" s="12" t="s">
        <v>15</v>
      </c>
      <c r="G463" s="12" t="s">
        <v>11</v>
      </c>
      <c r="H463" s="12" t="s">
        <v>505</v>
      </c>
      <c r="I463" s="14">
        <v>45345</v>
      </c>
      <c r="J463" s="12" t="s">
        <v>1260</v>
      </c>
    </row>
    <row r="464" spans="1:10" s="15" customFormat="1" x14ac:dyDescent="0.15">
      <c r="A464" s="11">
        <v>45349</v>
      </c>
      <c r="B464" s="12" t="s">
        <v>350</v>
      </c>
      <c r="C464" s="12" t="s">
        <v>1261</v>
      </c>
      <c r="D464" s="13" t="str">
        <f>HYPERLINK("https://www.marklines.com/en/global/2473","General Motors, Lansing Delta Township Plant")</f>
        <v>General Motors, Lansing Delta Township Plant</v>
      </c>
      <c r="E464" s="12" t="s">
        <v>1259</v>
      </c>
      <c r="F464" s="12" t="s">
        <v>15</v>
      </c>
      <c r="G464" s="12" t="s">
        <v>11</v>
      </c>
      <c r="H464" s="12" t="s">
        <v>505</v>
      </c>
      <c r="I464" s="14">
        <v>45345</v>
      </c>
      <c r="J464" s="12" t="s">
        <v>1260</v>
      </c>
    </row>
    <row r="465" spans="1:10" s="15" customFormat="1" x14ac:dyDescent="0.15">
      <c r="A465" s="11">
        <v>45349</v>
      </c>
      <c r="B465" s="12" t="s">
        <v>350</v>
      </c>
      <c r="C465" s="12" t="s">
        <v>679</v>
      </c>
      <c r="D465" s="13" t="str">
        <f>HYPERLINK("https://www.marklines.com/en/global/2473","General Motors, Lansing Delta Township Plant")</f>
        <v>General Motors, Lansing Delta Township Plant</v>
      </c>
      <c r="E465" s="12" t="s">
        <v>1259</v>
      </c>
      <c r="F465" s="12" t="s">
        <v>15</v>
      </c>
      <c r="G465" s="12" t="s">
        <v>11</v>
      </c>
      <c r="H465" s="12" t="s">
        <v>505</v>
      </c>
      <c r="I465" s="14">
        <v>45345</v>
      </c>
      <c r="J465" s="12" t="s">
        <v>1260</v>
      </c>
    </row>
    <row r="466" spans="1:10" s="15" customFormat="1" x14ac:dyDescent="0.15">
      <c r="A466" s="11">
        <v>45349</v>
      </c>
      <c r="B466" s="12" t="s">
        <v>1262</v>
      </c>
      <c r="C466" s="12" t="s">
        <v>1263</v>
      </c>
      <c r="D466" s="13" t="str">
        <f>HYPERLINK("https://www.marklines.com/en/global/10328","Human Horizons Investment Co., Ltd. (formerly Human Horizons Holdings Co., Ltd.)")</f>
        <v>Human Horizons Investment Co., Ltd. (formerly Human Horizons Holdings Co., Ltd.)</v>
      </c>
      <c r="E466" s="12" t="s">
        <v>1264</v>
      </c>
      <c r="F466" s="12" t="s">
        <v>18</v>
      </c>
      <c r="G466" s="12" t="s">
        <v>24</v>
      </c>
      <c r="H466" s="12" t="s">
        <v>56</v>
      </c>
      <c r="I466" s="14">
        <v>45344</v>
      </c>
      <c r="J466" s="12" t="s">
        <v>1265</v>
      </c>
    </row>
    <row r="467" spans="1:10" s="15" customFormat="1" x14ac:dyDescent="0.15">
      <c r="A467" s="11">
        <v>45349</v>
      </c>
      <c r="B467" s="12" t="s">
        <v>1262</v>
      </c>
      <c r="C467" s="12" t="s">
        <v>1263</v>
      </c>
      <c r="D467" s="13" t="str">
        <f>HYPERLINK("https://www.marklines.com/en/global/3767","Jiangsu Yueda Kia Motors Co., Ltd. (First Plant) (formerly Kia Motors Co., Ltd. (First Plant))")</f>
        <v>Jiangsu Yueda Kia Motors Co., Ltd. (First Plant) (formerly Kia Motors Co., Ltd. (First Plant))</v>
      </c>
      <c r="E467" s="12" t="s">
        <v>1266</v>
      </c>
      <c r="F467" s="12" t="s">
        <v>18</v>
      </c>
      <c r="G467" s="12" t="s">
        <v>24</v>
      </c>
      <c r="H467" s="12" t="s">
        <v>531</v>
      </c>
      <c r="I467" s="14">
        <v>45344</v>
      </c>
      <c r="J467" s="12" t="s">
        <v>1265</v>
      </c>
    </row>
    <row r="468" spans="1:10" s="15" customFormat="1" x14ac:dyDescent="0.15">
      <c r="A468" s="11">
        <v>45349</v>
      </c>
      <c r="B468" s="12" t="s">
        <v>68</v>
      </c>
      <c r="C468" s="12" t="s">
        <v>563</v>
      </c>
      <c r="D468" s="13" t="str">
        <f>HYPERLINK("https://www.marklines.com/en/global/3969","Chery Commercial Vehicle (Anhui) Co., Ltd. Henan Branch (formerly Chery Automobile Henan Co., Ltd.)")</f>
        <v>Chery Commercial Vehicle (Anhui) Co., Ltd. Henan Branch (formerly Chery Automobile Henan Co., Ltd.)</v>
      </c>
      <c r="E468" s="12" t="s">
        <v>564</v>
      </c>
      <c r="F468" s="12" t="s">
        <v>18</v>
      </c>
      <c r="G468" s="12" t="s">
        <v>24</v>
      </c>
      <c r="H468" s="12" t="s">
        <v>401</v>
      </c>
      <c r="I468" s="14">
        <v>45344</v>
      </c>
      <c r="J468" s="12" t="s">
        <v>1267</v>
      </c>
    </row>
    <row r="469" spans="1:10" s="15" customFormat="1" x14ac:dyDescent="0.15">
      <c r="A469" s="11">
        <v>45349</v>
      </c>
      <c r="B469" s="12" t="s">
        <v>65</v>
      </c>
      <c r="C469" s="12" t="s">
        <v>312</v>
      </c>
      <c r="D469" s="13" t="str">
        <f>HYPERLINK("https://www.marklines.com/en/global/3633","Volvo Cars (China) Investment Co., Ltd. (formerly Volvo Car, APAC Headquarters)")</f>
        <v>Volvo Cars (China) Investment Co., Ltd. (formerly Volvo Car, APAC Headquarters)</v>
      </c>
      <c r="E469" s="12" t="s">
        <v>377</v>
      </c>
      <c r="F469" s="12" t="s">
        <v>18</v>
      </c>
      <c r="G469" s="12" t="s">
        <v>24</v>
      </c>
      <c r="H469" s="12" t="s">
        <v>56</v>
      </c>
      <c r="I469" s="14">
        <v>45343</v>
      </c>
      <c r="J469" s="12" t="s">
        <v>1268</v>
      </c>
    </row>
    <row r="470" spans="1:10" s="15" customFormat="1" x14ac:dyDescent="0.15">
      <c r="A470" s="11">
        <v>45349</v>
      </c>
      <c r="B470" s="12" t="s">
        <v>1269</v>
      </c>
      <c r="C470" s="12" t="s">
        <v>1269</v>
      </c>
      <c r="D470" s="13" t="str">
        <f>HYPERLINK("https://www.marklines.com/en/global/3433","Beijing Li Auto Co., Ltd. (formerly Beijing Hyundai Motor Co., Ltd., First Plant)")</f>
        <v>Beijing Li Auto Co., Ltd. (formerly Beijing Hyundai Motor Co., Ltd., First Plant)</v>
      </c>
      <c r="E470" s="12" t="s">
        <v>1270</v>
      </c>
      <c r="F470" s="12" t="s">
        <v>18</v>
      </c>
      <c r="G470" s="12" t="s">
        <v>24</v>
      </c>
      <c r="H470" s="12" t="s">
        <v>71</v>
      </c>
      <c r="I470" s="14">
        <v>45342</v>
      </c>
      <c r="J470" s="12" t="s">
        <v>1271</v>
      </c>
    </row>
    <row r="471" spans="1:10" s="15" customFormat="1" x14ac:dyDescent="0.15">
      <c r="A471" s="11">
        <v>45349</v>
      </c>
      <c r="B471" s="12" t="s">
        <v>1269</v>
      </c>
      <c r="C471" s="12" t="s">
        <v>1269</v>
      </c>
      <c r="D471" s="13" t="str">
        <f>HYPERLINK("https://www.marklines.com/en/global/9889","Beijing CHJ Information Technology Co., Ltd.")</f>
        <v>Beijing CHJ Information Technology Co., Ltd.</v>
      </c>
      <c r="E471" s="12" t="s">
        <v>1272</v>
      </c>
      <c r="F471" s="12" t="s">
        <v>18</v>
      </c>
      <c r="G471" s="12" t="s">
        <v>24</v>
      </c>
      <c r="H471" s="12" t="s">
        <v>71</v>
      </c>
      <c r="I471" s="14">
        <v>45342</v>
      </c>
      <c r="J471" s="12" t="s">
        <v>1271</v>
      </c>
    </row>
    <row r="472" spans="1:10" s="15" customFormat="1" x14ac:dyDescent="0.15">
      <c r="A472" s="11">
        <v>45349</v>
      </c>
      <c r="B472" s="12" t="s">
        <v>390</v>
      </c>
      <c r="C472" s="12" t="s">
        <v>390</v>
      </c>
      <c r="D472" s="13" t="str">
        <f>HYPERLINK("https://www.marklines.com/en/global/3333","China FAW Group Co., Ltd.  (Formerly China FAW Group Corporation)")</f>
        <v>China FAW Group Co., Ltd.  (Formerly China FAW Group Corporation)</v>
      </c>
      <c r="E472" s="12" t="s">
        <v>600</v>
      </c>
      <c r="F472" s="12" t="s">
        <v>18</v>
      </c>
      <c r="G472" s="12" t="s">
        <v>24</v>
      </c>
      <c r="H472" s="12" t="s">
        <v>392</v>
      </c>
      <c r="I472" s="14">
        <v>45127</v>
      </c>
      <c r="J472" s="12" t="s">
        <v>1273</v>
      </c>
    </row>
    <row r="473" spans="1:10" s="15" customFormat="1" x14ac:dyDescent="0.15">
      <c r="A473" s="11">
        <v>45349</v>
      </c>
      <c r="B473" s="12" t="s">
        <v>390</v>
      </c>
      <c r="C473" s="12" t="s">
        <v>390</v>
      </c>
      <c r="D473" s="13" t="str">
        <f>HYPERLINK("https://www.marklines.com/en/global/3689","FAW Jiefang Qingdao Automotive Co., Ltd. ")</f>
        <v xml:space="preserve">FAW Jiefang Qingdao Automotive Co., Ltd. </v>
      </c>
      <c r="E473" s="12" t="s">
        <v>1274</v>
      </c>
      <c r="F473" s="12" t="s">
        <v>18</v>
      </c>
      <c r="G473" s="12" t="s">
        <v>24</v>
      </c>
      <c r="H473" s="12" t="s">
        <v>62</v>
      </c>
      <c r="I473" s="14">
        <v>45127</v>
      </c>
      <c r="J473" s="12" t="s">
        <v>1275</v>
      </c>
    </row>
    <row r="474" spans="1:10" s="15" customFormat="1" x14ac:dyDescent="0.15">
      <c r="A474" s="11">
        <v>45349</v>
      </c>
      <c r="B474" s="12" t="s">
        <v>58</v>
      </c>
      <c r="C474" s="12" t="s">
        <v>58</v>
      </c>
      <c r="D474" s="13" t="str">
        <f>HYPERLINK("https://www.marklines.com/en/global/3415","Beijing Automotive Group Co., Ltd.")</f>
        <v>Beijing Automotive Group Co., Ltd.</v>
      </c>
      <c r="E474" s="12" t="s">
        <v>368</v>
      </c>
      <c r="F474" s="12" t="s">
        <v>18</v>
      </c>
      <c r="G474" s="12" t="s">
        <v>24</v>
      </c>
      <c r="H474" s="12" t="s">
        <v>71</v>
      </c>
      <c r="I474" s="14">
        <v>45038</v>
      </c>
      <c r="J474" s="12" t="s">
        <v>1276</v>
      </c>
    </row>
    <row r="475" spans="1:10" s="15" customFormat="1" x14ac:dyDescent="0.15">
      <c r="A475" s="11">
        <v>45349</v>
      </c>
      <c r="B475" s="12" t="s">
        <v>58</v>
      </c>
      <c r="C475" s="12" t="s">
        <v>58</v>
      </c>
      <c r="D475" s="13" t="str">
        <f>HYPERLINK("https://www.marklines.com/en/global/4111","BAIC Guangzhou Automotive Co., Ltd.")</f>
        <v>BAIC Guangzhou Automotive Co., Ltd.</v>
      </c>
      <c r="E475" s="12" t="s">
        <v>1277</v>
      </c>
      <c r="F475" s="12" t="s">
        <v>18</v>
      </c>
      <c r="G475" s="12" t="s">
        <v>24</v>
      </c>
      <c r="H475" s="12" t="s">
        <v>63</v>
      </c>
      <c r="I475" s="14">
        <v>45038</v>
      </c>
      <c r="J475" s="12" t="s">
        <v>1278</v>
      </c>
    </row>
    <row r="476" spans="1:10" s="15" customFormat="1" x14ac:dyDescent="0.15">
      <c r="A476" s="11">
        <v>45348</v>
      </c>
      <c r="B476" s="12" t="s">
        <v>86</v>
      </c>
      <c r="C476" s="12" t="s">
        <v>86</v>
      </c>
      <c r="D476" s="13" t="str">
        <f>HYPERLINK("https://www.marklines.com/en/global/737","Kamaz, Naberezhnye Chelny Plant")</f>
        <v>Kamaz, Naberezhnye Chelny Plant</v>
      </c>
      <c r="E476" s="12" t="s">
        <v>87</v>
      </c>
      <c r="F476" s="12" t="s">
        <v>17</v>
      </c>
      <c r="G476" s="12" t="s">
        <v>13</v>
      </c>
      <c r="H476" s="12"/>
      <c r="I476" s="14">
        <v>45348</v>
      </c>
      <c r="J476" s="12" t="s">
        <v>1279</v>
      </c>
    </row>
    <row r="477" spans="1:10" s="15" customFormat="1" x14ac:dyDescent="0.15">
      <c r="A477" s="11">
        <v>45348</v>
      </c>
      <c r="B477" s="12" t="s">
        <v>248</v>
      </c>
      <c r="C477" s="12" t="s">
        <v>249</v>
      </c>
      <c r="D477" s="13" t="str">
        <f>HYPERLINK("https://www.marklines.com/en/global/9814","SAIC Motor Corporation Limited Passenger Vehicle Fujian Branch")</f>
        <v>SAIC Motor Corporation Limited Passenger Vehicle Fujian Branch</v>
      </c>
      <c r="E477" s="12" t="s">
        <v>709</v>
      </c>
      <c r="F477" s="12" t="s">
        <v>18</v>
      </c>
      <c r="G477" s="12" t="s">
        <v>24</v>
      </c>
      <c r="H477" s="12" t="s">
        <v>710</v>
      </c>
      <c r="I477" s="14">
        <v>45348</v>
      </c>
      <c r="J477" s="12" t="s">
        <v>1280</v>
      </c>
    </row>
    <row r="478" spans="1:10" s="15" customFormat="1" x14ac:dyDescent="0.15">
      <c r="A478" s="11">
        <v>45348</v>
      </c>
      <c r="B478" s="12" t="s">
        <v>252</v>
      </c>
      <c r="C478" s="12" t="s">
        <v>252</v>
      </c>
      <c r="D478" s="13" t="str">
        <f>HYPERLINK("https://www.marklines.com/en/global/179","Renault S.A., Cléon Plant")</f>
        <v>Renault S.A., Cléon Plant</v>
      </c>
      <c r="E478" s="12" t="s">
        <v>1281</v>
      </c>
      <c r="F478" s="12" t="s">
        <v>16</v>
      </c>
      <c r="G478" s="12" t="s">
        <v>285</v>
      </c>
      <c r="H478" s="12"/>
      <c r="I478" s="14">
        <v>45348</v>
      </c>
      <c r="J478" s="12" t="s">
        <v>1282</v>
      </c>
    </row>
    <row r="479" spans="1:10" s="15" customFormat="1" x14ac:dyDescent="0.15">
      <c r="A479" s="11">
        <v>45348</v>
      </c>
      <c r="B479" s="12" t="s">
        <v>252</v>
      </c>
      <c r="C479" s="12" t="s">
        <v>252</v>
      </c>
      <c r="D479" s="13" t="str">
        <f>HYPERLINK("https://www.marklines.com/en/global/169","Renault ElectriCity, Douai (Georges Besse) Plant")</f>
        <v>Renault ElectriCity, Douai (Georges Besse) Plant</v>
      </c>
      <c r="E479" s="12" t="s">
        <v>1283</v>
      </c>
      <c r="F479" s="12" t="s">
        <v>16</v>
      </c>
      <c r="G479" s="12" t="s">
        <v>285</v>
      </c>
      <c r="H479" s="12"/>
      <c r="I479" s="14">
        <v>45348</v>
      </c>
      <c r="J479" s="12" t="s">
        <v>1282</v>
      </c>
    </row>
    <row r="480" spans="1:10" s="15" customFormat="1" x14ac:dyDescent="0.15">
      <c r="A480" s="11">
        <v>45348</v>
      </c>
      <c r="B480" s="12" t="s">
        <v>252</v>
      </c>
      <c r="C480" s="12" t="s">
        <v>252</v>
      </c>
      <c r="D480" s="13" t="str">
        <f>HYPERLINK("https://www.marklines.com/en/global/187","Renault ElectriCity, Ruitz Plant (formerly Societe de Transmission Automatique (STA), Ruitz)")</f>
        <v>Renault ElectriCity, Ruitz Plant (formerly Societe de Transmission Automatique (STA), Ruitz)</v>
      </c>
      <c r="E480" s="12" t="s">
        <v>1284</v>
      </c>
      <c r="F480" s="12" t="s">
        <v>16</v>
      </c>
      <c r="G480" s="12" t="s">
        <v>285</v>
      </c>
      <c r="H480" s="12"/>
      <c r="I480" s="14">
        <v>45348</v>
      </c>
      <c r="J480" s="12" t="s">
        <v>1282</v>
      </c>
    </row>
    <row r="481" spans="1:10" s="15" customFormat="1" x14ac:dyDescent="0.15">
      <c r="A481" s="11">
        <v>45348</v>
      </c>
      <c r="B481" s="12" t="s">
        <v>252</v>
      </c>
      <c r="C481" s="12" t="s">
        <v>252</v>
      </c>
      <c r="D481" s="13" t="str">
        <f>HYPERLINK("https://www.marklines.com/en/global/10626","AESC France S.A.S., Douai Plant (formerly Envision AESC France S.A.S.)")</f>
        <v>AESC France S.A.S., Douai Plant (formerly Envision AESC France S.A.S.)</v>
      </c>
      <c r="E481" s="12" t="s">
        <v>1285</v>
      </c>
      <c r="F481" s="12" t="s">
        <v>16</v>
      </c>
      <c r="G481" s="12" t="s">
        <v>285</v>
      </c>
      <c r="H481" s="12"/>
      <c r="I481" s="14">
        <v>45348</v>
      </c>
      <c r="J481" s="12" t="s">
        <v>1282</v>
      </c>
    </row>
    <row r="482" spans="1:10" s="15" customFormat="1" x14ac:dyDescent="0.15">
      <c r="A482" s="11">
        <v>45348</v>
      </c>
      <c r="B482" s="12" t="s">
        <v>28</v>
      </c>
      <c r="C482" s="12" t="s">
        <v>35</v>
      </c>
      <c r="D482" s="13" t="str">
        <f>HYPERLINK("https://www.marklines.com/en/global/1965","Volkswagen Navarra, S.A., Pamplona (Landaben) Plant")</f>
        <v>Volkswagen Navarra, S.A., Pamplona (Landaben) Plant</v>
      </c>
      <c r="E482" s="12" t="s">
        <v>64</v>
      </c>
      <c r="F482" s="12" t="s">
        <v>16</v>
      </c>
      <c r="G482" s="12" t="s">
        <v>42</v>
      </c>
      <c r="H482" s="12"/>
      <c r="I482" s="14">
        <v>45345</v>
      </c>
      <c r="J482" s="12" t="s">
        <v>1286</v>
      </c>
    </row>
    <row r="483" spans="1:10" s="15" customFormat="1" x14ac:dyDescent="0.15">
      <c r="A483" s="11">
        <v>45348</v>
      </c>
      <c r="B483" s="12" t="s">
        <v>28</v>
      </c>
      <c r="C483" s="12" t="s">
        <v>44</v>
      </c>
      <c r="D483" s="13" t="str">
        <f>HYPERLINK("https://www.marklines.com/en/global/1965","Volkswagen Navarra, S.A., Pamplona (Landaben) Plant")</f>
        <v>Volkswagen Navarra, S.A., Pamplona (Landaben) Plant</v>
      </c>
      <c r="E483" s="12" t="s">
        <v>64</v>
      </c>
      <c r="F483" s="12" t="s">
        <v>16</v>
      </c>
      <c r="G483" s="12" t="s">
        <v>42</v>
      </c>
      <c r="H483" s="12"/>
      <c r="I483" s="14">
        <v>45345</v>
      </c>
      <c r="J483" s="12" t="s">
        <v>1286</v>
      </c>
    </row>
    <row r="484" spans="1:10" s="15" customFormat="1" x14ac:dyDescent="0.15">
      <c r="A484" s="11">
        <v>45348</v>
      </c>
      <c r="B484" s="12" t="s">
        <v>12</v>
      </c>
      <c r="C484" s="12" t="s">
        <v>12</v>
      </c>
      <c r="D484" s="13" t="str">
        <f>HYPERLINK("https://www.marklines.com/en/global/123","INEOS Automotive S.A.S., Hambach plant (formerly smart France S.A.S.)")</f>
        <v>INEOS Automotive S.A.S., Hambach plant (formerly smart France S.A.S.)</v>
      </c>
      <c r="E484" s="12" t="s">
        <v>1287</v>
      </c>
      <c r="F484" s="12" t="s">
        <v>16</v>
      </c>
      <c r="G484" s="12" t="s">
        <v>285</v>
      </c>
      <c r="H484" s="12"/>
      <c r="I484" s="14">
        <v>45345</v>
      </c>
      <c r="J484" s="12" t="s">
        <v>1288</v>
      </c>
    </row>
    <row r="485" spans="1:10" s="15" customFormat="1" x14ac:dyDescent="0.15">
      <c r="A485" s="11">
        <v>45348</v>
      </c>
      <c r="B485" s="12" t="s">
        <v>12</v>
      </c>
      <c r="C485" s="12" t="s">
        <v>12</v>
      </c>
      <c r="D485" s="13" t="str">
        <f>HYPERLINK("https://www.marklines.com/en/global/1809","Magna Steyr Fahrzeugtechnik AG &amp; Co KG, Graz Plant")</f>
        <v>Magna Steyr Fahrzeugtechnik AG &amp; Co KG, Graz Plant</v>
      </c>
      <c r="E485" s="12" t="s">
        <v>675</v>
      </c>
      <c r="F485" s="12" t="s">
        <v>16</v>
      </c>
      <c r="G485" s="12" t="s">
        <v>637</v>
      </c>
      <c r="H485" s="12"/>
      <c r="I485" s="14">
        <v>45345</v>
      </c>
      <c r="J485" s="12" t="s">
        <v>1288</v>
      </c>
    </row>
    <row r="486" spans="1:10" s="15" customFormat="1" x14ac:dyDescent="0.15">
      <c r="A486" s="11">
        <v>45348</v>
      </c>
      <c r="B486" s="12" t="s">
        <v>19</v>
      </c>
      <c r="C486" s="12" t="s">
        <v>19</v>
      </c>
      <c r="D486" s="13" t="str">
        <f>HYPERLINK("https://www.marklines.com/en/global/1291","Toyota Kirloskar Auto Parts Private Ltd. (TKAP), Bangalore Plant")</f>
        <v>Toyota Kirloskar Auto Parts Private Ltd. (TKAP), Bangalore Plant</v>
      </c>
      <c r="E486" s="12" t="s">
        <v>1289</v>
      </c>
      <c r="F486" s="12" t="s">
        <v>22</v>
      </c>
      <c r="G486" s="12" t="s">
        <v>23</v>
      </c>
      <c r="H486" s="12" t="s">
        <v>657</v>
      </c>
      <c r="I486" s="14">
        <v>45345</v>
      </c>
      <c r="J486" s="12" t="s">
        <v>1290</v>
      </c>
    </row>
    <row r="487" spans="1:10" s="15" customFormat="1" x14ac:dyDescent="0.15">
      <c r="A487" s="11">
        <v>45348</v>
      </c>
      <c r="B487" s="12" t="s">
        <v>722</v>
      </c>
      <c r="C487" s="12" t="s">
        <v>722</v>
      </c>
      <c r="D487" s="13" t="str">
        <f>HYPERLINK("https://www.marklines.com/en/global/4271","Shaanxi Automobile Group Co., Ltd.")</f>
        <v>Shaanxi Automobile Group Co., Ltd.</v>
      </c>
      <c r="E487" s="12" t="s">
        <v>723</v>
      </c>
      <c r="F487" s="12" t="s">
        <v>18</v>
      </c>
      <c r="G487" s="12" t="s">
        <v>24</v>
      </c>
      <c r="H487" s="12" t="s">
        <v>724</v>
      </c>
      <c r="I487" s="14">
        <v>45341</v>
      </c>
      <c r="J487" s="12" t="s">
        <v>1291</v>
      </c>
    </row>
    <row r="488" spans="1:10" s="15" customFormat="1" x14ac:dyDescent="0.15">
      <c r="A488" s="11">
        <v>45348</v>
      </c>
      <c r="B488" s="12" t="s">
        <v>454</v>
      </c>
      <c r="C488" s="12" t="s">
        <v>455</v>
      </c>
      <c r="D488" s="13" t="str">
        <f>HYPERLINK("https://www.marklines.com/en/global/3427","Beijing Benz Automotive Co., Ltd. (BBAC)")</f>
        <v>Beijing Benz Automotive Co., Ltd. (BBAC)</v>
      </c>
      <c r="E488" s="12" t="s">
        <v>1292</v>
      </c>
      <c r="F488" s="12" t="s">
        <v>18</v>
      </c>
      <c r="G488" s="12" t="s">
        <v>24</v>
      </c>
      <c r="H488" s="12" t="s">
        <v>71</v>
      </c>
      <c r="I488" s="14">
        <v>45038</v>
      </c>
      <c r="J488" s="12" t="s">
        <v>1293</v>
      </c>
    </row>
    <row r="489" spans="1:10" s="15" customFormat="1" x14ac:dyDescent="0.15">
      <c r="A489" s="11">
        <v>45348</v>
      </c>
      <c r="B489" s="12" t="s">
        <v>58</v>
      </c>
      <c r="C489" s="12" t="s">
        <v>58</v>
      </c>
      <c r="D489" s="13" t="str">
        <f>HYPERLINK("https://www.marklines.com/en/global/3427","Beijing Benz Automotive Co., Ltd. (BBAC)")</f>
        <v>Beijing Benz Automotive Co., Ltd. (BBAC)</v>
      </c>
      <c r="E489" s="12" t="s">
        <v>1292</v>
      </c>
      <c r="F489" s="12" t="s">
        <v>18</v>
      </c>
      <c r="G489" s="12" t="s">
        <v>24</v>
      </c>
      <c r="H489" s="12" t="s">
        <v>71</v>
      </c>
      <c r="I489" s="14">
        <v>45038</v>
      </c>
      <c r="J489" s="12" t="s">
        <v>1293</v>
      </c>
    </row>
    <row r="490" spans="1:10" s="15" customFormat="1" x14ac:dyDescent="0.15">
      <c r="A490" s="11">
        <v>45346</v>
      </c>
      <c r="B490" s="12" t="s">
        <v>14</v>
      </c>
      <c r="C490" s="12" t="s">
        <v>14</v>
      </c>
      <c r="D490" s="13" t="str">
        <f>HYPERLINK("https://www.marklines.com/en/global/867","General Motors Mexico, Ramos Arizpe Plant")</f>
        <v>General Motors Mexico, Ramos Arizpe Plant</v>
      </c>
      <c r="E490" s="12" t="s">
        <v>632</v>
      </c>
      <c r="F490" s="12" t="s">
        <v>15</v>
      </c>
      <c r="G490" s="12" t="s">
        <v>218</v>
      </c>
      <c r="H490" s="12"/>
      <c r="I490" s="14">
        <v>45344</v>
      </c>
      <c r="J490" s="12" t="s">
        <v>1294</v>
      </c>
    </row>
    <row r="491" spans="1:10" s="15" customFormat="1" x14ac:dyDescent="0.15">
      <c r="A491" s="11">
        <v>45346</v>
      </c>
      <c r="B491" s="12" t="s">
        <v>14</v>
      </c>
      <c r="C491" s="12" t="s">
        <v>14</v>
      </c>
      <c r="D491" s="13" t="str">
        <f>HYPERLINK("https://www.marklines.com/en/global/867","General Motors Mexico, Ramos Arizpe Plant")</f>
        <v>General Motors Mexico, Ramos Arizpe Plant</v>
      </c>
      <c r="E491" s="12" t="s">
        <v>632</v>
      </c>
      <c r="F491" s="12" t="s">
        <v>15</v>
      </c>
      <c r="G491" s="12" t="s">
        <v>218</v>
      </c>
      <c r="H491" s="12"/>
      <c r="I491" s="14">
        <v>45344</v>
      </c>
      <c r="J491" s="12" t="s">
        <v>1295</v>
      </c>
    </row>
    <row r="492" spans="1:10" s="15" customFormat="1" x14ac:dyDescent="0.15">
      <c r="A492" s="11">
        <v>45346</v>
      </c>
      <c r="B492" s="12" t="s">
        <v>34</v>
      </c>
      <c r="C492" s="12" t="s">
        <v>34</v>
      </c>
      <c r="D492" s="13" t="str">
        <f>HYPERLINK("https://www.marklines.com/en/global/2865","Hyundai Motor Brasil (HMB), Piracicaba Plant")</f>
        <v>Hyundai Motor Brasil (HMB), Piracicaba Plant</v>
      </c>
      <c r="E492" s="12" t="s">
        <v>1296</v>
      </c>
      <c r="F492" s="12" t="s">
        <v>66</v>
      </c>
      <c r="G492" s="12" t="s">
        <v>67</v>
      </c>
      <c r="H492" s="12"/>
      <c r="I492" s="14">
        <v>45344</v>
      </c>
      <c r="J492" s="12" t="s">
        <v>1297</v>
      </c>
    </row>
    <row r="493" spans="1:10" s="15" customFormat="1" x14ac:dyDescent="0.15">
      <c r="A493" s="11">
        <v>45345</v>
      </c>
      <c r="B493" s="12" t="s">
        <v>34</v>
      </c>
      <c r="C493" s="12" t="s">
        <v>34</v>
      </c>
      <c r="D493" s="13" t="str">
        <f>HYPERLINK("https://www.marklines.com/en/global/709","AGR Automobile Plant, St. Peterburg (Kamenka) (formerly Hyundai Motor Manufacturing Russia (HMMR))")</f>
        <v>AGR Automobile Plant, St. Peterburg (Kamenka) (formerly Hyundai Motor Manufacturing Russia (HMMR))</v>
      </c>
      <c r="E493" s="12" t="s">
        <v>98</v>
      </c>
      <c r="F493" s="12" t="s">
        <v>17</v>
      </c>
      <c r="G493" s="12" t="s">
        <v>13</v>
      </c>
      <c r="H493" s="12"/>
      <c r="I493" s="14">
        <v>45344</v>
      </c>
      <c r="J493" s="12" t="s">
        <v>1048</v>
      </c>
    </row>
    <row r="494" spans="1:10" s="15" customFormat="1" x14ac:dyDescent="0.15">
      <c r="A494" s="11">
        <v>45345</v>
      </c>
      <c r="B494" s="12" t="s">
        <v>12</v>
      </c>
      <c r="C494" s="12" t="s">
        <v>12</v>
      </c>
      <c r="D494" s="13" t="str">
        <f>HYPERLINK("https://www.marklines.com/en/global/709","AGR Automobile Plant, St. Peterburg (Kamenka) (formerly Hyundai Motor Manufacturing Russia (HMMR))")</f>
        <v>AGR Automobile Plant, St. Peterburg (Kamenka) (formerly Hyundai Motor Manufacturing Russia (HMMR))</v>
      </c>
      <c r="E494" s="12" t="s">
        <v>98</v>
      </c>
      <c r="F494" s="12" t="s">
        <v>17</v>
      </c>
      <c r="G494" s="12" t="s">
        <v>13</v>
      </c>
      <c r="H494" s="12"/>
      <c r="I494" s="14">
        <v>45344</v>
      </c>
      <c r="J494" s="12" t="s">
        <v>1048</v>
      </c>
    </row>
    <row r="495" spans="1:10" s="15" customFormat="1" x14ac:dyDescent="0.15">
      <c r="A495" s="11">
        <v>45345</v>
      </c>
      <c r="B495" s="12" t="s">
        <v>28</v>
      </c>
      <c r="C495" s="12" t="s">
        <v>35</v>
      </c>
      <c r="D495" s="13" t="str">
        <f>HYPERLINK("https://www.marklines.com/en/global/2267","Volkswagen AG, Emden Plant")</f>
        <v>Volkswagen AG, Emden Plant</v>
      </c>
      <c r="E495" s="12" t="s">
        <v>272</v>
      </c>
      <c r="F495" s="12" t="s">
        <v>16</v>
      </c>
      <c r="G495" s="12" t="s">
        <v>208</v>
      </c>
      <c r="H495" s="12"/>
      <c r="I495" s="14">
        <v>45344</v>
      </c>
      <c r="J495" s="12" t="s">
        <v>1049</v>
      </c>
    </row>
    <row r="496" spans="1:10" s="15" customFormat="1" x14ac:dyDescent="0.15">
      <c r="A496" s="11">
        <v>45345</v>
      </c>
      <c r="B496" s="12" t="s">
        <v>28</v>
      </c>
      <c r="C496" s="12" t="s">
        <v>35</v>
      </c>
      <c r="D496" s="13" t="str">
        <f>HYPERLINK("https://www.marklines.com/en/global/2165","Volkswagen Osnabrück GmbH, Osnabrück Plant")</f>
        <v>Volkswagen Osnabrück GmbH, Osnabrück Plant</v>
      </c>
      <c r="E496" s="12" t="s">
        <v>1050</v>
      </c>
      <c r="F496" s="12" t="s">
        <v>16</v>
      </c>
      <c r="G496" s="12" t="s">
        <v>208</v>
      </c>
      <c r="H496" s="12"/>
      <c r="I496" s="14">
        <v>45344</v>
      </c>
      <c r="J496" s="12" t="s">
        <v>1049</v>
      </c>
    </row>
    <row r="497" spans="1:10" s="15" customFormat="1" x14ac:dyDescent="0.15">
      <c r="A497" s="11">
        <v>45345</v>
      </c>
      <c r="B497" s="12" t="s">
        <v>36</v>
      </c>
      <c r="C497" s="12" t="s">
        <v>36</v>
      </c>
      <c r="D497" s="13" t="str">
        <f>HYPERLINK("https://www.marklines.com/en/global/1339","Stellantis, Fiat Powertrain Technologies, Pratola Serra Plant")</f>
        <v>Stellantis, Fiat Powertrain Technologies, Pratola Serra Plant</v>
      </c>
      <c r="E497" s="12" t="s">
        <v>1051</v>
      </c>
      <c r="F497" s="12" t="s">
        <v>16</v>
      </c>
      <c r="G497" s="12" t="s">
        <v>37</v>
      </c>
      <c r="H497" s="12"/>
      <c r="I497" s="14">
        <v>45344</v>
      </c>
      <c r="J497" s="12" t="s">
        <v>1052</v>
      </c>
    </row>
    <row r="498" spans="1:10" s="15" customFormat="1" x14ac:dyDescent="0.15">
      <c r="A498" s="11">
        <v>45345</v>
      </c>
      <c r="B498" s="12" t="s">
        <v>19</v>
      </c>
      <c r="C498" s="12" t="s">
        <v>19</v>
      </c>
      <c r="D498" s="13" t="str">
        <f>HYPERLINK("https://www.marklines.com/en/global/1065","Indus Motor Company Ltd. (IMC), Karachi Plant")</f>
        <v>Indus Motor Company Ltd. (IMC), Karachi Plant</v>
      </c>
      <c r="E498" s="12" t="s">
        <v>1053</v>
      </c>
      <c r="F498" s="12" t="s">
        <v>22</v>
      </c>
      <c r="G498" s="12" t="s">
        <v>257</v>
      </c>
      <c r="H498" s="12"/>
      <c r="I498" s="14">
        <v>45344</v>
      </c>
      <c r="J498" s="12" t="s">
        <v>1054</v>
      </c>
    </row>
    <row r="499" spans="1:10" s="15" customFormat="1" x14ac:dyDescent="0.15">
      <c r="A499" s="11">
        <v>45345</v>
      </c>
      <c r="B499" s="12" t="s">
        <v>346</v>
      </c>
      <c r="C499" s="12" t="s">
        <v>346</v>
      </c>
      <c r="D499" s="13" t="str">
        <f>HYPERLINK("https://www.marklines.com/en/global/1089","Renault Nissan Automotive India (RNAIPL), Oragadam (Chennai) Plant")</f>
        <v>Renault Nissan Automotive India (RNAIPL), Oragadam (Chennai) Plant</v>
      </c>
      <c r="E499" s="12" t="s">
        <v>253</v>
      </c>
      <c r="F499" s="12" t="s">
        <v>22</v>
      </c>
      <c r="G499" s="12" t="s">
        <v>23</v>
      </c>
      <c r="H499" s="12" t="s">
        <v>254</v>
      </c>
      <c r="I499" s="14">
        <v>45344</v>
      </c>
      <c r="J499" s="12" t="s">
        <v>1055</v>
      </c>
    </row>
    <row r="500" spans="1:10" s="15" customFormat="1" x14ac:dyDescent="0.15">
      <c r="A500" s="11">
        <v>45345</v>
      </c>
      <c r="B500" s="12" t="s">
        <v>252</v>
      </c>
      <c r="C500" s="12" t="s">
        <v>252</v>
      </c>
      <c r="D500" s="13" t="str">
        <f>HYPERLINK("https://www.marklines.com/en/global/1089","Renault Nissan Automotive India (RNAIPL), Oragadam (Chennai) Plant")</f>
        <v>Renault Nissan Automotive India (RNAIPL), Oragadam (Chennai) Plant</v>
      </c>
      <c r="E500" s="12" t="s">
        <v>253</v>
      </c>
      <c r="F500" s="12" t="s">
        <v>22</v>
      </c>
      <c r="G500" s="12" t="s">
        <v>23</v>
      </c>
      <c r="H500" s="12" t="s">
        <v>254</v>
      </c>
      <c r="I500" s="14">
        <v>45344</v>
      </c>
      <c r="J500" s="12" t="s">
        <v>1055</v>
      </c>
    </row>
    <row r="501" spans="1:10" s="15" customFormat="1" x14ac:dyDescent="0.15">
      <c r="A501" s="11">
        <v>45345</v>
      </c>
      <c r="B501" s="12" t="s">
        <v>14</v>
      </c>
      <c r="C501" s="12" t="s">
        <v>14</v>
      </c>
      <c r="D501" s="13" t="str">
        <f>HYPERLINK("https://www.marklines.com/en/global/1173","Honda Cars India (HCIL), Tapukara Plant")</f>
        <v>Honda Cars India (HCIL), Tapukara Plant</v>
      </c>
      <c r="E501" s="12" t="s">
        <v>1056</v>
      </c>
      <c r="F501" s="12" t="s">
        <v>22</v>
      </c>
      <c r="G501" s="12" t="s">
        <v>23</v>
      </c>
      <c r="H501" s="12" t="s">
        <v>1057</v>
      </c>
      <c r="I501" s="14">
        <v>45344</v>
      </c>
      <c r="J501" s="12" t="s">
        <v>1058</v>
      </c>
    </row>
    <row r="502" spans="1:10" s="15" customFormat="1" x14ac:dyDescent="0.15">
      <c r="A502" s="11">
        <v>45345</v>
      </c>
      <c r="B502" s="12" t="s">
        <v>94</v>
      </c>
      <c r="C502" s="12" t="s">
        <v>94</v>
      </c>
      <c r="D502" s="13" t="str">
        <f>HYPERLINK("https://www.marklines.com/en/global/10448","Nikola Coolidge Manufacturing Facility")</f>
        <v>Nikola Coolidge Manufacturing Facility</v>
      </c>
      <c r="E502" s="12" t="s">
        <v>95</v>
      </c>
      <c r="F502" s="12" t="s">
        <v>15</v>
      </c>
      <c r="G502" s="12" t="s">
        <v>11</v>
      </c>
      <c r="H502" s="12" t="s">
        <v>74</v>
      </c>
      <c r="I502" s="14">
        <v>45344</v>
      </c>
      <c r="J502" s="12" t="s">
        <v>1059</v>
      </c>
    </row>
    <row r="503" spans="1:10" s="15" customFormat="1" x14ac:dyDescent="0.15">
      <c r="A503" s="11">
        <v>45345</v>
      </c>
      <c r="B503" s="12" t="s">
        <v>31</v>
      </c>
      <c r="C503" s="12" t="s">
        <v>31</v>
      </c>
      <c r="D503" s="13" t="str">
        <f>HYPERLINK("https://www.marklines.com/en/global/3153","Rivian, Normal Plant (former Mitsubishi Motors North America, Normal Plant)")</f>
        <v>Rivian, Normal Plant (former Mitsubishi Motors North America, Normal Plant)</v>
      </c>
      <c r="E503" s="12" t="s">
        <v>32</v>
      </c>
      <c r="F503" s="12" t="s">
        <v>15</v>
      </c>
      <c r="G503" s="12" t="s">
        <v>11</v>
      </c>
      <c r="H503" s="12" t="s">
        <v>33</v>
      </c>
      <c r="I503" s="14">
        <v>45343</v>
      </c>
      <c r="J503" s="12" t="s">
        <v>1060</v>
      </c>
    </row>
    <row r="504" spans="1:10" s="15" customFormat="1" x14ac:dyDescent="0.15">
      <c r="A504" s="11">
        <v>45345</v>
      </c>
      <c r="B504" s="12" t="s">
        <v>31</v>
      </c>
      <c r="C504" s="12" t="s">
        <v>31</v>
      </c>
      <c r="D504" s="13" t="str">
        <f>HYPERLINK("https://www.marklines.com/en/global/10742","Rivian, Georgia plant")</f>
        <v>Rivian, Georgia plant</v>
      </c>
      <c r="E504" s="12" t="s">
        <v>901</v>
      </c>
      <c r="F504" s="12" t="s">
        <v>15</v>
      </c>
      <c r="G504" s="12" t="s">
        <v>11</v>
      </c>
      <c r="H504" s="12" t="s">
        <v>361</v>
      </c>
      <c r="I504" s="14">
        <v>45343</v>
      </c>
      <c r="J504" s="12" t="s">
        <v>1060</v>
      </c>
    </row>
    <row r="505" spans="1:10" s="15" customFormat="1" x14ac:dyDescent="0.15">
      <c r="A505" s="11">
        <v>45345</v>
      </c>
      <c r="B505" s="12" t="s">
        <v>476</v>
      </c>
      <c r="C505" s="12" t="s">
        <v>476</v>
      </c>
      <c r="D505" s="13" t="str">
        <f>HYPERLINK("https://www.marklines.com/en/global/9873","Lucid Motors (Lucid Group, Inc.), Casa Grande plant (AMP-1)")</f>
        <v>Lucid Motors (Lucid Group, Inc.), Casa Grande plant (AMP-1)</v>
      </c>
      <c r="E505" s="12" t="s">
        <v>480</v>
      </c>
      <c r="F505" s="12" t="s">
        <v>15</v>
      </c>
      <c r="G505" s="12" t="s">
        <v>11</v>
      </c>
      <c r="H505" s="12" t="s">
        <v>74</v>
      </c>
      <c r="I505" s="14">
        <v>45343</v>
      </c>
      <c r="J505" s="12" t="s">
        <v>1061</v>
      </c>
    </row>
    <row r="506" spans="1:10" s="15" customFormat="1" x14ac:dyDescent="0.15">
      <c r="A506" s="11">
        <v>45345</v>
      </c>
      <c r="B506" s="12" t="s">
        <v>65</v>
      </c>
      <c r="C506" s="12" t="s">
        <v>65</v>
      </c>
      <c r="D506" s="13" t="str">
        <f>HYPERLINK("https://www.marklines.com/en/global/3807","Zhejiang Geely Holding Group Co., Ltd.")</f>
        <v>Zhejiang Geely Holding Group Co., Ltd.</v>
      </c>
      <c r="E506" s="12" t="s">
        <v>229</v>
      </c>
      <c r="F506" s="12" t="s">
        <v>18</v>
      </c>
      <c r="G506" s="12" t="s">
        <v>24</v>
      </c>
      <c r="H506" s="12" t="s">
        <v>61</v>
      </c>
      <c r="I506" s="14">
        <v>45342</v>
      </c>
      <c r="J506" s="12" t="s">
        <v>1062</v>
      </c>
    </row>
    <row r="507" spans="1:10" s="15" customFormat="1" x14ac:dyDescent="0.15">
      <c r="A507" s="11">
        <v>45345</v>
      </c>
      <c r="B507" s="12" t="s">
        <v>65</v>
      </c>
      <c r="C507" s="12" t="s">
        <v>1063</v>
      </c>
      <c r="D507" s="13" t="str">
        <f>HYPERLINK("https://www.marklines.com/en/global/10507","Chongqing Livan Automotive Technology Co., Ltd.")</f>
        <v>Chongqing Livan Automotive Technology Co., Ltd.</v>
      </c>
      <c r="E507" s="12" t="s">
        <v>1064</v>
      </c>
      <c r="F507" s="12" t="s">
        <v>18</v>
      </c>
      <c r="G507" s="12" t="s">
        <v>24</v>
      </c>
      <c r="H507" s="12" t="s">
        <v>25</v>
      </c>
      <c r="I507" s="14">
        <v>45342</v>
      </c>
      <c r="J507" s="12" t="s">
        <v>1062</v>
      </c>
    </row>
    <row r="508" spans="1:10" s="15" customFormat="1" x14ac:dyDescent="0.15">
      <c r="A508" s="11">
        <v>45345</v>
      </c>
      <c r="B508" s="12" t="s">
        <v>350</v>
      </c>
      <c r="C508" s="12" t="s">
        <v>646</v>
      </c>
      <c r="D508" s="13" t="str">
        <f>HYPERLINK("https://www.marklines.com/en/global/2517","General Motors, Wentzville Assembly Plant")</f>
        <v>General Motors, Wentzville Assembly Plant</v>
      </c>
      <c r="E508" s="12" t="s">
        <v>1065</v>
      </c>
      <c r="F508" s="12" t="s">
        <v>15</v>
      </c>
      <c r="G508" s="12" t="s">
        <v>11</v>
      </c>
      <c r="H508" s="12" t="s">
        <v>983</v>
      </c>
      <c r="I508" s="14">
        <v>45342</v>
      </c>
      <c r="J508" s="12" t="s">
        <v>1066</v>
      </c>
    </row>
    <row r="509" spans="1:10" s="15" customFormat="1" x14ac:dyDescent="0.15">
      <c r="A509" s="11">
        <v>45345</v>
      </c>
      <c r="B509" s="12" t="s">
        <v>350</v>
      </c>
      <c r="C509" s="12" t="s">
        <v>679</v>
      </c>
      <c r="D509" s="13" t="str">
        <f>HYPERLINK("https://www.marklines.com/en/global/2517","General Motors, Wentzville Assembly Plant")</f>
        <v>General Motors, Wentzville Assembly Plant</v>
      </c>
      <c r="E509" s="12" t="s">
        <v>1065</v>
      </c>
      <c r="F509" s="12" t="s">
        <v>15</v>
      </c>
      <c r="G509" s="12" t="s">
        <v>11</v>
      </c>
      <c r="H509" s="12" t="s">
        <v>983</v>
      </c>
      <c r="I509" s="14">
        <v>45342</v>
      </c>
      <c r="J509" s="12" t="s">
        <v>1066</v>
      </c>
    </row>
    <row r="510" spans="1:10" s="15" customFormat="1" x14ac:dyDescent="0.15">
      <c r="A510" s="11">
        <v>45345</v>
      </c>
      <c r="B510" s="12" t="s">
        <v>571</v>
      </c>
      <c r="C510" s="12" t="s">
        <v>652</v>
      </c>
      <c r="D510" s="13" t="str">
        <f>HYPERLINK("https://www.marklines.com/en/global/9824","GAC Aion New Energy Automobile Co., Ltd.")</f>
        <v>GAC Aion New Energy Automobile Co., Ltd.</v>
      </c>
      <c r="E510" s="12" t="s">
        <v>653</v>
      </c>
      <c r="F510" s="12" t="s">
        <v>18</v>
      </c>
      <c r="G510" s="12" t="s">
        <v>24</v>
      </c>
      <c r="H510" s="12" t="s">
        <v>63</v>
      </c>
      <c r="I510" s="14">
        <v>45015</v>
      </c>
      <c r="J510" s="12" t="s">
        <v>1067</v>
      </c>
    </row>
    <row r="511" spans="1:10" s="15" customFormat="1" x14ac:dyDescent="0.15">
      <c r="A511" s="11">
        <v>45345</v>
      </c>
      <c r="B511" s="12" t="s">
        <v>571</v>
      </c>
      <c r="C511" s="12" t="s">
        <v>571</v>
      </c>
      <c r="D511" s="13" t="str">
        <f>HYPERLINK("https://www.marklines.com/en/global/4075","GAC Motor Co., Ltd. (formerly Guangzhou Automobile Group Motor Co., Ltd.)")</f>
        <v>GAC Motor Co., Ltd. (formerly Guangzhou Automobile Group Motor Co., Ltd.)</v>
      </c>
      <c r="E511" s="12" t="s">
        <v>1068</v>
      </c>
      <c r="F511" s="12" t="s">
        <v>18</v>
      </c>
      <c r="G511" s="12" t="s">
        <v>24</v>
      </c>
      <c r="H511" s="12" t="s">
        <v>63</v>
      </c>
      <c r="I511" s="14">
        <v>45015</v>
      </c>
      <c r="J511" s="12" t="s">
        <v>1069</v>
      </c>
    </row>
    <row r="512" spans="1:10" s="15" customFormat="1" x14ac:dyDescent="0.15">
      <c r="A512" s="11">
        <v>45345</v>
      </c>
      <c r="B512" s="12" t="s">
        <v>19</v>
      </c>
      <c r="C512" s="12" t="s">
        <v>19</v>
      </c>
      <c r="D512" s="13" t="str">
        <f>HYPERLINK("https://www.marklines.com/en/global/4093","GAC Toyota Motor Co., Ltd. (GTMC)")</f>
        <v>GAC Toyota Motor Co., Ltd. (GTMC)</v>
      </c>
      <c r="E512" s="12" t="s">
        <v>569</v>
      </c>
      <c r="F512" s="12" t="s">
        <v>18</v>
      </c>
      <c r="G512" s="12" t="s">
        <v>24</v>
      </c>
      <c r="H512" s="12" t="s">
        <v>63</v>
      </c>
      <c r="I512" s="14">
        <v>45015</v>
      </c>
      <c r="J512" s="12" t="s">
        <v>1070</v>
      </c>
    </row>
    <row r="513" spans="1:10" s="15" customFormat="1" x14ac:dyDescent="0.15">
      <c r="A513" s="11">
        <v>45345</v>
      </c>
      <c r="B513" s="12" t="s">
        <v>571</v>
      </c>
      <c r="C513" s="12" t="s">
        <v>571</v>
      </c>
      <c r="D513" s="13" t="str">
        <f>HYPERLINK("https://www.marklines.com/en/global/4075","GAC Motor Co., Ltd. (formerly Guangzhou Automobile Group Motor Co., Ltd.)")</f>
        <v>GAC Motor Co., Ltd. (formerly Guangzhou Automobile Group Motor Co., Ltd.)</v>
      </c>
      <c r="E513" s="12" t="s">
        <v>1068</v>
      </c>
      <c r="F513" s="12" t="s">
        <v>18</v>
      </c>
      <c r="G513" s="12" t="s">
        <v>24</v>
      </c>
      <c r="H513" s="12" t="s">
        <v>63</v>
      </c>
      <c r="I513" s="14">
        <v>45015</v>
      </c>
      <c r="J513" s="12" t="s">
        <v>1071</v>
      </c>
    </row>
    <row r="514" spans="1:10" s="15" customFormat="1" x14ac:dyDescent="0.15">
      <c r="A514" s="11">
        <v>45345</v>
      </c>
      <c r="B514" s="12" t="s">
        <v>571</v>
      </c>
      <c r="C514" s="12" t="s">
        <v>652</v>
      </c>
      <c r="D514" s="13" t="str">
        <f>HYPERLINK("https://www.marklines.com/en/global/9824","GAC Aion New Energy Automobile Co., Ltd.")</f>
        <v>GAC Aion New Energy Automobile Co., Ltd.</v>
      </c>
      <c r="E514" s="12" t="s">
        <v>653</v>
      </c>
      <c r="F514" s="12" t="s">
        <v>18</v>
      </c>
      <c r="G514" s="12" t="s">
        <v>24</v>
      </c>
      <c r="H514" s="12" t="s">
        <v>63</v>
      </c>
      <c r="I514" s="14">
        <v>45015</v>
      </c>
      <c r="J514" s="12" t="s">
        <v>1072</v>
      </c>
    </row>
    <row r="515" spans="1:10" s="15" customFormat="1" x14ac:dyDescent="0.15">
      <c r="A515" s="11">
        <v>45345</v>
      </c>
      <c r="B515" s="12" t="s">
        <v>571</v>
      </c>
      <c r="C515" s="12" t="s">
        <v>652</v>
      </c>
      <c r="D515" s="13" t="str">
        <f>HYPERLINK("https://www.marklines.com/en/global/9824","GAC Aion New Energy Automobile Co., Ltd.")</f>
        <v>GAC Aion New Energy Automobile Co., Ltd.</v>
      </c>
      <c r="E515" s="12" t="s">
        <v>653</v>
      </c>
      <c r="F515" s="12" t="s">
        <v>18</v>
      </c>
      <c r="G515" s="12" t="s">
        <v>24</v>
      </c>
      <c r="H515" s="12" t="s">
        <v>63</v>
      </c>
      <c r="I515" s="14">
        <v>45015</v>
      </c>
      <c r="J515" s="12" t="s">
        <v>1073</v>
      </c>
    </row>
    <row r="516" spans="1:10" s="15" customFormat="1" x14ac:dyDescent="0.15">
      <c r="A516" s="11">
        <v>45345</v>
      </c>
      <c r="B516" s="12" t="s">
        <v>571</v>
      </c>
      <c r="C516" s="12" t="s">
        <v>652</v>
      </c>
      <c r="D516" s="13" t="str">
        <f>HYPERLINK("https://www.marklines.com/en/global/9824","GAC Aion New Energy Automobile Co., Ltd.")</f>
        <v>GAC Aion New Energy Automobile Co., Ltd.</v>
      </c>
      <c r="E516" s="12" t="s">
        <v>653</v>
      </c>
      <c r="F516" s="12" t="s">
        <v>18</v>
      </c>
      <c r="G516" s="12" t="s">
        <v>24</v>
      </c>
      <c r="H516" s="12" t="s">
        <v>63</v>
      </c>
      <c r="I516" s="14">
        <v>45015</v>
      </c>
      <c r="J516" s="12" t="s">
        <v>1074</v>
      </c>
    </row>
    <row r="517" spans="1:10" s="15" customFormat="1" x14ac:dyDescent="0.15">
      <c r="A517" s="11">
        <v>45345</v>
      </c>
      <c r="B517" s="12" t="s">
        <v>571</v>
      </c>
      <c r="C517" s="12" t="s">
        <v>652</v>
      </c>
      <c r="D517" s="13" t="str">
        <f>HYPERLINK("https://www.marklines.com/en/global/9824","GAC Aion New Energy Automobile Co., Ltd.")</f>
        <v>GAC Aion New Energy Automobile Co., Ltd.</v>
      </c>
      <c r="E517" s="12" t="s">
        <v>653</v>
      </c>
      <c r="F517" s="12" t="s">
        <v>18</v>
      </c>
      <c r="G517" s="12" t="s">
        <v>24</v>
      </c>
      <c r="H517" s="12" t="s">
        <v>63</v>
      </c>
      <c r="I517" s="14">
        <v>45015</v>
      </c>
      <c r="J517" s="12" t="s">
        <v>1075</v>
      </c>
    </row>
    <row r="518" spans="1:10" s="15" customFormat="1" x14ac:dyDescent="0.15">
      <c r="A518" s="11">
        <v>45345</v>
      </c>
      <c r="B518" s="12" t="s">
        <v>571</v>
      </c>
      <c r="C518" s="12" t="s">
        <v>652</v>
      </c>
      <c r="D518" s="13" t="str">
        <f>HYPERLINK("https://www.marklines.com/en/global/9824","GAC Aion New Energy Automobile Co., Ltd.")</f>
        <v>GAC Aion New Energy Automobile Co., Ltd.</v>
      </c>
      <c r="E518" s="12" t="s">
        <v>653</v>
      </c>
      <c r="F518" s="12" t="s">
        <v>18</v>
      </c>
      <c r="G518" s="12" t="s">
        <v>24</v>
      </c>
      <c r="H518" s="12" t="s">
        <v>63</v>
      </c>
      <c r="I518" s="14">
        <v>45015</v>
      </c>
      <c r="J518" s="12" t="s">
        <v>1076</v>
      </c>
    </row>
    <row r="519" spans="1:10" s="15" customFormat="1" x14ac:dyDescent="0.15">
      <c r="A519" s="11">
        <v>45344</v>
      </c>
      <c r="B519" s="12" t="s">
        <v>28</v>
      </c>
      <c r="C519" s="12" t="s">
        <v>44</v>
      </c>
      <c r="D519" s="13" t="str">
        <f>HYPERLINK("https://www.marklines.com/en/global/1739","Škoda Auto, Mladá Boleslav Plant")</f>
        <v>Škoda Auto, Mladá Boleslav Plant</v>
      </c>
      <c r="E519" s="12" t="s">
        <v>1077</v>
      </c>
      <c r="F519" s="12" t="s">
        <v>17</v>
      </c>
      <c r="G519" s="12" t="s">
        <v>364</v>
      </c>
      <c r="H519" s="12"/>
      <c r="I519" s="14">
        <v>45344</v>
      </c>
      <c r="J519" s="12" t="s">
        <v>1078</v>
      </c>
    </row>
    <row r="520" spans="1:10" s="15" customFormat="1" x14ac:dyDescent="0.15">
      <c r="A520" s="11">
        <v>45344</v>
      </c>
      <c r="B520" s="12" t="s">
        <v>1079</v>
      </c>
      <c r="C520" s="12" t="s">
        <v>1079</v>
      </c>
      <c r="D520" s="13" t="str">
        <f>HYPERLINK("https://www.marklines.com/en/global/1097","Ashok Leyland Ltd.")</f>
        <v>Ashok Leyland Ltd.</v>
      </c>
      <c r="E520" s="12" t="s">
        <v>1080</v>
      </c>
      <c r="F520" s="12" t="s">
        <v>22</v>
      </c>
      <c r="G520" s="12" t="s">
        <v>23</v>
      </c>
      <c r="H520" s="12" t="s">
        <v>254</v>
      </c>
      <c r="I520" s="14">
        <v>45344</v>
      </c>
      <c r="J520" s="12" t="s">
        <v>1081</v>
      </c>
    </row>
    <row r="521" spans="1:10" s="15" customFormat="1" x14ac:dyDescent="0.15">
      <c r="A521" s="11">
        <v>45344</v>
      </c>
      <c r="B521" s="12" t="s">
        <v>1079</v>
      </c>
      <c r="C521" s="12" t="s">
        <v>1079</v>
      </c>
      <c r="D521" s="13" t="str">
        <f>HYPERLINK("https://www.marklines.com/en/global/1109","Ashok Leyland, Pantnagar Plant")</f>
        <v>Ashok Leyland, Pantnagar Plant</v>
      </c>
      <c r="E521" s="12" t="s">
        <v>1082</v>
      </c>
      <c r="F521" s="12" t="s">
        <v>22</v>
      </c>
      <c r="G521" s="12" t="s">
        <v>23</v>
      </c>
      <c r="H521" s="12" t="s">
        <v>1083</v>
      </c>
      <c r="I521" s="14">
        <v>45344</v>
      </c>
      <c r="J521" s="12" t="s">
        <v>1081</v>
      </c>
    </row>
    <row r="522" spans="1:10" s="15" customFormat="1" x14ac:dyDescent="0.15">
      <c r="A522" s="11">
        <v>45344</v>
      </c>
      <c r="B522" s="12" t="s">
        <v>1084</v>
      </c>
      <c r="C522" s="12" t="s">
        <v>1084</v>
      </c>
      <c r="D522" s="13" t="str">
        <f>HYPERLINK("https://www.marklines.com/en/global/9607","Olectra Greentech Ltd. (formerly Goldstone Infratech Ltd.)")</f>
        <v>Olectra Greentech Ltd. (formerly Goldstone Infratech Ltd.)</v>
      </c>
      <c r="E522" s="12" t="s">
        <v>1085</v>
      </c>
      <c r="F522" s="12" t="s">
        <v>22</v>
      </c>
      <c r="G522" s="12" t="s">
        <v>23</v>
      </c>
      <c r="H522" s="12" t="s">
        <v>1086</v>
      </c>
      <c r="I522" s="14">
        <v>45344</v>
      </c>
      <c r="J522" s="12" t="s">
        <v>1087</v>
      </c>
    </row>
    <row r="523" spans="1:10" s="15" customFormat="1" x14ac:dyDescent="0.15">
      <c r="A523" s="11">
        <v>45344</v>
      </c>
      <c r="B523" s="12" t="s">
        <v>19</v>
      </c>
      <c r="C523" s="12" t="s">
        <v>19</v>
      </c>
      <c r="D523" s="13" t="str">
        <f>HYPERLINK("https://www.marklines.com/en/global/3265","Toyota Motor Manufacturing, Alabama,  Inc. (TMMAL), Huntsville Plant")</f>
        <v>Toyota Motor Manufacturing, Alabama,  Inc. (TMMAL), Huntsville Plant</v>
      </c>
      <c r="E523" s="12" t="s">
        <v>1088</v>
      </c>
      <c r="F523" s="12" t="s">
        <v>15</v>
      </c>
      <c r="G523" s="12" t="s">
        <v>11</v>
      </c>
      <c r="H523" s="12" t="s">
        <v>457</v>
      </c>
      <c r="I523" s="14">
        <v>45343</v>
      </c>
      <c r="J523" s="12" t="s">
        <v>1089</v>
      </c>
    </row>
    <row r="524" spans="1:10" s="15" customFormat="1" x14ac:dyDescent="0.15">
      <c r="A524" s="11">
        <v>45344</v>
      </c>
      <c r="B524" s="12" t="s">
        <v>21</v>
      </c>
      <c r="C524" s="12" t="s">
        <v>21</v>
      </c>
      <c r="D524" s="13" t="str">
        <f>HYPERLINK("https://www.marklines.com/en/global/2607","Ford Motor, Kentucky Truck Plant")</f>
        <v>Ford Motor, Kentucky Truck Plant</v>
      </c>
      <c r="E524" s="12" t="s">
        <v>1090</v>
      </c>
      <c r="F524" s="12" t="s">
        <v>15</v>
      </c>
      <c r="G524" s="12" t="s">
        <v>11</v>
      </c>
      <c r="H524" s="12" t="s">
        <v>892</v>
      </c>
      <c r="I524" s="14">
        <v>45343</v>
      </c>
      <c r="J524" s="12" t="s">
        <v>1091</v>
      </c>
    </row>
    <row r="525" spans="1:10" s="15" customFormat="1" x14ac:dyDescent="0.15">
      <c r="A525" s="11">
        <v>45344</v>
      </c>
      <c r="B525" s="12" t="s">
        <v>21</v>
      </c>
      <c r="C525" s="12" t="s">
        <v>922</v>
      </c>
      <c r="D525" s="13" t="str">
        <f>HYPERLINK("https://www.marklines.com/en/global/2607","Ford Motor, Kentucky Truck Plant")</f>
        <v>Ford Motor, Kentucky Truck Plant</v>
      </c>
      <c r="E525" s="12" t="s">
        <v>1090</v>
      </c>
      <c r="F525" s="12" t="s">
        <v>15</v>
      </c>
      <c r="G525" s="12" t="s">
        <v>11</v>
      </c>
      <c r="H525" s="12" t="s">
        <v>892</v>
      </c>
      <c r="I525" s="14">
        <v>45343</v>
      </c>
      <c r="J525" s="12" t="s">
        <v>1091</v>
      </c>
    </row>
    <row r="526" spans="1:10" s="15" customFormat="1" x14ac:dyDescent="0.15">
      <c r="A526" s="11">
        <v>45344</v>
      </c>
      <c r="B526" s="12" t="s">
        <v>350</v>
      </c>
      <c r="C526" s="12" t="s">
        <v>350</v>
      </c>
      <c r="D526" s="13" t="str">
        <f>HYPERLINK("https://www.marklines.com/en/global/2541","General Motors Canada, Ingersoll Plant")</f>
        <v>General Motors Canada, Ingersoll Plant</v>
      </c>
      <c r="E526" s="12" t="s">
        <v>351</v>
      </c>
      <c r="F526" s="12" t="s">
        <v>15</v>
      </c>
      <c r="G526" s="12" t="s">
        <v>260</v>
      </c>
      <c r="H526" s="12"/>
      <c r="I526" s="14">
        <v>45343</v>
      </c>
      <c r="J526" s="12" t="s">
        <v>1092</v>
      </c>
    </row>
    <row r="527" spans="1:10" s="15" customFormat="1" x14ac:dyDescent="0.15">
      <c r="A527" s="11">
        <v>45344</v>
      </c>
      <c r="B527" s="12" t="s">
        <v>350</v>
      </c>
      <c r="C527" s="12" t="s">
        <v>629</v>
      </c>
      <c r="D527" s="13" t="str">
        <f>HYPERLINK("https://www.marklines.com/en/global/2523","General Motors, Spring Hill Manufacturing (formerly Spring Hill Assembly)")</f>
        <v>General Motors, Spring Hill Manufacturing (formerly Spring Hill Assembly)</v>
      </c>
      <c r="E527" s="12" t="s">
        <v>630</v>
      </c>
      <c r="F527" s="12" t="s">
        <v>15</v>
      </c>
      <c r="G527" s="12" t="s">
        <v>11</v>
      </c>
      <c r="H527" s="12" t="s">
        <v>348</v>
      </c>
      <c r="I527" s="14">
        <v>45343</v>
      </c>
      <c r="J527" s="12" t="s">
        <v>1093</v>
      </c>
    </row>
    <row r="528" spans="1:10" s="15" customFormat="1" x14ac:dyDescent="0.15">
      <c r="A528" s="11">
        <v>45344</v>
      </c>
      <c r="B528" s="12" t="s">
        <v>36</v>
      </c>
      <c r="C528" s="12" t="s">
        <v>38</v>
      </c>
      <c r="D528" s="13" t="str">
        <f>HYPERLINK("https://www.marklines.com/en/global/1327","Stellantis, FCA Italy, Mirafiori (Turin) Plant")</f>
        <v>Stellantis, FCA Italy, Mirafiori (Turin) Plant</v>
      </c>
      <c r="E528" s="12" t="s">
        <v>82</v>
      </c>
      <c r="F528" s="12" t="s">
        <v>16</v>
      </c>
      <c r="G528" s="12" t="s">
        <v>37</v>
      </c>
      <c r="H528" s="12"/>
      <c r="I528" s="14">
        <v>45343</v>
      </c>
      <c r="J528" s="12" t="s">
        <v>1094</v>
      </c>
    </row>
    <row r="529" spans="1:10" s="15" customFormat="1" x14ac:dyDescent="0.15">
      <c r="A529" s="11">
        <v>45344</v>
      </c>
      <c r="B529" s="12" t="s">
        <v>86</v>
      </c>
      <c r="C529" s="12" t="s">
        <v>86</v>
      </c>
      <c r="D529" s="13" t="str">
        <f>HYPERLINK("https://www.marklines.com/en/global/737","Kamaz, Naberezhnye Chelny Plant")</f>
        <v>Kamaz, Naberezhnye Chelny Plant</v>
      </c>
      <c r="E529" s="12" t="s">
        <v>87</v>
      </c>
      <c r="F529" s="12" t="s">
        <v>17</v>
      </c>
      <c r="G529" s="12" t="s">
        <v>13</v>
      </c>
      <c r="H529" s="12"/>
      <c r="I529" s="14">
        <v>45342</v>
      </c>
      <c r="J529" s="12" t="s">
        <v>1095</v>
      </c>
    </row>
    <row r="530" spans="1:10" s="15" customFormat="1" x14ac:dyDescent="0.15">
      <c r="A530" s="11">
        <v>45344</v>
      </c>
      <c r="B530" s="12" t="s">
        <v>65</v>
      </c>
      <c r="C530" s="12" t="s">
        <v>221</v>
      </c>
      <c r="D530" s="13" t="str">
        <f>HYPERLINK("https://www.marklines.com/en/global/10660","Wuhan Lotus Technology Co., Ltd.")</f>
        <v>Wuhan Lotus Technology Co., Ltd.</v>
      </c>
      <c r="E530" s="12" t="s">
        <v>1096</v>
      </c>
      <c r="F530" s="12" t="s">
        <v>18</v>
      </c>
      <c r="G530" s="12" t="s">
        <v>24</v>
      </c>
      <c r="H530" s="12" t="s">
        <v>76</v>
      </c>
      <c r="I530" s="14">
        <v>45342</v>
      </c>
      <c r="J530" s="12" t="s">
        <v>1097</v>
      </c>
    </row>
    <row r="531" spans="1:10" s="15" customFormat="1" x14ac:dyDescent="0.15">
      <c r="A531" s="11">
        <v>45344</v>
      </c>
      <c r="B531" s="12" t="s">
        <v>224</v>
      </c>
      <c r="C531" s="12" t="s">
        <v>545</v>
      </c>
      <c r="D531" s="13" t="str">
        <f>HYPERLINK("https://www.marklines.com/en/global/2829","Daimler Truck, Mercedes-Benz do Brasil Ltda,São Bernardo do Campo Plant")</f>
        <v>Daimler Truck, Mercedes-Benz do Brasil Ltda,São Bernardo do Campo Plant</v>
      </c>
      <c r="E531" s="12" t="s">
        <v>1098</v>
      </c>
      <c r="F531" s="12" t="s">
        <v>66</v>
      </c>
      <c r="G531" s="12" t="s">
        <v>67</v>
      </c>
      <c r="H531" s="12"/>
      <c r="I531" s="14">
        <v>45342</v>
      </c>
      <c r="J531" s="12" t="s">
        <v>1099</v>
      </c>
    </row>
    <row r="532" spans="1:10" s="15" customFormat="1" x14ac:dyDescent="0.15">
      <c r="A532" s="11">
        <v>45344</v>
      </c>
      <c r="B532" s="12" t="s">
        <v>224</v>
      </c>
      <c r="C532" s="12" t="s">
        <v>545</v>
      </c>
      <c r="D532" s="13" t="str">
        <f>HYPERLINK("https://www.marklines.com/en/global/273","(Inchcape-Indomobil owned) PT Mercedes-Benz Indonesia, Bogor plant")</f>
        <v>(Inchcape-Indomobil owned) PT Mercedes-Benz Indonesia, Bogor plant</v>
      </c>
      <c r="E532" s="12" t="s">
        <v>1100</v>
      </c>
      <c r="F532" s="12" t="s">
        <v>29</v>
      </c>
      <c r="G532" s="12" t="s">
        <v>343</v>
      </c>
      <c r="H532" s="12"/>
      <c r="I532" s="14">
        <v>45341</v>
      </c>
      <c r="J532" s="12" t="s">
        <v>1101</v>
      </c>
    </row>
    <row r="533" spans="1:10" s="15" customFormat="1" x14ac:dyDescent="0.15">
      <c r="A533" s="11">
        <v>45344</v>
      </c>
      <c r="B533" s="12" t="s">
        <v>84</v>
      </c>
      <c r="C533" s="12" t="s">
        <v>84</v>
      </c>
      <c r="D533" s="13" t="str">
        <f>HYPERLINK("https://www.marklines.com/en/global/9485","Guangzhou Xiaopeng Motors Technology Co., Ltd. ")</f>
        <v xml:space="preserve">Guangzhou Xiaopeng Motors Technology Co., Ltd. </v>
      </c>
      <c r="E533" s="12" t="s">
        <v>607</v>
      </c>
      <c r="F533" s="12" t="s">
        <v>18</v>
      </c>
      <c r="G533" s="12" t="s">
        <v>24</v>
      </c>
      <c r="H533" s="12" t="s">
        <v>63</v>
      </c>
      <c r="I533" s="14">
        <v>45341</v>
      </c>
      <c r="J533" s="12" t="s">
        <v>1102</v>
      </c>
    </row>
    <row r="534" spans="1:10" s="15" customFormat="1" x14ac:dyDescent="0.15">
      <c r="A534" s="11">
        <v>45343</v>
      </c>
      <c r="B534" s="12" t="s">
        <v>1103</v>
      </c>
      <c r="C534" s="12" t="s">
        <v>1103</v>
      </c>
      <c r="D534" s="13" t="str">
        <f>HYPERLINK("https://www.marklines.com/en/global/2429","KG Mobility (formerly Ssangyong Motor), Pyeongtaek Plant")</f>
        <v>KG Mobility (formerly Ssangyong Motor), Pyeongtaek Plant</v>
      </c>
      <c r="E534" s="12" t="s">
        <v>1104</v>
      </c>
      <c r="F534" s="12" t="s">
        <v>18</v>
      </c>
      <c r="G534" s="12" t="s">
        <v>404</v>
      </c>
      <c r="H534" s="12"/>
      <c r="I534" s="14">
        <v>45343</v>
      </c>
      <c r="J534" s="12" t="s">
        <v>1105</v>
      </c>
    </row>
    <row r="535" spans="1:10" s="15" customFormat="1" x14ac:dyDescent="0.15">
      <c r="A535" s="11">
        <v>45343</v>
      </c>
      <c r="B535" s="12" t="s">
        <v>50</v>
      </c>
      <c r="C535" s="12" t="s">
        <v>50</v>
      </c>
      <c r="D535" s="13" t="str">
        <f>HYPERLINK("https://www.marklines.com/en/global/9895","Tesla Gigafactory Berlin-Brandenburg")</f>
        <v>Tesla Gigafactory Berlin-Brandenburg</v>
      </c>
      <c r="E535" s="12" t="s">
        <v>474</v>
      </c>
      <c r="F535" s="12" t="s">
        <v>16</v>
      </c>
      <c r="G535" s="12" t="s">
        <v>208</v>
      </c>
      <c r="H535" s="12"/>
      <c r="I535" s="14">
        <v>45342</v>
      </c>
      <c r="J535" s="12" t="s">
        <v>1106</v>
      </c>
    </row>
    <row r="536" spans="1:10" s="15" customFormat="1" x14ac:dyDescent="0.15">
      <c r="A536" s="11">
        <v>45343</v>
      </c>
      <c r="B536" s="12" t="s">
        <v>39</v>
      </c>
      <c r="C536" s="12" t="s">
        <v>40</v>
      </c>
      <c r="D536" s="13" t="str">
        <f>HYPERLINK("https://www.marklines.com/en/global/729","LLC ""LADA Izhevsk"", LADA Izhevsk Automotive Plant (formerly OJSC Izh-Avto, Izhevsk Automobilny Zavod) ")</f>
        <v xml:space="preserve">LLC "LADA Izhevsk", LADA Izhevsk Automotive Plant (formerly OJSC Izh-Avto, Izhevsk Automobilny Zavod) </v>
      </c>
      <c r="E536" s="12" t="s">
        <v>46</v>
      </c>
      <c r="F536" s="12" t="s">
        <v>17</v>
      </c>
      <c r="G536" s="12" t="s">
        <v>13</v>
      </c>
      <c r="H536" s="12"/>
      <c r="I536" s="14">
        <v>45342</v>
      </c>
      <c r="J536" s="12" t="s">
        <v>1107</v>
      </c>
    </row>
    <row r="537" spans="1:10" s="15" customFormat="1" x14ac:dyDescent="0.15">
      <c r="A537" s="11">
        <v>45343</v>
      </c>
      <c r="B537" s="12" t="s">
        <v>65</v>
      </c>
      <c r="C537" s="12" t="s">
        <v>312</v>
      </c>
      <c r="D537" s="13" t="str">
        <f>HYPERLINK("https://www.marklines.com/en/global/1512","Volvo Cars N.V., Ghent Plant")</f>
        <v>Volvo Cars N.V., Ghent Plant</v>
      </c>
      <c r="E537" s="12" t="s">
        <v>436</v>
      </c>
      <c r="F537" s="12" t="s">
        <v>16</v>
      </c>
      <c r="G537" s="12" t="s">
        <v>437</v>
      </c>
      <c r="H537" s="12"/>
      <c r="I537" s="14">
        <v>45342</v>
      </c>
      <c r="J537" s="12" t="s">
        <v>1108</v>
      </c>
    </row>
    <row r="538" spans="1:10" s="15" customFormat="1" x14ac:dyDescent="0.15">
      <c r="A538" s="11">
        <v>45343</v>
      </c>
      <c r="B538" s="12" t="s">
        <v>65</v>
      </c>
      <c r="C538" s="12" t="s">
        <v>312</v>
      </c>
      <c r="D538" s="13" t="str">
        <f>HYPERLINK("https://www.marklines.com/en/global/1017","Volvo Car Manufacturing Malaysia Sdn. Bhd., Shah Alam Plant (former Swedish Motor Assemblies Sdn Bhd)")</f>
        <v>Volvo Car Manufacturing Malaysia Sdn. Bhd., Shah Alam Plant (former Swedish Motor Assemblies Sdn Bhd)</v>
      </c>
      <c r="E538" s="12" t="s">
        <v>1109</v>
      </c>
      <c r="F538" s="12" t="s">
        <v>29</v>
      </c>
      <c r="G538" s="12" t="s">
        <v>75</v>
      </c>
      <c r="H538" s="12"/>
      <c r="I538" s="14">
        <v>45342</v>
      </c>
      <c r="J538" s="12" t="s">
        <v>1108</v>
      </c>
    </row>
    <row r="539" spans="1:10" s="15" customFormat="1" x14ac:dyDescent="0.15">
      <c r="A539" s="11">
        <v>45343</v>
      </c>
      <c r="B539" s="12" t="s">
        <v>65</v>
      </c>
      <c r="C539" s="12" t="s">
        <v>312</v>
      </c>
      <c r="D539" s="13" t="str">
        <f>HYPERLINK("https://www.marklines.com/en/global/1295","Volvo India Private Limited, Bangalore (Hoskote) Plant ")</f>
        <v xml:space="preserve">Volvo India Private Limited, Bangalore (Hoskote) Plant </v>
      </c>
      <c r="E539" s="12" t="s">
        <v>1110</v>
      </c>
      <c r="F539" s="12" t="s">
        <v>22</v>
      </c>
      <c r="G539" s="12" t="s">
        <v>23</v>
      </c>
      <c r="H539" s="12" t="s">
        <v>657</v>
      </c>
      <c r="I539" s="14">
        <v>45342</v>
      </c>
      <c r="J539" s="12" t="s">
        <v>1108</v>
      </c>
    </row>
    <row r="540" spans="1:10" s="15" customFormat="1" x14ac:dyDescent="0.15">
      <c r="A540" s="11">
        <v>45343</v>
      </c>
      <c r="B540" s="12" t="s">
        <v>65</v>
      </c>
      <c r="C540" s="12" t="s">
        <v>312</v>
      </c>
      <c r="D540" s="13" t="str">
        <f>HYPERLINK("https://www.marklines.com/en/global/9867","Asia-Europe Automobile Manufacturing (Taizhou) Co., Ltd.")</f>
        <v>Asia-Europe Automobile Manufacturing (Taizhou) Co., Ltd.</v>
      </c>
      <c r="E540" s="12" t="s">
        <v>1111</v>
      </c>
      <c r="F540" s="12" t="s">
        <v>18</v>
      </c>
      <c r="G540" s="12" t="s">
        <v>24</v>
      </c>
      <c r="H540" s="12" t="s">
        <v>61</v>
      </c>
      <c r="I540" s="14">
        <v>45342</v>
      </c>
      <c r="J540" s="12" t="s">
        <v>1108</v>
      </c>
    </row>
    <row r="541" spans="1:10" s="15" customFormat="1" x14ac:dyDescent="0.15">
      <c r="A541" s="11">
        <v>45343</v>
      </c>
      <c r="B541" s="12" t="s">
        <v>28</v>
      </c>
      <c r="C541" s="12" t="s">
        <v>35</v>
      </c>
      <c r="D541" s="13" t="str">
        <f>HYPERLINK("https://www.marklines.com/en/global/1965","Volkswagen Navarra, S.A., Pamplona (Landaben) Plant")</f>
        <v>Volkswagen Navarra, S.A., Pamplona (Landaben) Plant</v>
      </c>
      <c r="E541" s="12" t="s">
        <v>64</v>
      </c>
      <c r="F541" s="12" t="s">
        <v>16</v>
      </c>
      <c r="G541" s="12" t="s">
        <v>42</v>
      </c>
      <c r="H541" s="12"/>
      <c r="I541" s="14">
        <v>45341</v>
      </c>
      <c r="J541" s="12" t="s">
        <v>1112</v>
      </c>
    </row>
    <row r="542" spans="1:10" s="15" customFormat="1" x14ac:dyDescent="0.15">
      <c r="A542" s="11">
        <v>45343</v>
      </c>
      <c r="B542" s="12" t="s">
        <v>28</v>
      </c>
      <c r="C542" s="12" t="s">
        <v>44</v>
      </c>
      <c r="D542" s="13" t="str">
        <f>HYPERLINK("https://www.marklines.com/en/global/1965","Volkswagen Navarra, S.A., Pamplona (Landaben) Plant")</f>
        <v>Volkswagen Navarra, S.A., Pamplona (Landaben) Plant</v>
      </c>
      <c r="E542" s="12" t="s">
        <v>64</v>
      </c>
      <c r="F542" s="12" t="s">
        <v>16</v>
      </c>
      <c r="G542" s="12" t="s">
        <v>42</v>
      </c>
      <c r="H542" s="12"/>
      <c r="I542" s="14">
        <v>45341</v>
      </c>
      <c r="J542" s="12" t="s">
        <v>1112</v>
      </c>
    </row>
    <row r="543" spans="1:10" s="15" customFormat="1" x14ac:dyDescent="0.15">
      <c r="A543" s="11">
        <v>45343</v>
      </c>
      <c r="B543" s="12" t="s">
        <v>248</v>
      </c>
      <c r="C543" s="12" t="s">
        <v>643</v>
      </c>
      <c r="D543" s="13" t="str">
        <f>HYPERLINK("https://www.marklines.com/en/global/4153","SAIC-GM-Wuling Automobile Co., Ltd. (SGMW)　")</f>
        <v>SAIC-GM-Wuling Automobile Co., Ltd. (SGMW)　</v>
      </c>
      <c r="E543" s="12" t="s">
        <v>713</v>
      </c>
      <c r="F543" s="12" t="s">
        <v>18</v>
      </c>
      <c r="G543" s="12" t="s">
        <v>24</v>
      </c>
      <c r="H543" s="12" t="s">
        <v>326</v>
      </c>
      <c r="I543" s="14">
        <v>45341</v>
      </c>
      <c r="J543" s="12" t="s">
        <v>1113</v>
      </c>
    </row>
    <row r="544" spans="1:10" s="15" customFormat="1" x14ac:dyDescent="0.15">
      <c r="A544" s="11">
        <v>45343</v>
      </c>
      <c r="B544" s="12" t="s">
        <v>248</v>
      </c>
      <c r="C544" s="12" t="s">
        <v>643</v>
      </c>
      <c r="D544" s="13" t="str">
        <f>HYPERLINK("https://www.marklines.com/en/global/3687","SAIC GM Wuling Automobile Co., Ltd. Qingdao Branch (SGMW Qingdao Branch)")</f>
        <v>SAIC GM Wuling Automobile Co., Ltd. Qingdao Branch (SGMW Qingdao Branch)</v>
      </c>
      <c r="E544" s="12" t="s">
        <v>644</v>
      </c>
      <c r="F544" s="12" t="s">
        <v>18</v>
      </c>
      <c r="G544" s="12" t="s">
        <v>24</v>
      </c>
      <c r="H544" s="12" t="s">
        <v>62</v>
      </c>
      <c r="I544" s="14">
        <v>45341</v>
      </c>
      <c r="J544" s="12" t="s">
        <v>1113</v>
      </c>
    </row>
    <row r="545" spans="1:10" s="15" customFormat="1" x14ac:dyDescent="0.15">
      <c r="A545" s="11">
        <v>45343</v>
      </c>
      <c r="B545" s="12" t="s">
        <v>28</v>
      </c>
      <c r="C545" s="12" t="s">
        <v>35</v>
      </c>
      <c r="D545" s="13" t="str">
        <f>HYPERLINK("https://www.marklines.com/en/global/911","Volkswagen Mexico, Puebla Plant")</f>
        <v>Volkswagen Mexico, Puebla Plant</v>
      </c>
      <c r="E545" s="12" t="s">
        <v>1114</v>
      </c>
      <c r="F545" s="12" t="s">
        <v>15</v>
      </c>
      <c r="G545" s="12" t="s">
        <v>218</v>
      </c>
      <c r="H545" s="12"/>
      <c r="I545" s="14">
        <v>45341</v>
      </c>
      <c r="J545" s="12" t="s">
        <v>1115</v>
      </c>
    </row>
    <row r="546" spans="1:10" s="15" customFormat="1" x14ac:dyDescent="0.15">
      <c r="A546" s="11">
        <v>45343</v>
      </c>
      <c r="B546" s="12" t="s">
        <v>36</v>
      </c>
      <c r="C546" s="12" t="s">
        <v>466</v>
      </c>
      <c r="D546" s="13" t="str">
        <f>HYPERLINK("https://www.marklines.com/en/global/119","Stellantis Hordain (formerly Sevel Nord, Hordain Plant)")</f>
        <v>Stellantis Hordain (formerly Sevel Nord, Hordain Plant)</v>
      </c>
      <c r="E546" s="12" t="s">
        <v>1116</v>
      </c>
      <c r="F546" s="12" t="s">
        <v>16</v>
      </c>
      <c r="G546" s="12" t="s">
        <v>285</v>
      </c>
      <c r="H546" s="12"/>
      <c r="I546" s="14">
        <v>45341</v>
      </c>
      <c r="J546" s="12" t="s">
        <v>1117</v>
      </c>
    </row>
    <row r="547" spans="1:10" s="15" customFormat="1" x14ac:dyDescent="0.15">
      <c r="A547" s="11">
        <v>45343</v>
      </c>
      <c r="B547" s="12" t="s">
        <v>57</v>
      </c>
      <c r="C547" s="12" t="s">
        <v>57</v>
      </c>
      <c r="D547" s="13" t="str">
        <f>HYPERLINK("https://www.marklines.com/en/global/9500","BYD Co., Ltd.")</f>
        <v>BYD Co., Ltd.</v>
      </c>
      <c r="E547" s="12" t="s">
        <v>120</v>
      </c>
      <c r="F547" s="12" t="s">
        <v>18</v>
      </c>
      <c r="G547" s="12" t="s">
        <v>24</v>
      </c>
      <c r="H547" s="12" t="s">
        <v>63</v>
      </c>
      <c r="I547" s="14">
        <v>45340</v>
      </c>
      <c r="J547" s="12" t="s">
        <v>1118</v>
      </c>
    </row>
    <row r="548" spans="1:10" s="15" customFormat="1" x14ac:dyDescent="0.15">
      <c r="A548" s="11">
        <v>45343</v>
      </c>
      <c r="B548" s="12" t="s">
        <v>36</v>
      </c>
      <c r="C548" s="12" t="s">
        <v>36</v>
      </c>
      <c r="D548" s="13" t="str">
        <f>HYPERLINK("https://www.marklines.com/en/global/1329","Stellantis, FCA Italy, Giambattista Vico (Pomigliano d'Arco) Plant")</f>
        <v>Stellantis, FCA Italy, Giambattista Vico (Pomigliano d'Arco) Plant</v>
      </c>
      <c r="E548" s="12" t="s">
        <v>857</v>
      </c>
      <c r="F548" s="12" t="s">
        <v>16</v>
      </c>
      <c r="G548" s="12" t="s">
        <v>37</v>
      </c>
      <c r="H548" s="12"/>
      <c r="I548" s="14">
        <v>45338</v>
      </c>
      <c r="J548" s="12" t="s">
        <v>1119</v>
      </c>
    </row>
    <row r="549" spans="1:10" s="15" customFormat="1" x14ac:dyDescent="0.15">
      <c r="A549" s="11">
        <v>45343</v>
      </c>
      <c r="B549" s="12" t="s">
        <v>36</v>
      </c>
      <c r="C549" s="12" t="s">
        <v>36</v>
      </c>
      <c r="D549" s="13" t="str">
        <f>HYPERLINK("https://www.marklines.com/en/global/1375","Stellantis Europe SpA, Atessa Plant (formerly Sevel S.p.A., Val di Sangro (Atessa) Plant)")</f>
        <v>Stellantis Europe SpA, Atessa Plant (formerly Sevel S.p.A., Val di Sangro (Atessa) Plant)</v>
      </c>
      <c r="E549" s="12" t="s">
        <v>1120</v>
      </c>
      <c r="F549" s="12" t="s">
        <v>16</v>
      </c>
      <c r="G549" s="12" t="s">
        <v>37</v>
      </c>
      <c r="H549" s="12"/>
      <c r="I549" s="14">
        <v>45338</v>
      </c>
      <c r="J549" s="12" t="s">
        <v>1119</v>
      </c>
    </row>
    <row r="550" spans="1:10" s="15" customFormat="1" x14ac:dyDescent="0.15">
      <c r="A550" s="11">
        <v>45343</v>
      </c>
      <c r="B550" s="12" t="s">
        <v>36</v>
      </c>
      <c r="C550" s="12" t="s">
        <v>36</v>
      </c>
      <c r="D550" s="13" t="str">
        <f>HYPERLINK("https://www.marklines.com/en/global/1323","Stellantis, FCA Italy, Cassino Plant")</f>
        <v>Stellantis, FCA Italy, Cassino Plant</v>
      </c>
      <c r="E550" s="12" t="s">
        <v>278</v>
      </c>
      <c r="F550" s="12" t="s">
        <v>16</v>
      </c>
      <c r="G550" s="12" t="s">
        <v>37</v>
      </c>
      <c r="H550" s="12"/>
      <c r="I550" s="14">
        <v>45338</v>
      </c>
      <c r="J550" s="12" t="s">
        <v>1119</v>
      </c>
    </row>
    <row r="551" spans="1:10" s="15" customFormat="1" x14ac:dyDescent="0.15">
      <c r="A551" s="11">
        <v>45343</v>
      </c>
      <c r="B551" s="12" t="s">
        <v>36</v>
      </c>
      <c r="C551" s="12" t="s">
        <v>36</v>
      </c>
      <c r="D551" s="13" t="str">
        <f>HYPERLINK("https://www.marklines.com/en/global/1343","Stellantis, Fiat Powertrain Technologies, Termoli Plant / Automotive Cell Company (ACC), Termoli Plant")</f>
        <v>Stellantis, Fiat Powertrain Technologies, Termoli Plant / Automotive Cell Company (ACC), Termoli Plant</v>
      </c>
      <c r="E551" s="12" t="s">
        <v>296</v>
      </c>
      <c r="F551" s="12" t="s">
        <v>16</v>
      </c>
      <c r="G551" s="12" t="s">
        <v>37</v>
      </c>
      <c r="H551" s="12"/>
      <c r="I551" s="14">
        <v>45338</v>
      </c>
      <c r="J551" s="12" t="s">
        <v>1119</v>
      </c>
    </row>
    <row r="552" spans="1:10" s="15" customFormat="1" x14ac:dyDescent="0.15">
      <c r="A552" s="11">
        <v>45343</v>
      </c>
      <c r="B552" s="12" t="s">
        <v>36</v>
      </c>
      <c r="C552" s="12" t="s">
        <v>36</v>
      </c>
      <c r="D552" s="13" t="str">
        <f>HYPERLINK("https://www.marklines.com/en/global/1325","Stellantis, FCA Italy, Melfi Plant")</f>
        <v>Stellantis, FCA Italy, Melfi Plant</v>
      </c>
      <c r="E552" s="12" t="s">
        <v>1121</v>
      </c>
      <c r="F552" s="12" t="s">
        <v>16</v>
      </c>
      <c r="G552" s="12" t="s">
        <v>37</v>
      </c>
      <c r="H552" s="12"/>
      <c r="I552" s="14">
        <v>45338</v>
      </c>
      <c r="J552" s="12" t="s">
        <v>1122</v>
      </c>
    </row>
    <row r="553" spans="1:10" s="15" customFormat="1" x14ac:dyDescent="0.15">
      <c r="A553" s="11">
        <v>45343</v>
      </c>
      <c r="B553" s="12" t="s">
        <v>36</v>
      </c>
      <c r="C553" s="12" t="s">
        <v>36</v>
      </c>
      <c r="D553" s="13" t="str">
        <f>HYPERLINK("https://www.marklines.com/en/global/1327","Stellantis, FCA Italy, Mirafiori (Turin) Plant")</f>
        <v>Stellantis, FCA Italy, Mirafiori (Turin) Plant</v>
      </c>
      <c r="E553" s="12" t="s">
        <v>82</v>
      </c>
      <c r="F553" s="12" t="s">
        <v>16</v>
      </c>
      <c r="G553" s="12" t="s">
        <v>37</v>
      </c>
      <c r="H553" s="12"/>
      <c r="I553" s="14">
        <v>45338</v>
      </c>
      <c r="J553" s="12" t="s">
        <v>1122</v>
      </c>
    </row>
    <row r="554" spans="1:10" s="15" customFormat="1" x14ac:dyDescent="0.15">
      <c r="A554" s="11">
        <v>45342</v>
      </c>
      <c r="B554" s="12" t="s">
        <v>28</v>
      </c>
      <c r="C554" s="12" t="s">
        <v>35</v>
      </c>
      <c r="D554" s="13" t="str">
        <f>HYPERLINK("https://www.marklines.com/en/global/2267","Volkswagen AG, Emden Plant")</f>
        <v>Volkswagen AG, Emden Plant</v>
      </c>
      <c r="E554" s="12" t="s">
        <v>272</v>
      </c>
      <c r="F554" s="12" t="s">
        <v>16</v>
      </c>
      <c r="G554" s="12" t="s">
        <v>208</v>
      </c>
      <c r="H554" s="12"/>
      <c r="I554" s="14">
        <v>45341</v>
      </c>
      <c r="J554" s="12" t="s">
        <v>1123</v>
      </c>
    </row>
    <row r="555" spans="1:10" s="15" customFormat="1" x14ac:dyDescent="0.15">
      <c r="A555" s="11">
        <v>45342</v>
      </c>
      <c r="B555" s="12" t="s">
        <v>1124</v>
      </c>
      <c r="C555" s="12" t="s">
        <v>1124</v>
      </c>
      <c r="D555" s="13" t="str">
        <f>HYPERLINK("https://www.marklines.com/en/global/1534","Aston Martin Lagonda Ltd.")</f>
        <v>Aston Martin Lagonda Ltd.</v>
      </c>
      <c r="E555" s="12" t="s">
        <v>1125</v>
      </c>
      <c r="F555" s="12" t="s">
        <v>16</v>
      </c>
      <c r="G555" s="12" t="s">
        <v>233</v>
      </c>
      <c r="H555" s="12"/>
      <c r="I555" s="14">
        <v>45341</v>
      </c>
      <c r="J555" s="12" t="s">
        <v>1126</v>
      </c>
    </row>
    <row r="556" spans="1:10" s="15" customFormat="1" x14ac:dyDescent="0.15">
      <c r="A556" s="11">
        <v>45342</v>
      </c>
      <c r="B556" s="12" t="s">
        <v>1124</v>
      </c>
      <c r="C556" s="12" t="s">
        <v>1124</v>
      </c>
      <c r="D556" s="13" t="str">
        <f>HYPERLINK("https://www.marklines.com/en/global/9384","Aston Martin, St Athan Plant")</f>
        <v>Aston Martin, St Athan Plant</v>
      </c>
      <c r="E556" s="12" t="s">
        <v>1127</v>
      </c>
      <c r="F556" s="12" t="s">
        <v>16</v>
      </c>
      <c r="G556" s="12" t="s">
        <v>233</v>
      </c>
      <c r="H556" s="12"/>
      <c r="I556" s="14">
        <v>45341</v>
      </c>
      <c r="J556" s="12" t="s">
        <v>1126</v>
      </c>
    </row>
    <row r="557" spans="1:10" s="15" customFormat="1" x14ac:dyDescent="0.15">
      <c r="A557" s="11">
        <v>45342</v>
      </c>
      <c r="B557" s="12" t="s">
        <v>28</v>
      </c>
      <c r="C557" s="12" t="s">
        <v>35</v>
      </c>
      <c r="D557" s="13" t="str">
        <f>HYPERLINK("https://www.marklines.com/en/global/655","Volkswagen of South Africa (Pty) Ltd., Kariega Plant (formerly Uitenhage Plant)")</f>
        <v>Volkswagen of South Africa (Pty) Ltd., Kariega Plant (formerly Uitenhage Plant)</v>
      </c>
      <c r="E557" s="12" t="s">
        <v>859</v>
      </c>
      <c r="F557" s="12" t="s">
        <v>471</v>
      </c>
      <c r="G557" s="12" t="s">
        <v>693</v>
      </c>
      <c r="H557" s="12"/>
      <c r="I557" s="14">
        <v>45341</v>
      </c>
      <c r="J557" s="12" t="s">
        <v>1128</v>
      </c>
    </row>
    <row r="558" spans="1:10" s="15" customFormat="1" x14ac:dyDescent="0.15">
      <c r="A558" s="11">
        <v>45342</v>
      </c>
      <c r="B558" s="12" t="s">
        <v>915</v>
      </c>
      <c r="C558" s="12" t="s">
        <v>915</v>
      </c>
      <c r="D558" s="13" t="str">
        <f>HYPERLINK("https://www.marklines.com/en/global/671","ZAO AvtoTOR, Kaliningrad Plant")</f>
        <v>ZAO AvtoTOR, Kaliningrad Plant</v>
      </c>
      <c r="E558" s="12" t="s">
        <v>717</v>
      </c>
      <c r="F558" s="12" t="s">
        <v>17</v>
      </c>
      <c r="G558" s="12" t="s">
        <v>13</v>
      </c>
      <c r="H558" s="12"/>
      <c r="I558" s="14">
        <v>45341</v>
      </c>
      <c r="J558" s="12" t="s">
        <v>1129</v>
      </c>
    </row>
    <row r="559" spans="1:10" s="15" customFormat="1" x14ac:dyDescent="0.15">
      <c r="A559" s="11">
        <v>45342</v>
      </c>
      <c r="B559" s="12" t="s">
        <v>28</v>
      </c>
      <c r="C559" s="12" t="s">
        <v>43</v>
      </c>
      <c r="D559" s="13" t="str">
        <f>HYPERLINK("https://www.marklines.com/en/global/8739","Audi Mexico S.A. de C.V., San José Chiapa Plant")</f>
        <v>Audi Mexico S.A. de C.V., San José Chiapa Plant</v>
      </c>
      <c r="E559" s="12" t="s">
        <v>551</v>
      </c>
      <c r="F559" s="12" t="s">
        <v>15</v>
      </c>
      <c r="G559" s="12" t="s">
        <v>218</v>
      </c>
      <c r="H559" s="12"/>
      <c r="I559" s="14">
        <v>45341</v>
      </c>
      <c r="J559" s="12" t="s">
        <v>1130</v>
      </c>
    </row>
    <row r="560" spans="1:10" s="15" customFormat="1" x14ac:dyDescent="0.15">
      <c r="A560" s="11">
        <v>45342</v>
      </c>
      <c r="B560" s="12" t="s">
        <v>84</v>
      </c>
      <c r="C560" s="12" t="s">
        <v>84</v>
      </c>
      <c r="D560" s="13" t="str">
        <f>HYPERLINK("https://www.marklines.com/en/global/9485","Guangzhou Xiaopeng Motors Technology Co., Ltd. ")</f>
        <v xml:space="preserve">Guangzhou Xiaopeng Motors Technology Co., Ltd. </v>
      </c>
      <c r="E560" s="12" t="s">
        <v>607</v>
      </c>
      <c r="F560" s="12" t="s">
        <v>18</v>
      </c>
      <c r="G560" s="12" t="s">
        <v>24</v>
      </c>
      <c r="H560" s="12" t="s">
        <v>63</v>
      </c>
      <c r="I560" s="14">
        <v>45340</v>
      </c>
      <c r="J560" s="12" t="s">
        <v>1131</v>
      </c>
    </row>
    <row r="561" spans="1:10" s="15" customFormat="1" x14ac:dyDescent="0.15">
      <c r="A561" s="11">
        <v>45342</v>
      </c>
      <c r="B561" s="12" t="s">
        <v>65</v>
      </c>
      <c r="C561" s="12" t="s">
        <v>1132</v>
      </c>
      <c r="D561" s="13" t="str">
        <f>HYPERLINK("https://www.marklines.com/en/global/10390","Zhejiang Geely Automobile Co., Ltd. Yuyao Plant ")</f>
        <v xml:space="preserve">Zhejiang Geely Automobile Co., Ltd. Yuyao Plant </v>
      </c>
      <c r="E561" s="12" t="s">
        <v>537</v>
      </c>
      <c r="F561" s="12" t="s">
        <v>18</v>
      </c>
      <c r="G561" s="12" t="s">
        <v>24</v>
      </c>
      <c r="H561" s="12" t="s">
        <v>61</v>
      </c>
      <c r="I561" s="14">
        <v>45340</v>
      </c>
      <c r="J561" s="12" t="s">
        <v>1133</v>
      </c>
    </row>
    <row r="562" spans="1:10" s="15" customFormat="1" x14ac:dyDescent="0.15">
      <c r="A562" s="11">
        <v>45342</v>
      </c>
      <c r="B562" s="12" t="s">
        <v>65</v>
      </c>
      <c r="C562" s="12" t="s">
        <v>1132</v>
      </c>
      <c r="D562" s="13" t="str">
        <f>HYPERLINK("https://www.marklines.com/en/global/9522","Geely Auto Zhangjiakou Branch")</f>
        <v>Geely Auto Zhangjiakou Branch</v>
      </c>
      <c r="E562" s="12" t="s">
        <v>1134</v>
      </c>
      <c r="F562" s="12" t="s">
        <v>18</v>
      </c>
      <c r="G562" s="12" t="s">
        <v>24</v>
      </c>
      <c r="H562" s="12" t="s">
        <v>443</v>
      </c>
      <c r="I562" s="14">
        <v>45340</v>
      </c>
      <c r="J562" s="12" t="s">
        <v>1133</v>
      </c>
    </row>
    <row r="563" spans="1:10" s="15" customFormat="1" x14ac:dyDescent="0.15">
      <c r="A563" s="11">
        <v>45342</v>
      </c>
      <c r="B563" s="12" t="s">
        <v>65</v>
      </c>
      <c r="C563" s="12" t="s">
        <v>1132</v>
      </c>
      <c r="D563" s="13" t="str">
        <f>HYPERLINK("https://www.marklines.com/en/global/10393","Sichuan Lynk &amp; Co Automobile Manufacturing Co., Ltd. (formerly Zhejiang Haoqing Automotive Manufacturing Co.,Ltd. Chengdu Branch)")</f>
        <v>Sichuan Lynk &amp; Co Automobile Manufacturing Co., Ltd. (formerly Zhejiang Haoqing Automotive Manufacturing Co.,Ltd. Chengdu Branch)</v>
      </c>
      <c r="E563" s="12" t="s">
        <v>379</v>
      </c>
      <c r="F563" s="12" t="s">
        <v>18</v>
      </c>
      <c r="G563" s="12" t="s">
        <v>24</v>
      </c>
      <c r="H563" s="12" t="s">
        <v>330</v>
      </c>
      <c r="I563" s="14">
        <v>45340</v>
      </c>
      <c r="J563" s="12" t="s">
        <v>1133</v>
      </c>
    </row>
    <row r="564" spans="1:10" s="15" customFormat="1" x14ac:dyDescent="0.15">
      <c r="A564" s="11">
        <v>45342</v>
      </c>
      <c r="B564" s="12" t="s">
        <v>65</v>
      </c>
      <c r="C564" s="12" t="s">
        <v>1132</v>
      </c>
      <c r="D564" s="13" t="str">
        <f>HYPERLINK("https://www.marklines.com/en/global/10391","Zhejiang Geely Automobile Co., Ltd. Meishan Plant")</f>
        <v>Zhejiang Geely Automobile Co., Ltd. Meishan Plant</v>
      </c>
      <c r="E564" s="12" t="s">
        <v>97</v>
      </c>
      <c r="F564" s="12" t="s">
        <v>18</v>
      </c>
      <c r="G564" s="12" t="s">
        <v>24</v>
      </c>
      <c r="H564" s="12" t="s">
        <v>61</v>
      </c>
      <c r="I564" s="14">
        <v>45340</v>
      </c>
      <c r="J564" s="12" t="s">
        <v>1133</v>
      </c>
    </row>
    <row r="565" spans="1:10" s="15" customFormat="1" x14ac:dyDescent="0.15">
      <c r="A565" s="11">
        <v>45342</v>
      </c>
      <c r="B565" s="12" t="s">
        <v>65</v>
      </c>
      <c r="C565" s="12" t="s">
        <v>265</v>
      </c>
      <c r="D565" s="13" t="str">
        <f>HYPERLINK("https://www.marklines.com/en/global/9471","Baoji Geely Automobile Co.,Ltd.")</f>
        <v>Baoji Geely Automobile Co.,Ltd.</v>
      </c>
      <c r="E565" s="12" t="s">
        <v>1135</v>
      </c>
      <c r="F565" s="12" t="s">
        <v>18</v>
      </c>
      <c r="G565" s="12" t="s">
        <v>24</v>
      </c>
      <c r="H565" s="12" t="s">
        <v>724</v>
      </c>
      <c r="I565" s="14">
        <v>45340</v>
      </c>
      <c r="J565" s="12" t="s">
        <v>1133</v>
      </c>
    </row>
    <row r="566" spans="1:10" s="15" customFormat="1" x14ac:dyDescent="0.15">
      <c r="A566" s="11">
        <v>45342</v>
      </c>
      <c r="B566" s="12" t="s">
        <v>65</v>
      </c>
      <c r="C566" s="12" t="s">
        <v>265</v>
      </c>
      <c r="D566" s="13" t="str">
        <f>HYPERLINK("https://www.marklines.com/en/global/3837","Zhejiang Haoqing Automotive Manufacturing Co.,Ltd.")</f>
        <v>Zhejiang Haoqing Automotive Manufacturing Co.,Ltd.</v>
      </c>
      <c r="E566" s="12" t="s">
        <v>1136</v>
      </c>
      <c r="F566" s="12" t="s">
        <v>18</v>
      </c>
      <c r="G566" s="12" t="s">
        <v>24</v>
      </c>
      <c r="H566" s="12" t="s">
        <v>61</v>
      </c>
      <c r="I566" s="14">
        <v>45340</v>
      </c>
      <c r="J566" s="12" t="s">
        <v>1133</v>
      </c>
    </row>
    <row r="567" spans="1:10" s="15" customFormat="1" x14ac:dyDescent="0.15">
      <c r="A567" s="11">
        <v>45342</v>
      </c>
      <c r="B567" s="12" t="s">
        <v>65</v>
      </c>
      <c r="C567" s="12" t="s">
        <v>265</v>
      </c>
      <c r="D567" s="13" t="str">
        <f>HYPERLINK("https://www.marklines.com/en/global/9811","Zhejiang Geely Automobile Co., Ltd. Hangzhou Branch")</f>
        <v>Zhejiang Geely Automobile Co., Ltd. Hangzhou Branch</v>
      </c>
      <c r="E567" s="12" t="s">
        <v>266</v>
      </c>
      <c r="F567" s="12" t="s">
        <v>18</v>
      </c>
      <c r="G567" s="12" t="s">
        <v>24</v>
      </c>
      <c r="H567" s="12" t="s">
        <v>61</v>
      </c>
      <c r="I567" s="14">
        <v>45340</v>
      </c>
      <c r="J567" s="12" t="s">
        <v>1133</v>
      </c>
    </row>
    <row r="568" spans="1:10" s="15" customFormat="1" x14ac:dyDescent="0.15">
      <c r="A568" s="11">
        <v>45342</v>
      </c>
      <c r="B568" s="12" t="s">
        <v>36</v>
      </c>
      <c r="C568" s="12" t="s">
        <v>38</v>
      </c>
      <c r="D568" s="13" t="str">
        <f>HYPERLINK("https://www.marklines.com/en/global/1329","Stellantis, FCA Italy, Giambattista Vico (Pomigliano d'Arco) Plant")</f>
        <v>Stellantis, FCA Italy, Giambattista Vico (Pomigliano d'Arco) Plant</v>
      </c>
      <c r="E568" s="12" t="s">
        <v>857</v>
      </c>
      <c r="F568" s="12" t="s">
        <v>16</v>
      </c>
      <c r="G568" s="12" t="s">
        <v>37</v>
      </c>
      <c r="H568" s="12"/>
      <c r="I568" s="14">
        <v>45337</v>
      </c>
      <c r="J568" s="12" t="s">
        <v>1137</v>
      </c>
    </row>
    <row r="569" spans="1:10" s="15" customFormat="1" x14ac:dyDescent="0.15">
      <c r="A569" s="11">
        <v>45342</v>
      </c>
      <c r="B569" s="12" t="s">
        <v>36</v>
      </c>
      <c r="C569" s="12" t="s">
        <v>38</v>
      </c>
      <c r="D569" s="13" t="str">
        <f>HYPERLINK("https://www.marklines.com/en/global/1881","Stellantis, Fiat Serbia, Kragujevac Plant")</f>
        <v>Stellantis, Fiat Serbia, Kragujevac Plant</v>
      </c>
      <c r="E569" s="12" t="s">
        <v>1138</v>
      </c>
      <c r="F569" s="12" t="s">
        <v>17</v>
      </c>
      <c r="G569" s="12" t="s">
        <v>1139</v>
      </c>
      <c r="H569" s="12"/>
      <c r="I569" s="14">
        <v>45337</v>
      </c>
      <c r="J569" s="12" t="s">
        <v>1137</v>
      </c>
    </row>
    <row r="570" spans="1:10" s="15" customFormat="1" x14ac:dyDescent="0.15">
      <c r="A570" s="11">
        <v>45341</v>
      </c>
      <c r="B570" s="12" t="s">
        <v>298</v>
      </c>
      <c r="C570" s="12" t="s">
        <v>299</v>
      </c>
      <c r="D570" s="13" t="str">
        <f>HYPERLINK("https://www.marklines.com/en/global/9279","PT. Mitsubishi Motors Krama Yudha Indonesia (MMKI), Bekasi Plant")</f>
        <v>PT. Mitsubishi Motors Krama Yudha Indonesia (MMKI), Bekasi Plant</v>
      </c>
      <c r="E570" s="12" t="s">
        <v>1140</v>
      </c>
      <c r="F570" s="12" t="s">
        <v>29</v>
      </c>
      <c r="G570" s="12" t="s">
        <v>343</v>
      </c>
      <c r="H570" s="12"/>
      <c r="I570" s="14">
        <v>45337</v>
      </c>
      <c r="J570" s="12" t="s">
        <v>1141</v>
      </c>
    </row>
    <row r="571" spans="1:10" s="15" customFormat="1" x14ac:dyDescent="0.15">
      <c r="A571" s="11">
        <v>45341</v>
      </c>
      <c r="B571" s="12" t="s">
        <v>19</v>
      </c>
      <c r="C571" s="12" t="s">
        <v>19</v>
      </c>
      <c r="D571" s="13" t="str">
        <f>HYPERLINK("https://www.marklines.com/en/global/413","Toyota Auto Body, Inabe Plant")</f>
        <v>Toyota Auto Body, Inabe Plant</v>
      </c>
      <c r="E571" s="12" t="s">
        <v>202</v>
      </c>
      <c r="F571" s="12" t="s">
        <v>18</v>
      </c>
      <c r="G571" s="12" t="s">
        <v>20</v>
      </c>
      <c r="H571" s="12" t="s">
        <v>203</v>
      </c>
      <c r="I571" s="14">
        <v>45337</v>
      </c>
      <c r="J571" s="12" t="s">
        <v>1142</v>
      </c>
    </row>
    <row r="572" spans="1:10" s="15" customFormat="1" x14ac:dyDescent="0.15">
      <c r="A572" s="11">
        <v>45341</v>
      </c>
      <c r="B572" s="12" t="s">
        <v>19</v>
      </c>
      <c r="C572" s="12" t="s">
        <v>19</v>
      </c>
      <c r="D572" s="13" t="str">
        <f>HYPERLINK("https://www.marklines.com/en/global/417","Gifu Auto Body Co., Ltd., Honsha Plant")</f>
        <v>Gifu Auto Body Co., Ltd., Honsha Plant</v>
      </c>
      <c r="E572" s="12" t="s">
        <v>204</v>
      </c>
      <c r="F572" s="12" t="s">
        <v>18</v>
      </c>
      <c r="G572" s="12" t="s">
        <v>20</v>
      </c>
      <c r="H572" s="12" t="s">
        <v>205</v>
      </c>
      <c r="I572" s="14">
        <v>45337</v>
      </c>
      <c r="J572" s="12" t="s">
        <v>1142</v>
      </c>
    </row>
    <row r="573" spans="1:10" s="15" customFormat="1" x14ac:dyDescent="0.15">
      <c r="A573" s="11">
        <v>45341</v>
      </c>
      <c r="B573" s="12" t="s">
        <v>28</v>
      </c>
      <c r="C573" s="12" t="s">
        <v>35</v>
      </c>
      <c r="D573" s="13" t="str">
        <f>HYPERLINK("https://www.marklines.com/en/global/2281","Volkswagen AG, Kassel Plant")</f>
        <v>Volkswagen AG, Kassel Plant</v>
      </c>
      <c r="E573" s="12" t="s">
        <v>1143</v>
      </c>
      <c r="F573" s="12" t="s">
        <v>16</v>
      </c>
      <c r="G573" s="12" t="s">
        <v>208</v>
      </c>
      <c r="H573" s="12"/>
      <c r="I573" s="14">
        <v>45336</v>
      </c>
      <c r="J573" s="12" t="s">
        <v>1144</v>
      </c>
    </row>
    <row r="574" spans="1:10" s="15" customFormat="1" x14ac:dyDescent="0.15">
      <c r="A574" s="11">
        <v>45341</v>
      </c>
      <c r="B574" s="12" t="s">
        <v>21</v>
      </c>
      <c r="C574" s="12" t="s">
        <v>21</v>
      </c>
      <c r="D574" s="13" t="str">
        <f>HYPERLINK("https://www.marklines.com/en/global/10139","Dunton Campus, Ford Britain (Essex) (formerly Ford Dunton Technical Centre)")</f>
        <v>Dunton Campus, Ford Britain (Essex) (formerly Ford Dunton Technical Centre)</v>
      </c>
      <c r="E574" s="12" t="s">
        <v>1011</v>
      </c>
      <c r="F574" s="12" t="s">
        <v>16</v>
      </c>
      <c r="G574" s="12" t="s">
        <v>233</v>
      </c>
      <c r="H574" s="12"/>
      <c r="I574" s="14">
        <v>45336</v>
      </c>
      <c r="J574" s="12" t="s">
        <v>1145</v>
      </c>
    </row>
    <row r="575" spans="1:10" s="15" customFormat="1" x14ac:dyDescent="0.15">
      <c r="A575" s="11">
        <v>45341</v>
      </c>
      <c r="B575" s="12" t="s">
        <v>21</v>
      </c>
      <c r="C575" s="12" t="s">
        <v>21</v>
      </c>
      <c r="D575" s="13" t="str">
        <f>HYPERLINK("https://www.marklines.com/en/global/2305","Ford Motor Co., Ltd., Ford Motor U.K.")</f>
        <v>Ford Motor Co., Ltd., Ford Motor U.K.</v>
      </c>
      <c r="E575" s="12" t="s">
        <v>1146</v>
      </c>
      <c r="F575" s="12" t="s">
        <v>16</v>
      </c>
      <c r="G575" s="12" t="s">
        <v>233</v>
      </c>
      <c r="H575" s="12"/>
      <c r="I575" s="14">
        <v>45336</v>
      </c>
      <c r="J575" s="12" t="s">
        <v>1145</v>
      </c>
    </row>
    <row r="576" spans="1:10" s="15" customFormat="1" x14ac:dyDescent="0.15">
      <c r="A576" s="11">
        <v>45341</v>
      </c>
      <c r="B576" s="12" t="s">
        <v>36</v>
      </c>
      <c r="C576" s="12" t="s">
        <v>277</v>
      </c>
      <c r="D576" s="13" t="str">
        <f>HYPERLINK("https://www.marklines.com/en/global/1323","Stellantis, FCA Italy, Cassino Plant")</f>
        <v>Stellantis, FCA Italy, Cassino Plant</v>
      </c>
      <c r="E576" s="12" t="s">
        <v>278</v>
      </c>
      <c r="F576" s="12" t="s">
        <v>16</v>
      </c>
      <c r="G576" s="12" t="s">
        <v>37</v>
      </c>
      <c r="H576" s="12"/>
      <c r="I576" s="14">
        <v>45335</v>
      </c>
      <c r="J576" s="12" t="s">
        <v>1147</v>
      </c>
    </row>
    <row r="577" spans="1:10" s="15" customFormat="1" x14ac:dyDescent="0.15">
      <c r="A577" s="11">
        <v>45341</v>
      </c>
      <c r="B577" s="12" t="s">
        <v>36</v>
      </c>
      <c r="C577" s="12" t="s">
        <v>81</v>
      </c>
      <c r="D577" s="13" t="str">
        <f>HYPERLINK("https://www.marklines.com/en/global/1323","Stellantis, FCA Italy, Cassino Plant")</f>
        <v>Stellantis, FCA Italy, Cassino Plant</v>
      </c>
      <c r="E577" s="12" t="s">
        <v>278</v>
      </c>
      <c r="F577" s="12" t="s">
        <v>16</v>
      </c>
      <c r="G577" s="12" t="s">
        <v>37</v>
      </c>
      <c r="H577" s="12"/>
      <c r="I577" s="14">
        <v>45335</v>
      </c>
      <c r="J577" s="12" t="s">
        <v>1147</v>
      </c>
    </row>
    <row r="578" spans="1:10" s="15" customFormat="1" x14ac:dyDescent="0.15">
      <c r="A578" s="11">
        <v>45341</v>
      </c>
      <c r="B578" s="12" t="s">
        <v>19</v>
      </c>
      <c r="C578" s="12" t="s">
        <v>19</v>
      </c>
      <c r="D578" s="13" t="str">
        <f>HYPERLINK("https://www.marklines.com/en/global/379","Toyota Motor, Tsutsumi Plant")</f>
        <v>Toyota Motor, Tsutsumi Plant</v>
      </c>
      <c r="E578" s="12" t="s">
        <v>193</v>
      </c>
      <c r="F578" s="12" t="s">
        <v>18</v>
      </c>
      <c r="G578" s="12" t="s">
        <v>20</v>
      </c>
      <c r="H578" s="12" t="s">
        <v>189</v>
      </c>
      <c r="I578" s="14">
        <v>45335</v>
      </c>
      <c r="J578" s="12" t="s">
        <v>1148</v>
      </c>
    </row>
    <row r="579" spans="1:10" s="15" customFormat="1" x14ac:dyDescent="0.15">
      <c r="A579" s="11">
        <v>45341</v>
      </c>
      <c r="B579" s="12" t="s">
        <v>19</v>
      </c>
      <c r="C579" s="12" t="s">
        <v>684</v>
      </c>
      <c r="D579" s="13" t="str">
        <f>HYPERLINK("https://www.marklines.com/en/global/567","Hino Motors, Hamura Plant")</f>
        <v>Hino Motors, Hamura Plant</v>
      </c>
      <c r="E579" s="12" t="s">
        <v>685</v>
      </c>
      <c r="F579" s="12" t="s">
        <v>18</v>
      </c>
      <c r="G579" s="12" t="s">
        <v>20</v>
      </c>
      <c r="H579" s="12" t="s">
        <v>686</v>
      </c>
      <c r="I579" s="14">
        <v>45335</v>
      </c>
      <c r="J579" s="12" t="s">
        <v>1402</v>
      </c>
    </row>
    <row r="580" spans="1:10" s="15" customFormat="1" x14ac:dyDescent="0.15">
      <c r="A580" s="11">
        <v>45341</v>
      </c>
      <c r="B580" s="12" t="s">
        <v>19</v>
      </c>
      <c r="C580" s="12" t="s">
        <v>19</v>
      </c>
      <c r="D580" s="13" t="str">
        <f>HYPERLINK("https://www.marklines.com/en/global/541","Daihatsu Motor, Kyoto (Oyamazaki) Plant")</f>
        <v>Daihatsu Motor, Kyoto (Oyamazaki) Plant</v>
      </c>
      <c r="E580" s="12" t="s">
        <v>518</v>
      </c>
      <c r="F580" s="12" t="s">
        <v>18</v>
      </c>
      <c r="G580" s="12" t="s">
        <v>20</v>
      </c>
      <c r="H580" s="12" t="s">
        <v>519</v>
      </c>
      <c r="I580" s="14">
        <v>45334</v>
      </c>
      <c r="J580" s="12" t="s">
        <v>1149</v>
      </c>
    </row>
    <row r="581" spans="1:10" s="15" customFormat="1" x14ac:dyDescent="0.15">
      <c r="A581" s="11">
        <v>45341</v>
      </c>
      <c r="B581" s="12" t="s">
        <v>19</v>
      </c>
      <c r="C581" s="12" t="s">
        <v>512</v>
      </c>
      <c r="D581" s="13" t="str">
        <f>HYPERLINK("https://www.marklines.com/en/global/541","Daihatsu Motor, Kyoto (Oyamazaki) Plant")</f>
        <v>Daihatsu Motor, Kyoto (Oyamazaki) Plant</v>
      </c>
      <c r="E581" s="12" t="s">
        <v>518</v>
      </c>
      <c r="F581" s="12" t="s">
        <v>18</v>
      </c>
      <c r="G581" s="12" t="s">
        <v>20</v>
      </c>
      <c r="H581" s="12" t="s">
        <v>519</v>
      </c>
      <c r="I581" s="14">
        <v>45334</v>
      </c>
      <c r="J581" s="12" t="s">
        <v>1149</v>
      </c>
    </row>
    <row r="582" spans="1:10" s="15" customFormat="1" x14ac:dyDescent="0.15">
      <c r="A582" s="11">
        <v>45341</v>
      </c>
      <c r="B582" s="12" t="s">
        <v>78</v>
      </c>
      <c r="C582" s="12" t="s">
        <v>78</v>
      </c>
      <c r="D582" s="13" t="str">
        <f>HYPERLINK("https://www.marklines.com/en/global/541","Daihatsu Motor, Kyoto (Oyamazaki) Plant")</f>
        <v>Daihatsu Motor, Kyoto (Oyamazaki) Plant</v>
      </c>
      <c r="E582" s="12" t="s">
        <v>518</v>
      </c>
      <c r="F582" s="12" t="s">
        <v>18</v>
      </c>
      <c r="G582" s="12" t="s">
        <v>20</v>
      </c>
      <c r="H582" s="12" t="s">
        <v>519</v>
      </c>
      <c r="I582" s="14">
        <v>45334</v>
      </c>
      <c r="J582" s="12" t="s">
        <v>1149</v>
      </c>
    </row>
    <row r="583" spans="1:10" s="15" customFormat="1" x14ac:dyDescent="0.15">
      <c r="A583" s="11">
        <v>45341</v>
      </c>
      <c r="B583" s="12" t="s">
        <v>956</v>
      </c>
      <c r="C583" s="12" t="s">
        <v>956</v>
      </c>
      <c r="D583" s="13" t="str">
        <f>HYPERLINK("https://www.marklines.com/en/global/541","Daihatsu Motor, Kyoto (Oyamazaki) Plant")</f>
        <v>Daihatsu Motor, Kyoto (Oyamazaki) Plant</v>
      </c>
      <c r="E583" s="12" t="s">
        <v>518</v>
      </c>
      <c r="F583" s="12" t="s">
        <v>18</v>
      </c>
      <c r="G583" s="12" t="s">
        <v>20</v>
      </c>
      <c r="H583" s="12" t="s">
        <v>519</v>
      </c>
      <c r="I583" s="14">
        <v>45334</v>
      </c>
      <c r="J583" s="12" t="s">
        <v>1149</v>
      </c>
    </row>
    <row r="584" spans="1:10" s="15" customFormat="1" x14ac:dyDescent="0.15">
      <c r="A584" s="11">
        <v>45341</v>
      </c>
      <c r="B584" s="12" t="s">
        <v>19</v>
      </c>
      <c r="C584" s="12" t="s">
        <v>19</v>
      </c>
      <c r="D584" s="13" t="str">
        <f>HYPERLINK("https://www.marklines.com/en/global/547","Daihatsu Motor Kyushu, Oita (Nakatsu) Plant")</f>
        <v>Daihatsu Motor Kyushu, Oita (Nakatsu) Plant</v>
      </c>
      <c r="E584" s="12" t="s">
        <v>520</v>
      </c>
      <c r="F584" s="12" t="s">
        <v>18</v>
      </c>
      <c r="G584" s="12" t="s">
        <v>20</v>
      </c>
      <c r="H584" s="12" t="s">
        <v>521</v>
      </c>
      <c r="I584" s="14">
        <v>45331</v>
      </c>
      <c r="J584" s="12" t="s">
        <v>1150</v>
      </c>
    </row>
    <row r="585" spans="1:10" s="15" customFormat="1" x14ac:dyDescent="0.15">
      <c r="A585" s="11">
        <v>45341</v>
      </c>
      <c r="B585" s="12" t="s">
        <v>19</v>
      </c>
      <c r="C585" s="12" t="s">
        <v>512</v>
      </c>
      <c r="D585" s="13" t="str">
        <f>HYPERLINK("https://www.marklines.com/en/global/547","Daihatsu Motor Kyushu, Oita (Nakatsu) Plant")</f>
        <v>Daihatsu Motor Kyushu, Oita (Nakatsu) Plant</v>
      </c>
      <c r="E585" s="12" t="s">
        <v>520</v>
      </c>
      <c r="F585" s="12" t="s">
        <v>18</v>
      </c>
      <c r="G585" s="12" t="s">
        <v>20</v>
      </c>
      <c r="H585" s="12" t="s">
        <v>521</v>
      </c>
      <c r="I585" s="14">
        <v>45331</v>
      </c>
      <c r="J585" s="12" t="s">
        <v>1150</v>
      </c>
    </row>
    <row r="586" spans="1:10" s="15" customFormat="1" x14ac:dyDescent="0.15">
      <c r="A586" s="11">
        <v>45341</v>
      </c>
      <c r="B586" s="12" t="s">
        <v>956</v>
      </c>
      <c r="C586" s="12" t="s">
        <v>956</v>
      </c>
      <c r="D586" s="13" t="str">
        <f>HYPERLINK("https://www.marklines.com/en/global/547","Daihatsu Motor Kyushu, Oita (Nakatsu) Plant")</f>
        <v>Daihatsu Motor Kyushu, Oita (Nakatsu) Plant</v>
      </c>
      <c r="E586" s="12" t="s">
        <v>520</v>
      </c>
      <c r="F586" s="12" t="s">
        <v>18</v>
      </c>
      <c r="G586" s="12" t="s">
        <v>20</v>
      </c>
      <c r="H586" s="12" t="s">
        <v>521</v>
      </c>
      <c r="I586" s="14">
        <v>45331</v>
      </c>
      <c r="J586" s="12" t="s">
        <v>1150</v>
      </c>
    </row>
    <row r="587" spans="1:10" s="15" customFormat="1" x14ac:dyDescent="0.15">
      <c r="A587" s="11">
        <v>45341</v>
      </c>
      <c r="B587" s="12" t="s">
        <v>19</v>
      </c>
      <c r="C587" s="12" t="s">
        <v>684</v>
      </c>
      <c r="D587" s="13" t="str">
        <f>HYPERLINK("https://www.marklines.com/en/global/567","Hino Motors, Hamura Plant")</f>
        <v>Hino Motors, Hamura Plant</v>
      </c>
      <c r="E587" s="12" t="s">
        <v>685</v>
      </c>
      <c r="F587" s="12" t="s">
        <v>18</v>
      </c>
      <c r="G587" s="12" t="s">
        <v>20</v>
      </c>
      <c r="H587" s="12" t="s">
        <v>686</v>
      </c>
      <c r="I587" s="14">
        <v>45331</v>
      </c>
      <c r="J587" s="12" t="s">
        <v>1151</v>
      </c>
    </row>
    <row r="588" spans="1:10" s="15" customFormat="1" x14ac:dyDescent="0.15">
      <c r="A588" s="11">
        <v>45341</v>
      </c>
      <c r="B588" s="12" t="s">
        <v>19</v>
      </c>
      <c r="C588" s="12" t="s">
        <v>19</v>
      </c>
      <c r="D588" s="13" t="str">
        <f>HYPERLINK("https://www.marklines.com/en/global/409","Toyota Auto Body, Fujimatsu Plant")</f>
        <v>Toyota Auto Body, Fujimatsu Plant</v>
      </c>
      <c r="E588" s="12" t="s">
        <v>200</v>
      </c>
      <c r="F588" s="12" t="s">
        <v>18</v>
      </c>
      <c r="G588" s="12" t="s">
        <v>20</v>
      </c>
      <c r="H588" s="12" t="s">
        <v>189</v>
      </c>
      <c r="I588" s="14">
        <v>45331</v>
      </c>
      <c r="J588" s="12" t="s">
        <v>1152</v>
      </c>
    </row>
    <row r="589" spans="1:10" s="15" customFormat="1" x14ac:dyDescent="0.15">
      <c r="A589" s="11">
        <v>45341</v>
      </c>
      <c r="B589" s="12" t="s">
        <v>19</v>
      </c>
      <c r="C589" s="12" t="s">
        <v>19</v>
      </c>
      <c r="D589" s="13" t="str">
        <f>HYPERLINK("https://www.marklines.com/en/global/411","Toyota Auto Body, Yoshiwara Plant")</f>
        <v>Toyota Auto Body, Yoshiwara Plant</v>
      </c>
      <c r="E589" s="12" t="s">
        <v>201</v>
      </c>
      <c r="F589" s="12" t="s">
        <v>18</v>
      </c>
      <c r="G589" s="12" t="s">
        <v>20</v>
      </c>
      <c r="H589" s="12" t="s">
        <v>189</v>
      </c>
      <c r="I589" s="14">
        <v>45331</v>
      </c>
      <c r="J589" s="12" t="s">
        <v>1152</v>
      </c>
    </row>
    <row r="590" spans="1:10" s="15" customFormat="1" x14ac:dyDescent="0.15">
      <c r="A590" s="11">
        <v>45341</v>
      </c>
      <c r="B590" s="12" t="s">
        <v>19</v>
      </c>
      <c r="C590" s="12" t="s">
        <v>19</v>
      </c>
      <c r="D590" s="13" t="str">
        <f>HYPERLINK("https://www.marklines.com/en/global/413","Toyota Auto Body, Inabe Plant")</f>
        <v>Toyota Auto Body, Inabe Plant</v>
      </c>
      <c r="E590" s="12" t="s">
        <v>202</v>
      </c>
      <c r="F590" s="12" t="s">
        <v>18</v>
      </c>
      <c r="G590" s="12" t="s">
        <v>20</v>
      </c>
      <c r="H590" s="12" t="s">
        <v>203</v>
      </c>
      <c r="I590" s="14">
        <v>45331</v>
      </c>
      <c r="J590" s="12" t="s">
        <v>1152</v>
      </c>
    </row>
    <row r="591" spans="1:10" s="15" customFormat="1" x14ac:dyDescent="0.15">
      <c r="A591" s="11">
        <v>45341</v>
      </c>
      <c r="B591" s="12" t="s">
        <v>19</v>
      </c>
      <c r="C591" s="12" t="s">
        <v>19</v>
      </c>
      <c r="D591" s="13" t="str">
        <f>HYPERLINK("https://www.marklines.com/en/global/417","Gifu Auto Body Co., Ltd., Honsha Plant")</f>
        <v>Gifu Auto Body Co., Ltd., Honsha Plant</v>
      </c>
      <c r="E591" s="12" t="s">
        <v>204</v>
      </c>
      <c r="F591" s="12" t="s">
        <v>18</v>
      </c>
      <c r="G591" s="12" t="s">
        <v>20</v>
      </c>
      <c r="H591" s="12" t="s">
        <v>205</v>
      </c>
      <c r="I591" s="14">
        <v>45331</v>
      </c>
      <c r="J591" s="12" t="s">
        <v>1152</v>
      </c>
    </row>
    <row r="592" spans="1:10" s="15" customFormat="1" x14ac:dyDescent="0.15">
      <c r="A592" s="11">
        <v>45341</v>
      </c>
      <c r="B592" s="12" t="s">
        <v>19</v>
      </c>
      <c r="C592" s="12" t="s">
        <v>512</v>
      </c>
      <c r="D592" s="13" t="str">
        <f>HYPERLINK("https://www.marklines.com/en/global/549","Daihatsu Motor Kyushu, Kurume Plant")</f>
        <v>Daihatsu Motor Kyushu, Kurume Plant</v>
      </c>
      <c r="E592" s="12" t="s">
        <v>1153</v>
      </c>
      <c r="F592" s="12" t="s">
        <v>18</v>
      </c>
      <c r="G592" s="12" t="s">
        <v>20</v>
      </c>
      <c r="H592" s="12" t="s">
        <v>199</v>
      </c>
      <c r="I592" s="14">
        <v>45331</v>
      </c>
      <c r="J592" s="12" t="s">
        <v>1154</v>
      </c>
    </row>
    <row r="593" spans="1:10" s="15" customFormat="1" x14ac:dyDescent="0.15">
      <c r="A593" s="11">
        <v>45341</v>
      </c>
      <c r="B593" s="12" t="s">
        <v>12</v>
      </c>
      <c r="C593" s="12" t="s">
        <v>1155</v>
      </c>
      <c r="D593" s="13" t="str">
        <f>HYPERLINK("https://www.marklines.com/en/global/10598","Weichai New Energy Commercial Vehicle Co., Ltd.")</f>
        <v>Weichai New Energy Commercial Vehicle Co., Ltd.</v>
      </c>
      <c r="E593" s="12" t="s">
        <v>1156</v>
      </c>
      <c r="F593" s="12" t="s">
        <v>18</v>
      </c>
      <c r="G593" s="12" t="s">
        <v>24</v>
      </c>
      <c r="H593" s="12" t="s">
        <v>62</v>
      </c>
      <c r="I593" s="14">
        <v>45329</v>
      </c>
      <c r="J593" s="12" t="s">
        <v>1157</v>
      </c>
    </row>
    <row r="594" spans="1:10" s="15" customFormat="1" x14ac:dyDescent="0.15">
      <c r="A594" s="11">
        <v>45341</v>
      </c>
      <c r="B594" s="12" t="s">
        <v>19</v>
      </c>
      <c r="C594" s="12" t="s">
        <v>512</v>
      </c>
      <c r="D594" s="13" t="str">
        <f>HYPERLINK("https://www.marklines.com/en/global/541","Daihatsu Motor, Kyoto (Oyamazaki) Plant")</f>
        <v>Daihatsu Motor, Kyoto (Oyamazaki) Plant</v>
      </c>
      <c r="E594" s="12" t="s">
        <v>518</v>
      </c>
      <c r="F594" s="12" t="s">
        <v>18</v>
      </c>
      <c r="G594" s="12" t="s">
        <v>20</v>
      </c>
      <c r="H594" s="12" t="s">
        <v>519</v>
      </c>
      <c r="I594" s="14">
        <v>45327</v>
      </c>
      <c r="J594" s="12" t="s">
        <v>1158</v>
      </c>
    </row>
    <row r="595" spans="1:10" s="15" customFormat="1" x14ac:dyDescent="0.15">
      <c r="A595" s="11">
        <v>45341</v>
      </c>
      <c r="B595" s="12" t="s">
        <v>34</v>
      </c>
      <c r="C595" s="12" t="s">
        <v>34</v>
      </c>
      <c r="D595" s="13" t="str">
        <f>HYPERLINK("https://www.marklines.com/en/global/2435","Hyundai Motor, Ulsan Plant")</f>
        <v>Hyundai Motor, Ulsan Plant</v>
      </c>
      <c r="E595" s="12" t="s">
        <v>406</v>
      </c>
      <c r="F595" s="12" t="s">
        <v>18</v>
      </c>
      <c r="G595" s="12" t="s">
        <v>404</v>
      </c>
      <c r="H595" s="12"/>
      <c r="I595" s="14">
        <v>45324</v>
      </c>
      <c r="J595" s="12" t="s">
        <v>1159</v>
      </c>
    </row>
    <row r="596" spans="1:10" s="15" customFormat="1" x14ac:dyDescent="0.15">
      <c r="A596" s="11">
        <v>45341</v>
      </c>
      <c r="B596" s="12" t="s">
        <v>12</v>
      </c>
      <c r="C596" s="12" t="s">
        <v>1160</v>
      </c>
      <c r="D596" s="13" t="str">
        <f>HYPERLINK("https://www.marklines.com/en/global/8664","Master Transportation Bus Manufacturing Ltd., Pingtung Plant")</f>
        <v>Master Transportation Bus Manufacturing Ltd., Pingtung Plant</v>
      </c>
      <c r="E596" s="12" t="s">
        <v>1161</v>
      </c>
      <c r="F596" s="12" t="s">
        <v>18</v>
      </c>
      <c r="G596" s="12" t="s">
        <v>291</v>
      </c>
      <c r="H596" s="12"/>
      <c r="I596" s="14">
        <v>45322</v>
      </c>
      <c r="J596" s="12" t="s">
        <v>1162</v>
      </c>
    </row>
    <row r="597" spans="1:10" s="15" customFormat="1" x14ac:dyDescent="0.15">
      <c r="A597" s="11">
        <v>45341</v>
      </c>
      <c r="B597" s="12" t="s">
        <v>12</v>
      </c>
      <c r="C597" s="12" t="s">
        <v>1160</v>
      </c>
      <c r="D597" s="13" t="str">
        <f>HYPERLINK("https://www.marklines.com/en/global/10701","Master Transportation Bus Manufacturing Ltd., Erlin Plant")</f>
        <v>Master Transportation Bus Manufacturing Ltd., Erlin Plant</v>
      </c>
      <c r="E597" s="12" t="s">
        <v>1163</v>
      </c>
      <c r="F597" s="12" t="s">
        <v>18</v>
      </c>
      <c r="G597" s="12" t="s">
        <v>291</v>
      </c>
      <c r="H597" s="12"/>
      <c r="I597" s="14">
        <v>45322</v>
      </c>
      <c r="J597" s="12" t="s">
        <v>1162</v>
      </c>
    </row>
    <row r="598" spans="1:10" s="15" customFormat="1" x14ac:dyDescent="0.15">
      <c r="A598" s="11">
        <v>45340</v>
      </c>
      <c r="B598" s="12" t="s">
        <v>58</v>
      </c>
      <c r="C598" s="12" t="s">
        <v>69</v>
      </c>
      <c r="D598" s="13" t="str">
        <f>HYPERLINK("https://www.marklines.com/en/global/3425","Beiqi Foton Motor Co., Ltd.")</f>
        <v>Beiqi Foton Motor Co., Ltd.</v>
      </c>
      <c r="E598" s="12" t="s">
        <v>70</v>
      </c>
      <c r="F598" s="12" t="s">
        <v>18</v>
      </c>
      <c r="G598" s="12" t="s">
        <v>24</v>
      </c>
      <c r="H598" s="12" t="s">
        <v>71</v>
      </c>
      <c r="I598" s="14">
        <v>45328</v>
      </c>
      <c r="J598" s="12" t="s">
        <v>1164</v>
      </c>
    </row>
    <row r="599" spans="1:10" s="15" customFormat="1" x14ac:dyDescent="0.15">
      <c r="A599" s="11">
        <v>45340</v>
      </c>
      <c r="B599" s="12" t="s">
        <v>51</v>
      </c>
      <c r="C599" s="12" t="s">
        <v>51</v>
      </c>
      <c r="D599" s="13" t="str">
        <f>HYPERLINK("https://www.marklines.com/en/global/9503","Shanghai NIO Automobile Co., Ltd.")</f>
        <v>Shanghai NIO Automobile Co., Ltd.</v>
      </c>
      <c r="E599" s="12" t="s">
        <v>83</v>
      </c>
      <c r="F599" s="12" t="s">
        <v>18</v>
      </c>
      <c r="G599" s="12" t="s">
        <v>24</v>
      </c>
      <c r="H599" s="12" t="s">
        <v>56</v>
      </c>
      <c r="I599" s="14">
        <v>45327</v>
      </c>
      <c r="J599" s="12" t="s">
        <v>1165</v>
      </c>
    </row>
    <row r="600" spans="1:10" s="15" customFormat="1" x14ac:dyDescent="0.15">
      <c r="A600" s="11">
        <v>45340</v>
      </c>
      <c r="B600" s="12" t="s">
        <v>30</v>
      </c>
      <c r="C600" s="12" t="s">
        <v>1166</v>
      </c>
      <c r="D600" s="13" t="str">
        <f>HYPERLINK("https://www.marklines.com/en/global/3533","Great Wall Motor Company Limited (GWM)")</f>
        <v>Great Wall Motor Company Limited (GWM)</v>
      </c>
      <c r="E600" s="12" t="s">
        <v>442</v>
      </c>
      <c r="F600" s="12" t="s">
        <v>18</v>
      </c>
      <c r="G600" s="12" t="s">
        <v>24</v>
      </c>
      <c r="H600" s="12" t="s">
        <v>443</v>
      </c>
      <c r="I600" s="14">
        <v>45325</v>
      </c>
      <c r="J600" s="12" t="s">
        <v>1167</v>
      </c>
    </row>
    <row r="601" spans="1:10" s="15" customFormat="1" x14ac:dyDescent="0.15">
      <c r="A601" s="11">
        <v>45339</v>
      </c>
      <c r="B601" s="12" t="s">
        <v>21</v>
      </c>
      <c r="C601" s="12" t="s">
        <v>21</v>
      </c>
      <c r="D601" s="13" t="str">
        <f>HYPERLINK("https://www.marklines.com/en/global/2607","Ford Motor, Kentucky Truck Plant")</f>
        <v>Ford Motor, Kentucky Truck Plant</v>
      </c>
      <c r="E601" s="12" t="s">
        <v>1090</v>
      </c>
      <c r="F601" s="12" t="s">
        <v>15</v>
      </c>
      <c r="G601" s="12" t="s">
        <v>11</v>
      </c>
      <c r="H601" s="12" t="s">
        <v>892</v>
      </c>
      <c r="I601" s="14">
        <v>45338</v>
      </c>
      <c r="J601" s="12" t="s">
        <v>1168</v>
      </c>
    </row>
    <row r="602" spans="1:10" s="15" customFormat="1" x14ac:dyDescent="0.15">
      <c r="A602" s="11">
        <v>45339</v>
      </c>
      <c r="B602" s="12" t="s">
        <v>19</v>
      </c>
      <c r="C602" s="12" t="s">
        <v>19</v>
      </c>
      <c r="D602" s="13" t="str">
        <f>HYPERLINK("https://www.marklines.com/en/global/2811","Toyota Argentina S.A. (TASA), Zarate Plant")</f>
        <v>Toyota Argentina S.A. (TASA), Zarate Plant</v>
      </c>
      <c r="E602" s="12" t="s">
        <v>1169</v>
      </c>
      <c r="F602" s="12" t="s">
        <v>66</v>
      </c>
      <c r="G602" s="12" t="s">
        <v>1170</v>
      </c>
      <c r="H602" s="12"/>
      <c r="I602" s="14">
        <v>45338</v>
      </c>
      <c r="J602" s="12" t="s">
        <v>1171</v>
      </c>
    </row>
    <row r="603" spans="1:10" s="15" customFormat="1" x14ac:dyDescent="0.15">
      <c r="A603" s="11">
        <v>45339</v>
      </c>
      <c r="B603" s="12" t="s">
        <v>19</v>
      </c>
      <c r="C603" s="12" t="s">
        <v>19</v>
      </c>
      <c r="D603" s="13" t="str">
        <f>HYPERLINK("https://www.marklines.com/en/global/907","Toyota Motor Manufacturing de Baja California, S.de R.L. de C.V. (TMMBC), Tijuana Plant")</f>
        <v>Toyota Motor Manufacturing de Baja California, S.de R.L. de C.V. (TMMBC), Tijuana Plant</v>
      </c>
      <c r="E603" s="12" t="s">
        <v>1172</v>
      </c>
      <c r="F603" s="12" t="s">
        <v>15</v>
      </c>
      <c r="G603" s="12" t="s">
        <v>218</v>
      </c>
      <c r="H603" s="12"/>
      <c r="I603" s="14">
        <v>45338</v>
      </c>
      <c r="J603" s="12" t="s">
        <v>1173</v>
      </c>
    </row>
    <row r="604" spans="1:10" s="15" customFormat="1" x14ac:dyDescent="0.15">
      <c r="A604" s="11">
        <v>45339</v>
      </c>
      <c r="B604" s="12" t="s">
        <v>19</v>
      </c>
      <c r="C604" s="12" t="s">
        <v>19</v>
      </c>
      <c r="D604" s="13" t="str">
        <f>HYPERLINK("https://www.marklines.com/en/global/9330","Toyota Motor Mexico (TMMGT), Guanajuato Plant")</f>
        <v>Toyota Motor Mexico (TMMGT), Guanajuato Plant</v>
      </c>
      <c r="E604" s="12" t="s">
        <v>1174</v>
      </c>
      <c r="F604" s="12" t="s">
        <v>15</v>
      </c>
      <c r="G604" s="12" t="s">
        <v>218</v>
      </c>
      <c r="H604" s="12"/>
      <c r="I604" s="14">
        <v>45338</v>
      </c>
      <c r="J604" s="12" t="s">
        <v>1173</v>
      </c>
    </row>
    <row r="605" spans="1:10" s="15" customFormat="1" x14ac:dyDescent="0.15">
      <c r="A605" s="11">
        <v>45339</v>
      </c>
      <c r="B605" s="12" t="s">
        <v>50</v>
      </c>
      <c r="C605" s="12" t="s">
        <v>50</v>
      </c>
      <c r="D605" s="13" t="str">
        <f>HYPERLINK("https://www.marklines.com/en/global/10321","Tesla Gigafactory Texas")</f>
        <v>Tesla Gigafactory Texas</v>
      </c>
      <c r="E605" s="12" t="s">
        <v>508</v>
      </c>
      <c r="F605" s="12" t="s">
        <v>15</v>
      </c>
      <c r="G605" s="12" t="s">
        <v>11</v>
      </c>
      <c r="H605" s="12" t="s">
        <v>509</v>
      </c>
      <c r="I605" s="14">
        <v>45337</v>
      </c>
      <c r="J605" s="12" t="s">
        <v>1175</v>
      </c>
    </row>
    <row r="606" spans="1:10" s="15" customFormat="1" x14ac:dyDescent="0.15">
      <c r="A606" s="11">
        <v>45339</v>
      </c>
      <c r="B606" s="12" t="s">
        <v>459</v>
      </c>
      <c r="C606" s="12" t="s">
        <v>459</v>
      </c>
      <c r="D606" s="13" t="str">
        <f>HYPERLINK("https://www.marklines.com/en/global/10703","Mullen Automotive, Advanced Manufacturing Engineering Center (AMEC)")</f>
        <v>Mullen Automotive, Advanced Manufacturing Engineering Center (AMEC)</v>
      </c>
      <c r="E606" s="12" t="s">
        <v>460</v>
      </c>
      <c r="F606" s="12" t="s">
        <v>15</v>
      </c>
      <c r="G606" s="12" t="s">
        <v>11</v>
      </c>
      <c r="H606" s="12" t="s">
        <v>452</v>
      </c>
      <c r="I606" s="14">
        <v>45335</v>
      </c>
      <c r="J606" s="12" t="s">
        <v>1176</v>
      </c>
    </row>
    <row r="607" spans="1:10" s="15" customFormat="1" x14ac:dyDescent="0.15">
      <c r="A607" s="11">
        <v>45338</v>
      </c>
      <c r="B607" s="12" t="s">
        <v>28</v>
      </c>
      <c r="C607" s="12" t="s">
        <v>990</v>
      </c>
      <c r="D607" s="13" t="str">
        <f>HYPERLINK("https://www.marklines.com/en/global/10676","Scout Motors Inc., Blythewood Plant")</f>
        <v>Scout Motors Inc., Blythewood Plant</v>
      </c>
      <c r="E607" s="12" t="s">
        <v>991</v>
      </c>
      <c r="F607" s="12" t="s">
        <v>15</v>
      </c>
      <c r="G607" s="12" t="s">
        <v>11</v>
      </c>
      <c r="H607" s="12" t="s">
        <v>627</v>
      </c>
      <c r="I607" s="14">
        <v>45337</v>
      </c>
      <c r="J607" s="12" t="s">
        <v>992</v>
      </c>
    </row>
    <row r="608" spans="1:10" s="15" customFormat="1" x14ac:dyDescent="0.15">
      <c r="A608" s="11">
        <v>45338</v>
      </c>
      <c r="B608" s="12" t="s">
        <v>476</v>
      </c>
      <c r="C608" s="12" t="s">
        <v>476</v>
      </c>
      <c r="D608" s="13" t="str">
        <f>HYPERLINK("https://www.marklines.com/en/global/9873","Lucid Motors (Lucid Group, Inc.), Casa Grande plant (AMP-1)")</f>
        <v>Lucid Motors (Lucid Group, Inc.), Casa Grande plant (AMP-1)</v>
      </c>
      <c r="E608" s="12" t="s">
        <v>480</v>
      </c>
      <c r="F608" s="12" t="s">
        <v>15</v>
      </c>
      <c r="G608" s="12" t="s">
        <v>11</v>
      </c>
      <c r="H608" s="12" t="s">
        <v>74</v>
      </c>
      <c r="I608" s="14">
        <v>45337</v>
      </c>
      <c r="J608" s="12" t="s">
        <v>993</v>
      </c>
    </row>
    <row r="609" spans="1:10" s="15" customFormat="1" x14ac:dyDescent="0.15">
      <c r="A609" s="11">
        <v>45338</v>
      </c>
      <c r="B609" s="12" t="s">
        <v>28</v>
      </c>
      <c r="C609" s="12" t="s">
        <v>43</v>
      </c>
      <c r="D609" s="13" t="str">
        <f>HYPERLINK("https://www.marklines.com/en/global/8739","Audi Mexico S.A. de C.V., San José Chiapa Plant")</f>
        <v>Audi Mexico S.A. de C.V., San José Chiapa Plant</v>
      </c>
      <c r="E609" s="12" t="s">
        <v>551</v>
      </c>
      <c r="F609" s="12" t="s">
        <v>15</v>
      </c>
      <c r="G609" s="12" t="s">
        <v>218</v>
      </c>
      <c r="H609" s="12"/>
      <c r="I609" s="14">
        <v>45336</v>
      </c>
      <c r="J609" s="12" t="s">
        <v>994</v>
      </c>
    </row>
    <row r="610" spans="1:10" s="15" customFormat="1" x14ac:dyDescent="0.15">
      <c r="A610" s="11">
        <v>45337</v>
      </c>
      <c r="B610" s="12" t="s">
        <v>582</v>
      </c>
      <c r="C610" s="12" t="s">
        <v>995</v>
      </c>
      <c r="D610" s="13" t="str">
        <f>HYPERLINK("https://www.marklines.com/en/global/111","Renault Trucks, Venissieux Engine Plant")</f>
        <v>Renault Trucks, Venissieux Engine Plant</v>
      </c>
      <c r="E610" s="12" t="s">
        <v>996</v>
      </c>
      <c r="F610" s="12" t="s">
        <v>16</v>
      </c>
      <c r="G610" s="12" t="s">
        <v>285</v>
      </c>
      <c r="H610" s="12"/>
      <c r="I610" s="14">
        <v>45337</v>
      </c>
      <c r="J610" s="12" t="s">
        <v>997</v>
      </c>
    </row>
    <row r="611" spans="1:10" s="15" customFormat="1" x14ac:dyDescent="0.15">
      <c r="A611" s="11">
        <v>45337</v>
      </c>
      <c r="B611" s="12" t="s">
        <v>27</v>
      </c>
      <c r="C611" s="12" t="s">
        <v>968</v>
      </c>
      <c r="D611" s="13" t="str">
        <f>HYPERLINK("https://www.marklines.com/en/global/2285","BMW (UK), Oxford Plant")</f>
        <v>BMW (UK), Oxford Plant</v>
      </c>
      <c r="E611" s="12" t="s">
        <v>969</v>
      </c>
      <c r="F611" s="12" t="s">
        <v>16</v>
      </c>
      <c r="G611" s="12" t="s">
        <v>233</v>
      </c>
      <c r="H611" s="12"/>
      <c r="I611" s="14">
        <v>45336</v>
      </c>
      <c r="J611" s="12" t="s">
        <v>998</v>
      </c>
    </row>
    <row r="612" spans="1:10" s="15" customFormat="1" x14ac:dyDescent="0.15">
      <c r="A612" s="11">
        <v>45337</v>
      </c>
      <c r="B612" s="12" t="s">
        <v>27</v>
      </c>
      <c r="C612" s="12" t="s">
        <v>968</v>
      </c>
      <c r="D612" s="13" t="str">
        <f>HYPERLINK("https://www.marklines.com/en/global/9604","Spotlight Automotive Limited")</f>
        <v>Spotlight Automotive Limited</v>
      </c>
      <c r="E612" s="12" t="s">
        <v>999</v>
      </c>
      <c r="F612" s="12" t="s">
        <v>18</v>
      </c>
      <c r="G612" s="12" t="s">
        <v>24</v>
      </c>
      <c r="H612" s="12" t="s">
        <v>531</v>
      </c>
      <c r="I612" s="14">
        <v>45336</v>
      </c>
      <c r="J612" s="12" t="s">
        <v>998</v>
      </c>
    </row>
    <row r="613" spans="1:10" s="15" customFormat="1" x14ac:dyDescent="0.15">
      <c r="A613" s="11">
        <v>45337</v>
      </c>
      <c r="B613" s="12" t="s">
        <v>86</v>
      </c>
      <c r="C613" s="12" t="s">
        <v>86</v>
      </c>
      <c r="D613" s="13" t="str">
        <f>HYPERLINK("https://www.marklines.com/en/global/735","OJSC (OAO) KAMAZ (Kamskiy Avtomobilny Zavod)")</f>
        <v>OJSC (OAO) KAMAZ (Kamskiy Avtomobilny Zavod)</v>
      </c>
      <c r="E613" s="12" t="s">
        <v>586</v>
      </c>
      <c r="F613" s="12" t="s">
        <v>17</v>
      </c>
      <c r="G613" s="12" t="s">
        <v>13</v>
      </c>
      <c r="H613" s="12"/>
      <c r="I613" s="14">
        <v>45336</v>
      </c>
      <c r="J613" s="12" t="s">
        <v>1000</v>
      </c>
    </row>
    <row r="614" spans="1:10" s="15" customFormat="1" x14ac:dyDescent="0.15">
      <c r="A614" s="11">
        <v>45337</v>
      </c>
      <c r="B614" s="12" t="s">
        <v>86</v>
      </c>
      <c r="C614" s="12" t="s">
        <v>86</v>
      </c>
      <c r="D614" s="13" t="str">
        <f>HYPERLINK("https://www.marklines.com/en/global/737","Kamaz, Naberezhnye Chelny Plant")</f>
        <v>Kamaz, Naberezhnye Chelny Plant</v>
      </c>
      <c r="E614" s="12" t="s">
        <v>87</v>
      </c>
      <c r="F614" s="12" t="s">
        <v>17</v>
      </c>
      <c r="G614" s="12" t="s">
        <v>13</v>
      </c>
      <c r="H614" s="12"/>
      <c r="I614" s="14">
        <v>45336</v>
      </c>
      <c r="J614" s="12" t="s">
        <v>1000</v>
      </c>
    </row>
    <row r="615" spans="1:10" s="15" customFormat="1" x14ac:dyDescent="0.15">
      <c r="A615" s="11">
        <v>45337</v>
      </c>
      <c r="B615" s="12" t="s">
        <v>12</v>
      </c>
      <c r="C615" s="12" t="s">
        <v>12</v>
      </c>
      <c r="D615" s="13" t="str">
        <f>HYPERLINK("https://www.marklines.com/en/global/795","former Limited Liability Company ""TOYOTA MOTOR"" in Saint-Petersburg (TMR-SP), St.Petersburg Plant")</f>
        <v>former Limited Liability Company "TOYOTA MOTOR" in Saint-Petersburg (TMR-SP), St.Petersburg Plant</v>
      </c>
      <c r="E615" s="12" t="s">
        <v>1001</v>
      </c>
      <c r="F615" s="12" t="s">
        <v>17</v>
      </c>
      <c r="G615" s="12" t="s">
        <v>13</v>
      </c>
      <c r="H615" s="12"/>
      <c r="I615" s="14">
        <v>45336</v>
      </c>
      <c r="J615" s="12" t="s">
        <v>1002</v>
      </c>
    </row>
    <row r="616" spans="1:10" s="15" customFormat="1" x14ac:dyDescent="0.15">
      <c r="A616" s="11">
        <v>45337</v>
      </c>
      <c r="B616" s="12" t="s">
        <v>346</v>
      </c>
      <c r="C616" s="12" t="s">
        <v>346</v>
      </c>
      <c r="D616" s="13" t="str">
        <f>HYPERLINK("https://www.marklines.com/en/global/1927","Nissan Motor Iberica, Avila Plant")</f>
        <v>Nissan Motor Iberica, Avila Plant</v>
      </c>
      <c r="E616" s="12" t="s">
        <v>1003</v>
      </c>
      <c r="F616" s="12" t="s">
        <v>16</v>
      </c>
      <c r="G616" s="12" t="s">
        <v>42</v>
      </c>
      <c r="H616" s="12"/>
      <c r="I616" s="14">
        <v>45336</v>
      </c>
      <c r="J616" s="12" t="s">
        <v>1004</v>
      </c>
    </row>
    <row r="617" spans="1:10" s="15" customFormat="1" x14ac:dyDescent="0.15">
      <c r="A617" s="11">
        <v>45337</v>
      </c>
      <c r="B617" s="12" t="s">
        <v>252</v>
      </c>
      <c r="C617" s="12" t="s">
        <v>252</v>
      </c>
      <c r="D617" s="13" t="str">
        <f>HYPERLINK("https://www.marklines.com/en/global/1943","Renault Spain, Palencia Plant")</f>
        <v>Renault Spain, Palencia Plant</v>
      </c>
      <c r="E617" s="12" t="s">
        <v>795</v>
      </c>
      <c r="F617" s="12" t="s">
        <v>16</v>
      </c>
      <c r="G617" s="12" t="s">
        <v>42</v>
      </c>
      <c r="H617" s="12"/>
      <c r="I617" s="14">
        <v>45335</v>
      </c>
      <c r="J617" s="12" t="s">
        <v>1005</v>
      </c>
    </row>
    <row r="618" spans="1:10" s="15" customFormat="1" x14ac:dyDescent="0.15">
      <c r="A618" s="11">
        <v>45337</v>
      </c>
      <c r="B618" s="12" t="s">
        <v>34</v>
      </c>
      <c r="C618" s="12" t="s">
        <v>34</v>
      </c>
      <c r="D618" s="13" t="str">
        <f>HYPERLINK("https://www.marklines.com/en/global/3141","Hyundai Motor Manufacturing Alabama, LLC, Montgomery Plant")</f>
        <v>Hyundai Motor Manufacturing Alabama, LLC, Montgomery Plant</v>
      </c>
      <c r="E618" s="12" t="s">
        <v>1006</v>
      </c>
      <c r="F618" s="12" t="s">
        <v>15</v>
      </c>
      <c r="G618" s="12" t="s">
        <v>11</v>
      </c>
      <c r="H618" s="12" t="s">
        <v>457</v>
      </c>
      <c r="I618" s="14">
        <v>45331</v>
      </c>
      <c r="J618" s="12" t="s">
        <v>1007</v>
      </c>
    </row>
    <row r="619" spans="1:10" s="15" customFormat="1" x14ac:dyDescent="0.15">
      <c r="A619" s="11">
        <v>45337</v>
      </c>
      <c r="B619" s="12" t="s">
        <v>34</v>
      </c>
      <c r="C619" s="12" t="s">
        <v>34</v>
      </c>
      <c r="D619" s="13" t="str">
        <f>HYPERLINK("https://www.marklines.com/en/global/10587","Hyundai Motor Group Metaplant America (HMGMA) LLC")</f>
        <v>Hyundai Motor Group Metaplant America (HMGMA) LLC</v>
      </c>
      <c r="E619" s="12" t="s">
        <v>762</v>
      </c>
      <c r="F619" s="12" t="s">
        <v>15</v>
      </c>
      <c r="G619" s="12" t="s">
        <v>11</v>
      </c>
      <c r="H619" s="12" t="s">
        <v>361</v>
      </c>
      <c r="I619" s="14">
        <v>45331</v>
      </c>
      <c r="J619" s="12" t="s">
        <v>1007</v>
      </c>
    </row>
    <row r="620" spans="1:10" s="15" customFormat="1" x14ac:dyDescent="0.15">
      <c r="A620" s="11">
        <v>45337</v>
      </c>
      <c r="B620" s="12" t="s">
        <v>34</v>
      </c>
      <c r="C620" s="12" t="s">
        <v>359</v>
      </c>
      <c r="D620" s="13" t="str">
        <f>HYPERLINK("https://www.marklines.com/en/global/3145","Kia Georgia, Inc. (KMMG), West Point Plant")</f>
        <v>Kia Georgia, Inc. (KMMG), West Point Plant</v>
      </c>
      <c r="E620" s="12" t="s">
        <v>360</v>
      </c>
      <c r="F620" s="12" t="s">
        <v>15</v>
      </c>
      <c r="G620" s="12" t="s">
        <v>11</v>
      </c>
      <c r="H620" s="12" t="s">
        <v>361</v>
      </c>
      <c r="I620" s="14">
        <v>45331</v>
      </c>
      <c r="J620" s="12" t="s">
        <v>1007</v>
      </c>
    </row>
    <row r="621" spans="1:10" s="15" customFormat="1" x14ac:dyDescent="0.15">
      <c r="A621" s="11">
        <v>45336</v>
      </c>
      <c r="B621" s="12" t="s">
        <v>34</v>
      </c>
      <c r="C621" s="12" t="s">
        <v>34</v>
      </c>
      <c r="D621" s="13" t="str">
        <f>HYPERLINK("https://www.marklines.com/en/global/709","former Hyundai Motor Manufacturing Russia (HMMR), Kamenka (St. Petersburg)  Plant")</f>
        <v>former Hyundai Motor Manufacturing Russia (HMMR), Kamenka (St. Petersburg)  Plant</v>
      </c>
      <c r="E621" s="12" t="s">
        <v>98</v>
      </c>
      <c r="F621" s="12" t="s">
        <v>17</v>
      </c>
      <c r="G621" s="12" t="s">
        <v>13</v>
      </c>
      <c r="H621" s="12"/>
      <c r="I621" s="14">
        <v>45335</v>
      </c>
      <c r="J621" s="12" t="s">
        <v>1008</v>
      </c>
    </row>
    <row r="622" spans="1:10" s="15" customFormat="1" x14ac:dyDescent="0.15">
      <c r="A622" s="11">
        <v>45336</v>
      </c>
      <c r="B622" s="12" t="s">
        <v>12</v>
      </c>
      <c r="C622" s="12" t="s">
        <v>12</v>
      </c>
      <c r="D622" s="13" t="str">
        <f>HYPERLINK("https://www.marklines.com/en/global/709","former Hyundai Motor Manufacturing Russia (HMMR), Kamenka (St. Petersburg)  Plant")</f>
        <v>former Hyundai Motor Manufacturing Russia (HMMR), Kamenka (St. Petersburg)  Plant</v>
      </c>
      <c r="E622" s="12" t="s">
        <v>98</v>
      </c>
      <c r="F622" s="12" t="s">
        <v>17</v>
      </c>
      <c r="G622" s="12" t="s">
        <v>13</v>
      </c>
      <c r="H622" s="12"/>
      <c r="I622" s="14">
        <v>45335</v>
      </c>
      <c r="J622" s="12" t="s">
        <v>1008</v>
      </c>
    </row>
    <row r="623" spans="1:10" s="15" customFormat="1" x14ac:dyDescent="0.15">
      <c r="A623" s="11">
        <v>45336</v>
      </c>
      <c r="B623" s="12" t="s">
        <v>12</v>
      </c>
      <c r="C623" s="12" t="s">
        <v>12</v>
      </c>
      <c r="D623" s="13" t="str">
        <f>HYPERLINK("https://www.marklines.com/en/global/757","JSC Moscow Automobile Plant Moskvich, Moscow Plant (former CJSC Renault Russia)")</f>
        <v>JSC Moscow Automobile Plant Moskvich, Moscow Plant (former CJSC Renault Russia)</v>
      </c>
      <c r="E623" s="12" t="s">
        <v>45</v>
      </c>
      <c r="F623" s="12" t="s">
        <v>17</v>
      </c>
      <c r="G623" s="12" t="s">
        <v>13</v>
      </c>
      <c r="H623" s="12"/>
      <c r="I623" s="14">
        <v>45335</v>
      </c>
      <c r="J623" s="12" t="s">
        <v>1009</v>
      </c>
    </row>
    <row r="624" spans="1:10" s="15" customFormat="1" x14ac:dyDescent="0.15">
      <c r="A624" s="11">
        <v>45336</v>
      </c>
      <c r="B624" s="12" t="s">
        <v>21</v>
      </c>
      <c r="C624" s="12" t="s">
        <v>21</v>
      </c>
      <c r="D624" s="13" t="str">
        <f>HYPERLINK("https://www.marklines.com/en/global/10376","Ford Motor, Rouge Electric Vehicle Center")</f>
        <v>Ford Motor, Rouge Electric Vehicle Center</v>
      </c>
      <c r="E624" s="12" t="s">
        <v>625</v>
      </c>
      <c r="F624" s="12" t="s">
        <v>15</v>
      </c>
      <c r="G624" s="12" t="s">
        <v>11</v>
      </c>
      <c r="H624" s="12" t="s">
        <v>505</v>
      </c>
      <c r="I624" s="14">
        <v>45335</v>
      </c>
      <c r="J624" s="12" t="s">
        <v>1010</v>
      </c>
    </row>
    <row r="625" spans="1:10" s="15" customFormat="1" x14ac:dyDescent="0.15">
      <c r="A625" s="11">
        <v>45336</v>
      </c>
      <c r="B625" s="12" t="s">
        <v>21</v>
      </c>
      <c r="C625" s="12" t="s">
        <v>21</v>
      </c>
      <c r="D625" s="13" t="str">
        <f>HYPERLINK("https://www.marklines.com/en/global/10139","Dunton Campus, Ford Britain (Essex) (formerly Ford Dunton Technical Centre)")</f>
        <v>Dunton Campus, Ford Britain (Essex) (formerly Ford Dunton Technical Centre)</v>
      </c>
      <c r="E625" s="12" t="s">
        <v>1011</v>
      </c>
      <c r="F625" s="12" t="s">
        <v>16</v>
      </c>
      <c r="G625" s="12" t="s">
        <v>233</v>
      </c>
      <c r="H625" s="12"/>
      <c r="I625" s="14">
        <v>45335</v>
      </c>
      <c r="J625" s="12" t="s">
        <v>1012</v>
      </c>
    </row>
    <row r="626" spans="1:10" s="15" customFormat="1" x14ac:dyDescent="0.15">
      <c r="A626" s="11">
        <v>45336</v>
      </c>
      <c r="B626" s="12" t="s">
        <v>21</v>
      </c>
      <c r="C626" s="12" t="s">
        <v>21</v>
      </c>
      <c r="D626" s="13" t="str">
        <f>HYPERLINK("https://www.marklines.com/en/global/2311","Ford Motor U.K., Dagenham Engine Plant")</f>
        <v>Ford Motor U.K., Dagenham Engine Plant</v>
      </c>
      <c r="E626" s="12" t="s">
        <v>1013</v>
      </c>
      <c r="F626" s="12" t="s">
        <v>16</v>
      </c>
      <c r="G626" s="12" t="s">
        <v>233</v>
      </c>
      <c r="H626" s="12"/>
      <c r="I626" s="14">
        <v>45335</v>
      </c>
      <c r="J626" s="12" t="s">
        <v>1012</v>
      </c>
    </row>
    <row r="627" spans="1:10" s="15" customFormat="1" x14ac:dyDescent="0.15">
      <c r="A627" s="11">
        <v>45336</v>
      </c>
      <c r="B627" s="12" t="s">
        <v>462</v>
      </c>
      <c r="C627" s="12" t="s">
        <v>463</v>
      </c>
      <c r="D627" s="13" t="str">
        <f>HYPERLINK("https://www.marklines.com/en/global/1259","Tata Motors Ltd.")</f>
        <v>Tata Motors Ltd.</v>
      </c>
      <c r="E627" s="12" t="s">
        <v>1014</v>
      </c>
      <c r="F627" s="12" t="s">
        <v>22</v>
      </c>
      <c r="G627" s="12" t="s">
        <v>23</v>
      </c>
      <c r="H627" s="12" t="s">
        <v>294</v>
      </c>
      <c r="I627" s="14">
        <v>45334</v>
      </c>
      <c r="J627" s="12" t="s">
        <v>1015</v>
      </c>
    </row>
    <row r="628" spans="1:10" s="15" customFormat="1" x14ac:dyDescent="0.15">
      <c r="A628" s="11">
        <v>45336</v>
      </c>
      <c r="B628" s="12" t="s">
        <v>462</v>
      </c>
      <c r="C628" s="12" t="s">
        <v>463</v>
      </c>
      <c r="D628" s="13" t="str">
        <f>HYPERLINK("https://www.marklines.com/en/global/1263","Tata Motors, Pune Plant")</f>
        <v>Tata Motors, Pune Plant</v>
      </c>
      <c r="E628" s="12" t="s">
        <v>1016</v>
      </c>
      <c r="F628" s="12" t="s">
        <v>22</v>
      </c>
      <c r="G628" s="12" t="s">
        <v>23</v>
      </c>
      <c r="H628" s="12" t="s">
        <v>294</v>
      </c>
      <c r="I628" s="14">
        <v>45334</v>
      </c>
      <c r="J628" s="12" t="s">
        <v>1015</v>
      </c>
    </row>
    <row r="629" spans="1:10" s="15" customFormat="1" x14ac:dyDescent="0.15">
      <c r="A629" s="11">
        <v>45336</v>
      </c>
      <c r="B629" s="12" t="s">
        <v>36</v>
      </c>
      <c r="C629" s="12" t="s">
        <v>36</v>
      </c>
      <c r="D629" s="13" t="str">
        <f>HYPERLINK("https://www.marklines.com/en/global/10652","ACC Deutschland GmbH, Kaiserslautern Plant (formerly Opel-ACC GmbH)")</f>
        <v>ACC Deutschland GmbH, Kaiserslautern Plant (formerly Opel-ACC GmbH)</v>
      </c>
      <c r="E629" s="12" t="s">
        <v>1017</v>
      </c>
      <c r="F629" s="12" t="s">
        <v>16</v>
      </c>
      <c r="G629" s="12" t="s">
        <v>208</v>
      </c>
      <c r="H629" s="12"/>
      <c r="I629" s="14">
        <v>45334</v>
      </c>
      <c r="J629" s="12" t="s">
        <v>1018</v>
      </c>
    </row>
    <row r="630" spans="1:10" s="15" customFormat="1" x14ac:dyDescent="0.15">
      <c r="A630" s="11">
        <v>45336</v>
      </c>
      <c r="B630" s="12" t="s">
        <v>36</v>
      </c>
      <c r="C630" s="12" t="s">
        <v>36</v>
      </c>
      <c r="D630" s="13" t="str">
        <f>HYPERLINK("https://www.marklines.com/en/global/1343","Stellantis, Fiat Powertrain Technologies, Termoli Plant / Automotive Cell Company (ACC), Termoli Plant")</f>
        <v>Stellantis, Fiat Powertrain Technologies, Termoli Plant / Automotive Cell Company (ACC), Termoli Plant</v>
      </c>
      <c r="E630" s="12" t="s">
        <v>296</v>
      </c>
      <c r="F630" s="12" t="s">
        <v>16</v>
      </c>
      <c r="G630" s="12" t="s">
        <v>37</v>
      </c>
      <c r="H630" s="12"/>
      <c r="I630" s="14">
        <v>45334</v>
      </c>
      <c r="J630" s="12" t="s">
        <v>1018</v>
      </c>
    </row>
    <row r="631" spans="1:10" s="15" customFormat="1" x14ac:dyDescent="0.15">
      <c r="A631" s="11">
        <v>45336</v>
      </c>
      <c r="B631" s="12" t="s">
        <v>36</v>
      </c>
      <c r="C631" s="12" t="s">
        <v>36</v>
      </c>
      <c r="D631" s="13" t="str">
        <f>HYPERLINK("https://www.marklines.com/en/global/10274","Automotive Cell Company (ACC)")</f>
        <v>Automotive Cell Company (ACC)</v>
      </c>
      <c r="E631" s="12" t="s">
        <v>309</v>
      </c>
      <c r="F631" s="12" t="s">
        <v>16</v>
      </c>
      <c r="G631" s="12" t="s">
        <v>285</v>
      </c>
      <c r="H631" s="12"/>
      <c r="I631" s="14">
        <v>45334</v>
      </c>
      <c r="J631" s="12" t="s">
        <v>1018</v>
      </c>
    </row>
    <row r="632" spans="1:10" s="15" customFormat="1" x14ac:dyDescent="0.15">
      <c r="A632" s="11">
        <v>45336</v>
      </c>
      <c r="B632" s="12" t="s">
        <v>36</v>
      </c>
      <c r="C632" s="12" t="s">
        <v>36</v>
      </c>
      <c r="D632" s="13" t="str">
        <f>HYPERLINK("https://www.marklines.com/en/global/10614","Automotive Cell Company (ACC), Douvrin/Billy-Berclau Plant")</f>
        <v>Automotive Cell Company (ACC), Douvrin/Billy-Berclau Plant</v>
      </c>
      <c r="E632" s="12" t="s">
        <v>311</v>
      </c>
      <c r="F632" s="12" t="s">
        <v>16</v>
      </c>
      <c r="G632" s="12" t="s">
        <v>285</v>
      </c>
      <c r="H632" s="12"/>
      <c r="I632" s="14">
        <v>45334</v>
      </c>
      <c r="J632" s="12" t="s">
        <v>1018</v>
      </c>
    </row>
    <row r="633" spans="1:10" s="15" customFormat="1" x14ac:dyDescent="0.15">
      <c r="A633" s="11">
        <v>45336</v>
      </c>
      <c r="B633" s="12" t="s">
        <v>252</v>
      </c>
      <c r="C633" s="12" t="s">
        <v>252</v>
      </c>
      <c r="D633" s="13" t="str">
        <f>HYPERLINK("https://www.marklines.com/en/global/10777","HORSE HOLDING (Renault Group)")</f>
        <v>HORSE HOLDING (Renault Group)</v>
      </c>
      <c r="E633" s="12" t="s">
        <v>796</v>
      </c>
      <c r="F633" s="12" t="s">
        <v>16</v>
      </c>
      <c r="G633" s="12" t="s">
        <v>42</v>
      </c>
      <c r="H633" s="12"/>
      <c r="I633" s="14">
        <v>45334</v>
      </c>
      <c r="J633" s="12" t="s">
        <v>1019</v>
      </c>
    </row>
    <row r="634" spans="1:10" s="15" customFormat="1" x14ac:dyDescent="0.15">
      <c r="A634" s="11">
        <v>45336</v>
      </c>
      <c r="B634" s="12" t="s">
        <v>252</v>
      </c>
      <c r="C634" s="12" t="s">
        <v>252</v>
      </c>
      <c r="D634" s="13" t="str">
        <f>HYPERLINK("https://www.marklines.com/en/global/1947","Renault Spain, Valladolid Plant")</f>
        <v>Renault Spain, Valladolid Plant</v>
      </c>
      <c r="E634" s="12" t="s">
        <v>797</v>
      </c>
      <c r="F634" s="12" t="s">
        <v>16</v>
      </c>
      <c r="G634" s="12" t="s">
        <v>42</v>
      </c>
      <c r="H634" s="12"/>
      <c r="I634" s="14">
        <v>45334</v>
      </c>
      <c r="J634" s="12" t="s">
        <v>1019</v>
      </c>
    </row>
    <row r="635" spans="1:10" s="15" customFormat="1" x14ac:dyDescent="0.15">
      <c r="A635" s="11">
        <v>45336</v>
      </c>
      <c r="B635" s="12" t="s">
        <v>19</v>
      </c>
      <c r="C635" s="12" t="s">
        <v>684</v>
      </c>
      <c r="D635" s="13" t="str">
        <f>HYPERLINK("https://www.marklines.com/en/global/651","Toyota South Africa Motors (Pty) Ltd. (TSAM), Prospecton Plant")</f>
        <v>Toyota South Africa Motors (Pty) Ltd. (TSAM), Prospecton Plant</v>
      </c>
      <c r="E635" s="12" t="s">
        <v>692</v>
      </c>
      <c r="F635" s="12" t="s">
        <v>471</v>
      </c>
      <c r="G635" s="12" t="s">
        <v>693</v>
      </c>
      <c r="H635" s="12"/>
      <c r="I635" s="14">
        <v>45334</v>
      </c>
      <c r="J635" s="12" t="s">
        <v>1020</v>
      </c>
    </row>
    <row r="636" spans="1:10" s="15" customFormat="1" x14ac:dyDescent="0.15">
      <c r="A636" s="11">
        <v>45336</v>
      </c>
      <c r="B636" s="12" t="s">
        <v>21</v>
      </c>
      <c r="C636" s="12" t="s">
        <v>21</v>
      </c>
      <c r="D636" s="13" t="str">
        <f>HYPERLINK("https://www.marklines.com/en/global/10431","Ford, BlueOval City/ BlueOval SK battery plant")</f>
        <v>Ford, BlueOval City/ BlueOval SK battery plant</v>
      </c>
      <c r="E636" s="12" t="s">
        <v>1021</v>
      </c>
      <c r="F636" s="12" t="s">
        <v>15</v>
      </c>
      <c r="G636" s="12" t="s">
        <v>11</v>
      </c>
      <c r="H636" s="12" t="s">
        <v>348</v>
      </c>
      <c r="I636" s="14">
        <v>45334</v>
      </c>
      <c r="J636" s="12" t="s">
        <v>1022</v>
      </c>
    </row>
    <row r="637" spans="1:10" s="15" customFormat="1" x14ac:dyDescent="0.15">
      <c r="A637" s="11">
        <v>45336</v>
      </c>
      <c r="B637" s="12" t="s">
        <v>21</v>
      </c>
      <c r="C637" s="12" t="s">
        <v>21</v>
      </c>
      <c r="D637" s="13" t="str">
        <f>HYPERLINK("https://www.marklines.com/en/global/10432","Ford, BlueOval SK Battery Park ")</f>
        <v xml:space="preserve">Ford, BlueOval SK Battery Park </v>
      </c>
      <c r="E637" s="12" t="s">
        <v>937</v>
      </c>
      <c r="F637" s="12" t="s">
        <v>15</v>
      </c>
      <c r="G637" s="12" t="s">
        <v>11</v>
      </c>
      <c r="H637" s="12" t="s">
        <v>892</v>
      </c>
      <c r="I637" s="14">
        <v>45334</v>
      </c>
      <c r="J637" s="12" t="s">
        <v>1022</v>
      </c>
    </row>
    <row r="638" spans="1:10" s="15" customFormat="1" x14ac:dyDescent="0.15">
      <c r="A638" s="11">
        <v>45336</v>
      </c>
      <c r="B638" s="12" t="s">
        <v>350</v>
      </c>
      <c r="C638" s="12" t="s">
        <v>646</v>
      </c>
      <c r="D638" s="13" t="str">
        <f>HYPERLINK("https://www.marklines.com/en/global/867","General Motors Mexico, Ramos Arizpe Plant")</f>
        <v>General Motors Mexico, Ramos Arizpe Plant</v>
      </c>
      <c r="E638" s="12" t="s">
        <v>632</v>
      </c>
      <c r="F638" s="12" t="s">
        <v>15</v>
      </c>
      <c r="G638" s="12" t="s">
        <v>218</v>
      </c>
      <c r="H638" s="12"/>
      <c r="I638" s="14">
        <v>45334</v>
      </c>
      <c r="J638" s="12" t="s">
        <v>1023</v>
      </c>
    </row>
    <row r="639" spans="1:10" s="15" customFormat="1" x14ac:dyDescent="0.15">
      <c r="A639" s="11">
        <v>45336</v>
      </c>
      <c r="B639" s="12" t="s">
        <v>12</v>
      </c>
      <c r="C639" s="12" t="s">
        <v>335</v>
      </c>
      <c r="D639" s="13" t="str">
        <f>HYPERLINK("https://www.marklines.com/en/global/687","Sollers-Yelabuga OOO, Yelabuga Plant")</f>
        <v>Sollers-Yelabuga OOO, Yelabuga Plant</v>
      </c>
      <c r="E639" s="12" t="s">
        <v>338</v>
      </c>
      <c r="F639" s="12" t="s">
        <v>17</v>
      </c>
      <c r="G639" s="12" t="s">
        <v>13</v>
      </c>
      <c r="H639" s="12"/>
      <c r="I639" s="14">
        <v>45329</v>
      </c>
      <c r="J639" s="12" t="s">
        <v>1024</v>
      </c>
    </row>
    <row r="640" spans="1:10" s="15" customFormat="1" x14ac:dyDescent="0.15">
      <c r="A640" s="11">
        <v>45336</v>
      </c>
      <c r="B640" s="12" t="s">
        <v>550</v>
      </c>
      <c r="C640" s="12" t="s">
        <v>550</v>
      </c>
      <c r="D640" s="13" t="str">
        <f>HYPERLINK("https://www.marklines.com/en/global/799","OAO UAZ (Ulyanovsky Avtomobilny Zavod), Ulyanovsk Plant")</f>
        <v>OAO UAZ (Ulyanovsky Avtomobilny Zavod), Ulyanovsk Plant</v>
      </c>
      <c r="E640" s="12" t="s">
        <v>336</v>
      </c>
      <c r="F640" s="12" t="s">
        <v>17</v>
      </c>
      <c r="G640" s="12" t="s">
        <v>13</v>
      </c>
      <c r="H640" s="12"/>
      <c r="I640" s="14">
        <v>45329</v>
      </c>
      <c r="J640" s="12" t="s">
        <v>1024</v>
      </c>
    </row>
    <row r="641" spans="1:10" s="15" customFormat="1" x14ac:dyDescent="0.15">
      <c r="A641" s="11">
        <v>45335</v>
      </c>
      <c r="B641" s="12" t="s">
        <v>36</v>
      </c>
      <c r="C641" s="12" t="s">
        <v>36</v>
      </c>
      <c r="D641" s="13" t="str">
        <f>HYPERLINK("https://www.marklines.com/en/global/2659","Stellantis, FCA US, Kokomo Casting Plant")</f>
        <v>Stellantis, FCA US, Kokomo Casting Plant</v>
      </c>
      <c r="E641" s="12" t="s">
        <v>1025</v>
      </c>
      <c r="F641" s="12" t="s">
        <v>15</v>
      </c>
      <c r="G641" s="12" t="s">
        <v>11</v>
      </c>
      <c r="H641" s="12" t="s">
        <v>498</v>
      </c>
      <c r="I641" s="14">
        <v>45334</v>
      </c>
      <c r="J641" s="12" t="s">
        <v>1026</v>
      </c>
    </row>
    <row r="642" spans="1:10" s="15" customFormat="1" x14ac:dyDescent="0.15">
      <c r="A642" s="11">
        <v>45335</v>
      </c>
      <c r="B642" s="12" t="s">
        <v>36</v>
      </c>
      <c r="C642" s="12" t="s">
        <v>36</v>
      </c>
      <c r="D642" s="13" t="str">
        <f>HYPERLINK("https://www.marklines.com/en/global/2661","Stellantis, FCA US, Kokomo Transmission Plant")</f>
        <v>Stellantis, FCA US, Kokomo Transmission Plant</v>
      </c>
      <c r="E642" s="12" t="s">
        <v>1027</v>
      </c>
      <c r="F642" s="12" t="s">
        <v>15</v>
      </c>
      <c r="G642" s="12" t="s">
        <v>11</v>
      </c>
      <c r="H642" s="12" t="s">
        <v>498</v>
      </c>
      <c r="I642" s="14">
        <v>45334</v>
      </c>
      <c r="J642" s="12" t="s">
        <v>1026</v>
      </c>
    </row>
    <row r="643" spans="1:10" s="15" customFormat="1" x14ac:dyDescent="0.15">
      <c r="A643" s="11">
        <v>45335</v>
      </c>
      <c r="B643" s="12" t="s">
        <v>36</v>
      </c>
      <c r="C643" s="12" t="s">
        <v>36</v>
      </c>
      <c r="D643" s="13" t="str">
        <f>HYPERLINK("https://www.marklines.com/en/global/1337","Stellantis, Fiat Powertrain Technologies, Mirafiori (Turin) Plant")</f>
        <v>Stellantis, Fiat Powertrain Technologies, Mirafiori (Turin) Plant</v>
      </c>
      <c r="E643" s="12" t="s">
        <v>1028</v>
      </c>
      <c r="F643" s="12" t="s">
        <v>16</v>
      </c>
      <c r="G643" s="12" t="s">
        <v>37</v>
      </c>
      <c r="H643" s="12"/>
      <c r="I643" s="14">
        <v>45334</v>
      </c>
      <c r="J643" s="12" t="s">
        <v>1026</v>
      </c>
    </row>
    <row r="644" spans="1:10" s="15" customFormat="1" x14ac:dyDescent="0.15">
      <c r="A644" s="11">
        <v>45335</v>
      </c>
      <c r="B644" s="12" t="s">
        <v>36</v>
      </c>
      <c r="C644" s="12" t="s">
        <v>36</v>
      </c>
      <c r="D644" s="13" t="str">
        <f>HYPERLINK("https://www.marklines.com/en/global/159","Stellantis, PSA, Tremery Plant")</f>
        <v>Stellantis, PSA, Tremery Plant</v>
      </c>
      <c r="E644" s="12" t="s">
        <v>1029</v>
      </c>
      <c r="F644" s="12" t="s">
        <v>16</v>
      </c>
      <c r="G644" s="12" t="s">
        <v>285</v>
      </c>
      <c r="H644" s="12"/>
      <c r="I644" s="14">
        <v>45334</v>
      </c>
      <c r="J644" s="12" t="s">
        <v>1026</v>
      </c>
    </row>
    <row r="645" spans="1:10" s="15" customFormat="1" x14ac:dyDescent="0.15">
      <c r="A645" s="11">
        <v>45335</v>
      </c>
      <c r="B645" s="12" t="s">
        <v>36</v>
      </c>
      <c r="C645" s="12" t="s">
        <v>36</v>
      </c>
      <c r="D645" s="13" t="str">
        <f>HYPERLINK("https://www.marklines.com/en/global/153","Stellantis, PSA, Metz-Borny Plant")</f>
        <v>Stellantis, PSA, Metz-Borny Plant</v>
      </c>
      <c r="E645" s="12" t="s">
        <v>1030</v>
      </c>
      <c r="F645" s="12" t="s">
        <v>16</v>
      </c>
      <c r="G645" s="12" t="s">
        <v>285</v>
      </c>
      <c r="H645" s="12"/>
      <c r="I645" s="14">
        <v>45334</v>
      </c>
      <c r="J645" s="12" t="s">
        <v>1026</v>
      </c>
    </row>
    <row r="646" spans="1:10" s="15" customFormat="1" x14ac:dyDescent="0.15">
      <c r="A646" s="11">
        <v>45335</v>
      </c>
      <c r="B646" s="12" t="s">
        <v>36</v>
      </c>
      <c r="C646" s="12" t="s">
        <v>36</v>
      </c>
      <c r="D646" s="13" t="str">
        <f>HYPERLINK("https://www.marklines.com/en/global/1789","Stellantis, Opel Szentgotthard Kft. (Former General Motors Powertrain-Hungary Ltd., Szentgotthard Plant)")</f>
        <v>Stellantis, Opel Szentgotthard Kft. (Former General Motors Powertrain-Hungary Ltd., Szentgotthard Plant)</v>
      </c>
      <c r="E646" s="12" t="s">
        <v>1031</v>
      </c>
      <c r="F646" s="12" t="s">
        <v>17</v>
      </c>
      <c r="G646" s="12" t="s">
        <v>417</v>
      </c>
      <c r="H646" s="12"/>
      <c r="I646" s="14">
        <v>45334</v>
      </c>
      <c r="J646" s="12" t="s">
        <v>1026</v>
      </c>
    </row>
    <row r="647" spans="1:10" s="15" customFormat="1" x14ac:dyDescent="0.15">
      <c r="A647" s="11">
        <v>45335</v>
      </c>
      <c r="B647" s="12" t="s">
        <v>28</v>
      </c>
      <c r="C647" s="12" t="s">
        <v>35</v>
      </c>
      <c r="D647" s="13" t="str">
        <f>HYPERLINK("https://www.marklines.com/en/global/1965","Volkswagen Navarra, S.A., Pamplona (Landaben) Plant")</f>
        <v>Volkswagen Navarra, S.A., Pamplona (Landaben) Plant</v>
      </c>
      <c r="E647" s="12" t="s">
        <v>64</v>
      </c>
      <c r="F647" s="12" t="s">
        <v>16</v>
      </c>
      <c r="G647" s="12" t="s">
        <v>42</v>
      </c>
      <c r="H647" s="12"/>
      <c r="I647" s="14">
        <v>45334</v>
      </c>
      <c r="J647" s="12" t="s">
        <v>1032</v>
      </c>
    </row>
    <row r="648" spans="1:10" s="15" customFormat="1" x14ac:dyDescent="0.15">
      <c r="A648" s="11">
        <v>45335</v>
      </c>
      <c r="B648" s="12" t="s">
        <v>28</v>
      </c>
      <c r="C648" s="12" t="s">
        <v>44</v>
      </c>
      <c r="D648" s="13" t="str">
        <f>HYPERLINK("https://www.marklines.com/en/global/1965","Volkswagen Navarra, S.A., Pamplona (Landaben) Plant")</f>
        <v>Volkswagen Navarra, S.A., Pamplona (Landaben) Plant</v>
      </c>
      <c r="E648" s="12" t="s">
        <v>64</v>
      </c>
      <c r="F648" s="12" t="s">
        <v>16</v>
      </c>
      <c r="G648" s="12" t="s">
        <v>42</v>
      </c>
      <c r="H648" s="12"/>
      <c r="I648" s="14">
        <v>45334</v>
      </c>
      <c r="J648" s="12" t="s">
        <v>1032</v>
      </c>
    </row>
    <row r="649" spans="1:10" s="15" customFormat="1" x14ac:dyDescent="0.15">
      <c r="A649" s="11">
        <v>45335</v>
      </c>
      <c r="B649" s="12" t="s">
        <v>915</v>
      </c>
      <c r="C649" s="12" t="s">
        <v>915</v>
      </c>
      <c r="D649" s="13" t="str">
        <f>HYPERLINK("https://www.marklines.com/en/global/671","ZAO AvtoTOR, Kaliningrad Plant")</f>
        <v>ZAO AvtoTOR, Kaliningrad Plant</v>
      </c>
      <c r="E649" s="12" t="s">
        <v>717</v>
      </c>
      <c r="F649" s="12" t="s">
        <v>17</v>
      </c>
      <c r="G649" s="12" t="s">
        <v>13</v>
      </c>
      <c r="H649" s="12"/>
      <c r="I649" s="14">
        <v>45334</v>
      </c>
      <c r="J649" s="12" t="s">
        <v>1033</v>
      </c>
    </row>
    <row r="650" spans="1:10" s="15" customFormat="1" x14ac:dyDescent="0.15">
      <c r="A650" s="11">
        <v>45335</v>
      </c>
      <c r="B650" s="12" t="s">
        <v>28</v>
      </c>
      <c r="C650" s="12" t="s">
        <v>43</v>
      </c>
      <c r="D650" s="13" t="str">
        <f>HYPERLINK("https://www.marklines.com/en/global/8739","Audi Mexico S.A. de C.V., San José Chiapa Plant")</f>
        <v>Audi Mexico S.A. de C.V., San José Chiapa Plant</v>
      </c>
      <c r="E650" s="12" t="s">
        <v>551</v>
      </c>
      <c r="F650" s="12" t="s">
        <v>15</v>
      </c>
      <c r="G650" s="12" t="s">
        <v>218</v>
      </c>
      <c r="H650" s="12"/>
      <c r="I650" s="14">
        <v>45334</v>
      </c>
      <c r="J650" s="12" t="s">
        <v>1034</v>
      </c>
    </row>
    <row r="651" spans="1:10" s="15" customFormat="1" x14ac:dyDescent="0.15">
      <c r="A651" s="11">
        <v>45335</v>
      </c>
      <c r="B651" s="12" t="s">
        <v>27</v>
      </c>
      <c r="C651" s="12" t="s">
        <v>27</v>
      </c>
      <c r="D651" s="13" t="str">
        <f>HYPERLINK("https://www.marklines.com/en/global/9879","BMW Manufacturing Hungary Kft., Debrecen Gyar plant")</f>
        <v>BMW Manufacturing Hungary Kft., Debrecen Gyar plant</v>
      </c>
      <c r="E651" s="12" t="s">
        <v>1035</v>
      </c>
      <c r="F651" s="12" t="s">
        <v>17</v>
      </c>
      <c r="G651" s="12" t="s">
        <v>417</v>
      </c>
      <c r="H651" s="12"/>
      <c r="I651" s="14">
        <v>45331</v>
      </c>
      <c r="J651" s="12" t="s">
        <v>1036</v>
      </c>
    </row>
    <row r="652" spans="1:10" s="15" customFormat="1" x14ac:dyDescent="0.15">
      <c r="A652" s="11">
        <v>45335</v>
      </c>
      <c r="B652" s="12" t="s">
        <v>582</v>
      </c>
      <c r="C652" s="12" t="s">
        <v>1037</v>
      </c>
      <c r="D652" s="13" t="str">
        <f>HYPERLINK("https://www.marklines.com/en/global/10303","Mack Trucks Roanoke Valley Operations (RVO)")</f>
        <v>Mack Trucks Roanoke Valley Operations (RVO)</v>
      </c>
      <c r="E652" s="12" t="s">
        <v>1038</v>
      </c>
      <c r="F652" s="12" t="s">
        <v>15</v>
      </c>
      <c r="G652" s="12" t="s">
        <v>11</v>
      </c>
      <c r="H652" s="12" t="s">
        <v>584</v>
      </c>
      <c r="I652" s="14">
        <v>45331</v>
      </c>
      <c r="J652" s="12" t="s">
        <v>1039</v>
      </c>
    </row>
    <row r="653" spans="1:10" s="15" customFormat="1" x14ac:dyDescent="0.15">
      <c r="A653" s="11">
        <v>45335</v>
      </c>
      <c r="B653" s="12" t="s">
        <v>28</v>
      </c>
      <c r="C653" s="12" t="s">
        <v>43</v>
      </c>
      <c r="D653" s="13" t="str">
        <f>HYPERLINK("https://www.marklines.com/en/global/10308","Audi Hungaria Zrt., R&amp;D center Győr")</f>
        <v>Audi Hungaria Zrt., R&amp;D center Győr</v>
      </c>
      <c r="E653" s="12" t="s">
        <v>1040</v>
      </c>
      <c r="F653" s="12" t="s">
        <v>17</v>
      </c>
      <c r="G653" s="12" t="s">
        <v>417</v>
      </c>
      <c r="H653" s="12"/>
      <c r="I653" s="14">
        <v>45330</v>
      </c>
      <c r="J653" s="12" t="s">
        <v>1041</v>
      </c>
    </row>
    <row r="654" spans="1:10" s="15" customFormat="1" x14ac:dyDescent="0.15">
      <c r="A654" s="11">
        <v>45335</v>
      </c>
      <c r="B654" s="12" t="s">
        <v>28</v>
      </c>
      <c r="C654" s="12" t="s">
        <v>43</v>
      </c>
      <c r="D654" s="13" t="str">
        <f>HYPERLINK("https://www.marklines.com/en/global/1777","Audi Hungaria Zrt., Győr Plant (formerly Audi Hungaria Motor Kft.)")</f>
        <v>Audi Hungaria Zrt., Győr Plant (formerly Audi Hungaria Motor Kft.)</v>
      </c>
      <c r="E654" s="12" t="s">
        <v>499</v>
      </c>
      <c r="F654" s="12" t="s">
        <v>17</v>
      </c>
      <c r="G654" s="12" t="s">
        <v>417</v>
      </c>
      <c r="H654" s="12"/>
      <c r="I654" s="14">
        <v>45330</v>
      </c>
      <c r="J654" s="12" t="s">
        <v>1041</v>
      </c>
    </row>
    <row r="655" spans="1:10" s="15" customFormat="1" x14ac:dyDescent="0.15">
      <c r="A655" s="11">
        <v>45335</v>
      </c>
      <c r="B655" s="12" t="s">
        <v>350</v>
      </c>
      <c r="C655" s="12" t="s">
        <v>350</v>
      </c>
      <c r="D655" s="13" t="str">
        <f>HYPERLINK("https://www.marklines.com/en/global/10756","GM-Samsung SDI, Battery Cell Plant (tentative name）")</f>
        <v>GM-Samsung SDI, Battery Cell Plant (tentative name）</v>
      </c>
      <c r="E655" s="12" t="s">
        <v>1042</v>
      </c>
      <c r="F655" s="12" t="s">
        <v>15</v>
      </c>
      <c r="G655" s="12" t="s">
        <v>11</v>
      </c>
      <c r="H655" s="12" t="s">
        <v>498</v>
      </c>
      <c r="I655" s="14">
        <v>45328</v>
      </c>
      <c r="J655" s="12" t="s">
        <v>1043</v>
      </c>
    </row>
    <row r="656" spans="1:10" s="15" customFormat="1" x14ac:dyDescent="0.15">
      <c r="A656" s="11">
        <v>45332</v>
      </c>
      <c r="B656" s="12" t="s">
        <v>31</v>
      </c>
      <c r="C656" s="12" t="s">
        <v>31</v>
      </c>
      <c r="D656" s="13" t="str">
        <f>HYPERLINK("https://www.marklines.com/en/global/3153","Rivian, Normal Plant (former Mitsubishi Motors North America, Normal Plant)")</f>
        <v>Rivian, Normal Plant (former Mitsubishi Motors North America, Normal Plant)</v>
      </c>
      <c r="E656" s="12" t="s">
        <v>32</v>
      </c>
      <c r="F656" s="12" t="s">
        <v>15</v>
      </c>
      <c r="G656" s="12" t="s">
        <v>11</v>
      </c>
      <c r="H656" s="12" t="s">
        <v>33</v>
      </c>
      <c r="I656" s="14">
        <v>45330</v>
      </c>
      <c r="J656" s="12" t="s">
        <v>828</v>
      </c>
    </row>
    <row r="657" spans="1:10" s="15" customFormat="1" x14ac:dyDescent="0.15">
      <c r="A657" s="11">
        <v>45332</v>
      </c>
      <c r="B657" s="12" t="s">
        <v>28</v>
      </c>
      <c r="C657" s="12" t="s">
        <v>35</v>
      </c>
      <c r="D657" s="13" t="str">
        <f>HYPERLINK("https://www.marklines.com/en/global/3309","Volkswagen Group of America Chattanooga Operations, LLC, Chattanooga Plant")</f>
        <v>Volkswagen Group of America Chattanooga Operations, LLC, Chattanooga Plant</v>
      </c>
      <c r="E657" s="12" t="s">
        <v>829</v>
      </c>
      <c r="F657" s="12" t="s">
        <v>15</v>
      </c>
      <c r="G657" s="12" t="s">
        <v>11</v>
      </c>
      <c r="H657" s="12" t="s">
        <v>348</v>
      </c>
      <c r="I657" s="14">
        <v>45330</v>
      </c>
      <c r="J657" s="12" t="s">
        <v>830</v>
      </c>
    </row>
    <row r="658" spans="1:10" s="15" customFormat="1" x14ac:dyDescent="0.15">
      <c r="A658" s="11">
        <v>45332</v>
      </c>
      <c r="B658" s="12" t="s">
        <v>346</v>
      </c>
      <c r="C658" s="12" t="s">
        <v>346</v>
      </c>
      <c r="D658" s="13" t="str">
        <f>HYPERLINK("https://www.marklines.com/en/global/8604","Nissan do Brasil Automóveis Ltda., Resende Plant")</f>
        <v>Nissan do Brasil Automóveis Ltda., Resende Plant</v>
      </c>
      <c r="E658" s="12" t="s">
        <v>831</v>
      </c>
      <c r="F658" s="12" t="s">
        <v>66</v>
      </c>
      <c r="G658" s="12" t="s">
        <v>67</v>
      </c>
      <c r="H658" s="12"/>
      <c r="I658" s="14">
        <v>45321</v>
      </c>
      <c r="J658" s="12" t="s">
        <v>832</v>
      </c>
    </row>
    <row r="659" spans="1:10" s="15" customFormat="1" x14ac:dyDescent="0.15">
      <c r="A659" s="11">
        <v>45331</v>
      </c>
      <c r="B659" s="12" t="s">
        <v>65</v>
      </c>
      <c r="C659" s="12" t="s">
        <v>221</v>
      </c>
      <c r="D659" s="13" t="str">
        <f>HYPERLINK("https://www.marklines.com/en/global/9860","Zhejiang Geely Automobile Co., Ltd. Wuhan Branch")</f>
        <v>Zhejiang Geely Automobile Co., Ltd. Wuhan Branch</v>
      </c>
      <c r="E659" s="12" t="s">
        <v>222</v>
      </c>
      <c r="F659" s="12" t="s">
        <v>18</v>
      </c>
      <c r="G659" s="12" t="s">
        <v>24</v>
      </c>
      <c r="H659" s="12" t="s">
        <v>76</v>
      </c>
      <c r="I659" s="14">
        <v>45331</v>
      </c>
      <c r="J659" s="12" t="s">
        <v>833</v>
      </c>
    </row>
    <row r="660" spans="1:10" s="15" customFormat="1" x14ac:dyDescent="0.15">
      <c r="A660" s="11">
        <v>45331</v>
      </c>
      <c r="B660" s="12" t="s">
        <v>252</v>
      </c>
      <c r="C660" s="12" t="s">
        <v>252</v>
      </c>
      <c r="D660" s="13" t="str">
        <f>HYPERLINK("https://www.marklines.com/en/global/1947","Renault Spain, Valladolid Plant")</f>
        <v>Renault Spain, Valladolid Plant</v>
      </c>
      <c r="E660" s="12" t="s">
        <v>797</v>
      </c>
      <c r="F660" s="12" t="s">
        <v>16</v>
      </c>
      <c r="G660" s="12" t="s">
        <v>42</v>
      </c>
      <c r="H660" s="12"/>
      <c r="I660" s="14">
        <v>45330</v>
      </c>
      <c r="J660" s="12" t="s">
        <v>834</v>
      </c>
    </row>
    <row r="661" spans="1:10" s="15" customFormat="1" x14ac:dyDescent="0.15">
      <c r="A661" s="11">
        <v>45331</v>
      </c>
      <c r="B661" s="12" t="s">
        <v>28</v>
      </c>
      <c r="C661" s="12" t="s">
        <v>353</v>
      </c>
      <c r="D661" s="13" t="str">
        <f>HYPERLINK("https://www.marklines.com/en/global/10650","PowerCo SE, Sagunto Gigafactory")</f>
        <v>PowerCo SE, Sagunto Gigafactory</v>
      </c>
      <c r="E661" s="12" t="s">
        <v>414</v>
      </c>
      <c r="F661" s="12" t="s">
        <v>16</v>
      </c>
      <c r="G661" s="12" t="s">
        <v>42</v>
      </c>
      <c r="H661" s="12"/>
      <c r="I661" s="14">
        <v>45329</v>
      </c>
      <c r="J661" s="12" t="s">
        <v>835</v>
      </c>
    </row>
    <row r="662" spans="1:10" s="15" customFormat="1" x14ac:dyDescent="0.15">
      <c r="A662" s="11">
        <v>45331</v>
      </c>
      <c r="B662" s="12" t="s">
        <v>19</v>
      </c>
      <c r="C662" s="12" t="s">
        <v>684</v>
      </c>
      <c r="D662" s="13" t="str">
        <f>HYPERLINK("https://www.marklines.com/en/global/567","Hino Motors, Hamura Plant")</f>
        <v>Hino Motors, Hamura Plant</v>
      </c>
      <c r="E662" s="12" t="s">
        <v>685</v>
      </c>
      <c r="F662" s="12" t="s">
        <v>18</v>
      </c>
      <c r="G662" s="12" t="s">
        <v>20</v>
      </c>
      <c r="H662" s="12" t="s">
        <v>686</v>
      </c>
      <c r="I662" s="14">
        <v>45328</v>
      </c>
      <c r="J662" s="12" t="s">
        <v>1047</v>
      </c>
    </row>
    <row r="663" spans="1:10" s="15" customFormat="1" x14ac:dyDescent="0.15">
      <c r="A663" s="11">
        <v>45331</v>
      </c>
      <c r="B663" s="12" t="s">
        <v>19</v>
      </c>
      <c r="C663" s="12" t="s">
        <v>19</v>
      </c>
      <c r="D663" s="13" t="str">
        <f>HYPERLINK("https://www.marklines.com/en/global/375","Toyota Motor, Takaoka Plant")</f>
        <v>Toyota Motor, Takaoka Plant</v>
      </c>
      <c r="E663" s="12" t="s">
        <v>191</v>
      </c>
      <c r="F663" s="12" t="s">
        <v>18</v>
      </c>
      <c r="G663" s="12" t="s">
        <v>20</v>
      </c>
      <c r="H663" s="12" t="s">
        <v>189</v>
      </c>
      <c r="I663" s="14">
        <v>45328</v>
      </c>
      <c r="J663" s="12" t="s">
        <v>836</v>
      </c>
    </row>
    <row r="664" spans="1:10" s="15" customFormat="1" x14ac:dyDescent="0.15">
      <c r="A664" s="11">
        <v>45331</v>
      </c>
      <c r="B664" s="12" t="s">
        <v>19</v>
      </c>
      <c r="C664" s="12" t="s">
        <v>19</v>
      </c>
      <c r="D664" s="13" t="str">
        <f>HYPERLINK("https://www.marklines.com/en/global/420","Toyota Motor East Japan, Miyagi Ohira Plant")</f>
        <v>Toyota Motor East Japan, Miyagi Ohira Plant</v>
      </c>
      <c r="E664" s="12" t="s">
        <v>194</v>
      </c>
      <c r="F664" s="12" t="s">
        <v>18</v>
      </c>
      <c r="G664" s="12" t="s">
        <v>20</v>
      </c>
      <c r="H664" s="12" t="s">
        <v>195</v>
      </c>
      <c r="I664" s="14">
        <v>45328</v>
      </c>
      <c r="J664" s="12" t="s">
        <v>836</v>
      </c>
    </row>
    <row r="665" spans="1:10" s="15" customFormat="1" x14ac:dyDescent="0.15">
      <c r="A665" s="11">
        <v>45331</v>
      </c>
      <c r="B665" s="12" t="s">
        <v>19</v>
      </c>
      <c r="C665" s="12" t="s">
        <v>19</v>
      </c>
      <c r="D665" s="13" t="str">
        <f>HYPERLINK("https://www.marklines.com/en/global/424","Toyota Motor East Japan, Iwate Plant")</f>
        <v>Toyota Motor East Japan, Iwate Plant</v>
      </c>
      <c r="E665" s="12" t="s">
        <v>196</v>
      </c>
      <c r="F665" s="12" t="s">
        <v>18</v>
      </c>
      <c r="G665" s="12" t="s">
        <v>20</v>
      </c>
      <c r="H665" s="12" t="s">
        <v>197</v>
      </c>
      <c r="I665" s="14">
        <v>45328</v>
      </c>
      <c r="J665" s="12" t="s">
        <v>836</v>
      </c>
    </row>
    <row r="666" spans="1:10" s="15" customFormat="1" x14ac:dyDescent="0.15">
      <c r="A666" s="11">
        <v>45331</v>
      </c>
      <c r="B666" s="12" t="s">
        <v>19</v>
      </c>
      <c r="C666" s="12" t="s">
        <v>19</v>
      </c>
      <c r="D666" s="13" t="str">
        <f>HYPERLINK("https://www.marklines.com/en/global/409","Toyota Auto Body, Fujimatsu Plant")</f>
        <v>Toyota Auto Body, Fujimatsu Plant</v>
      </c>
      <c r="E666" s="12" t="s">
        <v>200</v>
      </c>
      <c r="F666" s="12" t="s">
        <v>18</v>
      </c>
      <c r="G666" s="12" t="s">
        <v>20</v>
      </c>
      <c r="H666" s="12" t="s">
        <v>189</v>
      </c>
      <c r="I666" s="14">
        <v>45328</v>
      </c>
      <c r="J666" s="12" t="s">
        <v>836</v>
      </c>
    </row>
    <row r="667" spans="1:10" s="15" customFormat="1" x14ac:dyDescent="0.15">
      <c r="A667" s="11">
        <v>45331</v>
      </c>
      <c r="B667" s="12" t="s">
        <v>19</v>
      </c>
      <c r="C667" s="12" t="s">
        <v>19</v>
      </c>
      <c r="D667" s="13" t="str">
        <f>HYPERLINK("https://www.marklines.com/en/global/381","Toyota Motor, Tahara Plant")</f>
        <v>Toyota Motor, Tahara Plant</v>
      </c>
      <c r="E667" s="12" t="s">
        <v>192</v>
      </c>
      <c r="F667" s="12" t="s">
        <v>18</v>
      </c>
      <c r="G667" s="12" t="s">
        <v>20</v>
      </c>
      <c r="H667" s="12" t="s">
        <v>189</v>
      </c>
      <c r="I667" s="14">
        <v>45328</v>
      </c>
      <c r="J667" s="12" t="s">
        <v>836</v>
      </c>
    </row>
    <row r="668" spans="1:10" s="15" customFormat="1" x14ac:dyDescent="0.15">
      <c r="A668" s="11">
        <v>45331</v>
      </c>
      <c r="B668" s="12" t="s">
        <v>19</v>
      </c>
      <c r="C668" s="12" t="s">
        <v>19</v>
      </c>
      <c r="D668" s="13" t="str">
        <f>HYPERLINK("https://www.marklines.com/en/global/379","Toyota Motor, Tsutsumi Plant")</f>
        <v>Toyota Motor, Tsutsumi Plant</v>
      </c>
      <c r="E668" s="12" t="s">
        <v>193</v>
      </c>
      <c r="F668" s="12" t="s">
        <v>18</v>
      </c>
      <c r="G668" s="12" t="s">
        <v>20</v>
      </c>
      <c r="H668" s="12" t="s">
        <v>189</v>
      </c>
      <c r="I668" s="14">
        <v>45328</v>
      </c>
      <c r="J668" s="12" t="s">
        <v>836</v>
      </c>
    </row>
    <row r="669" spans="1:10" s="15" customFormat="1" x14ac:dyDescent="0.15">
      <c r="A669" s="11">
        <v>45331</v>
      </c>
      <c r="B669" s="12" t="s">
        <v>350</v>
      </c>
      <c r="C669" s="12" t="s">
        <v>646</v>
      </c>
      <c r="D669" s="13" t="str">
        <f>HYPERLINK("https://www.marklines.com/en/global/2479","General Motors, Orion Assembly Plant")</f>
        <v>General Motors, Orion Assembly Plant</v>
      </c>
      <c r="E669" s="12" t="s">
        <v>779</v>
      </c>
      <c r="F669" s="12" t="s">
        <v>15</v>
      </c>
      <c r="G669" s="12" t="s">
        <v>11</v>
      </c>
      <c r="H669" s="12" t="s">
        <v>505</v>
      </c>
      <c r="I669" s="14">
        <v>45328</v>
      </c>
      <c r="J669" s="12" t="s">
        <v>837</v>
      </c>
    </row>
    <row r="670" spans="1:10" s="15" customFormat="1" x14ac:dyDescent="0.15">
      <c r="A670" s="11">
        <v>45331</v>
      </c>
      <c r="B670" s="12" t="s">
        <v>350</v>
      </c>
      <c r="C670" s="12" t="s">
        <v>679</v>
      </c>
      <c r="D670" s="13" t="str">
        <f>HYPERLINK("https://www.marklines.com/en/global/2479","General Motors, Orion Assembly Plant")</f>
        <v>General Motors, Orion Assembly Plant</v>
      </c>
      <c r="E670" s="12" t="s">
        <v>779</v>
      </c>
      <c r="F670" s="12" t="s">
        <v>15</v>
      </c>
      <c r="G670" s="12" t="s">
        <v>11</v>
      </c>
      <c r="H670" s="12" t="s">
        <v>505</v>
      </c>
      <c r="I670" s="14">
        <v>45328</v>
      </c>
      <c r="J670" s="12" t="s">
        <v>837</v>
      </c>
    </row>
    <row r="671" spans="1:10" s="15" customFormat="1" x14ac:dyDescent="0.15">
      <c r="A671" s="11">
        <v>45331</v>
      </c>
      <c r="B671" s="12" t="s">
        <v>28</v>
      </c>
      <c r="C671" s="12" t="s">
        <v>35</v>
      </c>
      <c r="D671" s="13" t="str">
        <f>HYPERLINK("https://www.marklines.com/en/global/3309","Volkswagen Group of America Chattanooga Operations, LLC, Chattanooga Plant")</f>
        <v>Volkswagen Group of America Chattanooga Operations, LLC, Chattanooga Plant</v>
      </c>
      <c r="E671" s="12" t="s">
        <v>829</v>
      </c>
      <c r="F671" s="12" t="s">
        <v>15</v>
      </c>
      <c r="G671" s="12" t="s">
        <v>11</v>
      </c>
      <c r="H671" s="12" t="s">
        <v>348</v>
      </c>
      <c r="I671" s="14">
        <v>45328</v>
      </c>
      <c r="J671" s="12" t="s">
        <v>838</v>
      </c>
    </row>
    <row r="672" spans="1:10" s="15" customFormat="1" x14ac:dyDescent="0.15">
      <c r="A672" s="11">
        <v>45331</v>
      </c>
      <c r="B672" s="12" t="s">
        <v>19</v>
      </c>
      <c r="C672" s="12" t="s">
        <v>684</v>
      </c>
      <c r="D672" s="13" t="str">
        <f>HYPERLINK("https://www.marklines.com/en/global/569","Hino Motors, Nitta Plant")</f>
        <v>Hino Motors, Nitta Plant</v>
      </c>
      <c r="E672" s="12" t="s">
        <v>839</v>
      </c>
      <c r="F672" s="12" t="s">
        <v>18</v>
      </c>
      <c r="G672" s="12" t="s">
        <v>20</v>
      </c>
      <c r="H672" s="12" t="s">
        <v>840</v>
      </c>
      <c r="I672" s="14">
        <v>45327</v>
      </c>
      <c r="J672" s="12" t="s">
        <v>1044</v>
      </c>
    </row>
    <row r="673" spans="1:10" s="15" customFormat="1" x14ac:dyDescent="0.15">
      <c r="A673" s="11">
        <v>45331</v>
      </c>
      <c r="B673" s="12" t="s">
        <v>19</v>
      </c>
      <c r="C673" s="12" t="s">
        <v>684</v>
      </c>
      <c r="D673" s="13" t="str">
        <f>HYPERLINK("https://www.marklines.com/en/global/570","Hino Motors, Koga Plant")</f>
        <v>Hino Motors, Koga Plant</v>
      </c>
      <c r="E673" s="12" t="s">
        <v>842</v>
      </c>
      <c r="F673" s="12" t="s">
        <v>18</v>
      </c>
      <c r="G673" s="12" t="s">
        <v>20</v>
      </c>
      <c r="H673" s="12" t="s">
        <v>843</v>
      </c>
      <c r="I673" s="14">
        <v>45327</v>
      </c>
      <c r="J673" s="12" t="s">
        <v>841</v>
      </c>
    </row>
    <row r="674" spans="1:10" s="15" customFormat="1" x14ac:dyDescent="0.15">
      <c r="A674" s="11">
        <v>45331</v>
      </c>
      <c r="B674" s="12" t="s">
        <v>19</v>
      </c>
      <c r="C674" s="12" t="s">
        <v>684</v>
      </c>
      <c r="D674" s="13" t="str">
        <f>HYPERLINK("https://www.marklines.com/en/global/567","Hino Motors, Hamura Plant")</f>
        <v>Hino Motors, Hamura Plant</v>
      </c>
      <c r="E674" s="12" t="s">
        <v>685</v>
      </c>
      <c r="F674" s="12" t="s">
        <v>18</v>
      </c>
      <c r="G674" s="12" t="s">
        <v>20</v>
      </c>
      <c r="H674" s="12" t="s">
        <v>686</v>
      </c>
      <c r="I674" s="14">
        <v>45327</v>
      </c>
      <c r="J674" s="12" t="s">
        <v>841</v>
      </c>
    </row>
    <row r="675" spans="1:10" s="15" customFormat="1" x14ac:dyDescent="0.15">
      <c r="A675" s="11">
        <v>45331</v>
      </c>
      <c r="B675" s="12" t="s">
        <v>19</v>
      </c>
      <c r="C675" s="12" t="s">
        <v>684</v>
      </c>
      <c r="D675" s="13" t="str">
        <f>HYPERLINK("https://www.marklines.com/en/global/565","Hino Motors, Hino Plant")</f>
        <v>Hino Motors, Hino Plant</v>
      </c>
      <c r="E675" s="12" t="s">
        <v>844</v>
      </c>
      <c r="F675" s="12" t="s">
        <v>18</v>
      </c>
      <c r="G675" s="12" t="s">
        <v>20</v>
      </c>
      <c r="H675" s="12" t="s">
        <v>686</v>
      </c>
      <c r="I675" s="14">
        <v>45327</v>
      </c>
      <c r="J675" s="12" t="s">
        <v>841</v>
      </c>
    </row>
    <row r="676" spans="1:10" s="15" customFormat="1" x14ac:dyDescent="0.15">
      <c r="A676" s="11">
        <v>45331</v>
      </c>
      <c r="B676" s="12" t="s">
        <v>19</v>
      </c>
      <c r="C676" s="12" t="s">
        <v>19</v>
      </c>
      <c r="D676" s="13" t="str">
        <f>HYPERLINK("https://www.marklines.com/en/global/409","Toyota Auto Body, Fujimatsu Plant")</f>
        <v>Toyota Auto Body, Fujimatsu Plant</v>
      </c>
      <c r="E676" s="12" t="s">
        <v>200</v>
      </c>
      <c r="F676" s="12" t="s">
        <v>18</v>
      </c>
      <c r="G676" s="12" t="s">
        <v>20</v>
      </c>
      <c r="H676" s="12" t="s">
        <v>189</v>
      </c>
      <c r="I676" s="14">
        <v>45327</v>
      </c>
      <c r="J676" s="12" t="s">
        <v>845</v>
      </c>
    </row>
    <row r="677" spans="1:10" s="15" customFormat="1" x14ac:dyDescent="0.15">
      <c r="A677" s="11">
        <v>45331</v>
      </c>
      <c r="B677" s="12" t="s">
        <v>19</v>
      </c>
      <c r="C677" s="12" t="s">
        <v>19</v>
      </c>
      <c r="D677" s="13" t="str">
        <f>HYPERLINK("https://www.marklines.com/en/global/411","Toyota Auto Body, Yoshiwara Plant")</f>
        <v>Toyota Auto Body, Yoshiwara Plant</v>
      </c>
      <c r="E677" s="12" t="s">
        <v>201</v>
      </c>
      <c r="F677" s="12" t="s">
        <v>18</v>
      </c>
      <c r="G677" s="12" t="s">
        <v>20</v>
      </c>
      <c r="H677" s="12" t="s">
        <v>189</v>
      </c>
      <c r="I677" s="14">
        <v>45327</v>
      </c>
      <c r="J677" s="12" t="s">
        <v>845</v>
      </c>
    </row>
    <row r="678" spans="1:10" s="15" customFormat="1" x14ac:dyDescent="0.15">
      <c r="A678" s="11">
        <v>45331</v>
      </c>
      <c r="B678" s="12" t="s">
        <v>19</v>
      </c>
      <c r="C678" s="12" t="s">
        <v>19</v>
      </c>
      <c r="D678" s="13" t="str">
        <f>HYPERLINK("https://www.marklines.com/en/global/413","Toyota Auto Body, Inabe Plant")</f>
        <v>Toyota Auto Body, Inabe Plant</v>
      </c>
      <c r="E678" s="12" t="s">
        <v>202</v>
      </c>
      <c r="F678" s="12" t="s">
        <v>18</v>
      </c>
      <c r="G678" s="12" t="s">
        <v>20</v>
      </c>
      <c r="H678" s="12" t="s">
        <v>203</v>
      </c>
      <c r="I678" s="14">
        <v>45327</v>
      </c>
      <c r="J678" s="12" t="s">
        <v>845</v>
      </c>
    </row>
    <row r="679" spans="1:10" s="15" customFormat="1" x14ac:dyDescent="0.15">
      <c r="A679" s="11">
        <v>45331</v>
      </c>
      <c r="B679" s="12" t="s">
        <v>19</v>
      </c>
      <c r="C679" s="12" t="s">
        <v>19</v>
      </c>
      <c r="D679" s="13" t="str">
        <f>HYPERLINK("https://www.marklines.com/en/global/417","Gifu Auto Body Co., Ltd., Honsha Plant")</f>
        <v>Gifu Auto Body Co., Ltd., Honsha Plant</v>
      </c>
      <c r="E679" s="12" t="s">
        <v>204</v>
      </c>
      <c r="F679" s="12" t="s">
        <v>18</v>
      </c>
      <c r="G679" s="12" t="s">
        <v>20</v>
      </c>
      <c r="H679" s="12" t="s">
        <v>205</v>
      </c>
      <c r="I679" s="14">
        <v>45327</v>
      </c>
      <c r="J679" s="12" t="s">
        <v>845</v>
      </c>
    </row>
    <row r="680" spans="1:10" s="15" customFormat="1" x14ac:dyDescent="0.15">
      <c r="A680" s="11">
        <v>45331</v>
      </c>
      <c r="B680" s="12" t="s">
        <v>28</v>
      </c>
      <c r="C680" s="12" t="s">
        <v>43</v>
      </c>
      <c r="D680" s="13" t="str">
        <f>HYPERLINK("https://www.marklines.com/en/global/8739","Audi Mexico S.A. de C.V., San José Chiapa Plant")</f>
        <v>Audi Mexico S.A. de C.V., San José Chiapa Plant</v>
      </c>
      <c r="E680" s="12" t="s">
        <v>551</v>
      </c>
      <c r="F680" s="12" t="s">
        <v>15</v>
      </c>
      <c r="G680" s="12" t="s">
        <v>218</v>
      </c>
      <c r="H680" s="12"/>
      <c r="I680" s="14">
        <v>45325</v>
      </c>
      <c r="J680" s="12" t="s">
        <v>846</v>
      </c>
    </row>
    <row r="681" spans="1:10" s="15" customFormat="1" x14ac:dyDescent="0.15">
      <c r="A681" s="11">
        <v>45331</v>
      </c>
      <c r="B681" s="12" t="s">
        <v>19</v>
      </c>
      <c r="C681" s="12" t="s">
        <v>684</v>
      </c>
      <c r="D681" s="13" t="str">
        <f>HYPERLINK("https://www.marklines.com/en/global/567","Hino Motors, Hamura Plant")</f>
        <v>Hino Motors, Hamura Plant</v>
      </c>
      <c r="E681" s="12" t="s">
        <v>685</v>
      </c>
      <c r="F681" s="12" t="s">
        <v>18</v>
      </c>
      <c r="G681" s="12" t="s">
        <v>20</v>
      </c>
      <c r="H681" s="12" t="s">
        <v>686</v>
      </c>
      <c r="I681" s="14">
        <v>45324</v>
      </c>
      <c r="J681" s="12" t="s">
        <v>1045</v>
      </c>
    </row>
    <row r="682" spans="1:10" s="15" customFormat="1" x14ac:dyDescent="0.15">
      <c r="A682" s="11">
        <v>45331</v>
      </c>
      <c r="B682" s="12" t="s">
        <v>28</v>
      </c>
      <c r="C682" s="12" t="s">
        <v>35</v>
      </c>
      <c r="D682" s="13" t="str">
        <f>HYPERLINK("https://www.marklines.com/en/global/2931","Volkswagen do Brasil, Anchieta (Sao Bernardo do Campo) Plant")</f>
        <v>Volkswagen do Brasil, Anchieta (Sao Bernardo do Campo) Plant</v>
      </c>
      <c r="E682" s="12" t="s">
        <v>847</v>
      </c>
      <c r="F682" s="12" t="s">
        <v>66</v>
      </c>
      <c r="G682" s="12" t="s">
        <v>67</v>
      </c>
      <c r="H682" s="12"/>
      <c r="I682" s="14">
        <v>45324</v>
      </c>
      <c r="J682" s="12" t="s">
        <v>848</v>
      </c>
    </row>
    <row r="683" spans="1:10" s="15" customFormat="1" x14ac:dyDescent="0.15">
      <c r="A683" s="11">
        <v>45331</v>
      </c>
      <c r="B683" s="12" t="s">
        <v>28</v>
      </c>
      <c r="C683" s="12" t="s">
        <v>35</v>
      </c>
      <c r="D683" s="13" t="str">
        <f>HYPERLINK("https://www.marklines.com/en/global/2933","Volkswagen do Brasil, Sao Jose dos Pinhais Plant")</f>
        <v>Volkswagen do Brasil, Sao Jose dos Pinhais Plant</v>
      </c>
      <c r="E683" s="12" t="s">
        <v>849</v>
      </c>
      <c r="F683" s="12" t="s">
        <v>66</v>
      </c>
      <c r="G683" s="12" t="s">
        <v>67</v>
      </c>
      <c r="H683" s="12"/>
      <c r="I683" s="14">
        <v>45324</v>
      </c>
      <c r="J683" s="12" t="s">
        <v>848</v>
      </c>
    </row>
    <row r="684" spans="1:10" s="15" customFormat="1" x14ac:dyDescent="0.15">
      <c r="A684" s="11">
        <v>45331</v>
      </c>
      <c r="B684" s="12" t="s">
        <v>28</v>
      </c>
      <c r="C684" s="12" t="s">
        <v>35</v>
      </c>
      <c r="D684" s="13" t="str">
        <f>HYPERLINK("https://www.marklines.com/en/global/2935","Volkswagen do Brasil, Taubate Plant")</f>
        <v>Volkswagen do Brasil, Taubate Plant</v>
      </c>
      <c r="E684" s="12" t="s">
        <v>850</v>
      </c>
      <c r="F684" s="12" t="s">
        <v>66</v>
      </c>
      <c r="G684" s="12" t="s">
        <v>67</v>
      </c>
      <c r="H684" s="12"/>
      <c r="I684" s="14">
        <v>45324</v>
      </c>
      <c r="J684" s="12" t="s">
        <v>848</v>
      </c>
    </row>
    <row r="685" spans="1:10" s="15" customFormat="1" x14ac:dyDescent="0.15">
      <c r="A685" s="11">
        <v>45331</v>
      </c>
      <c r="B685" s="12" t="s">
        <v>28</v>
      </c>
      <c r="C685" s="12" t="s">
        <v>35</v>
      </c>
      <c r="D685" s="13" t="str">
        <f>HYPERLINK("https://www.marklines.com/en/global/2937","Volkswagen do Brasil, Sao Carlos Plant")</f>
        <v>Volkswagen do Brasil, Sao Carlos Plant</v>
      </c>
      <c r="E685" s="12" t="s">
        <v>851</v>
      </c>
      <c r="F685" s="12" t="s">
        <v>66</v>
      </c>
      <c r="G685" s="12" t="s">
        <v>67</v>
      </c>
      <c r="H685" s="12"/>
      <c r="I685" s="14">
        <v>45324</v>
      </c>
      <c r="J685" s="12" t="s">
        <v>848</v>
      </c>
    </row>
    <row r="686" spans="1:10" s="15" customFormat="1" x14ac:dyDescent="0.15">
      <c r="A686" s="11">
        <v>45331</v>
      </c>
      <c r="B686" s="12" t="s">
        <v>252</v>
      </c>
      <c r="C686" s="12" t="s">
        <v>252</v>
      </c>
      <c r="D686" s="13" t="str">
        <f>HYPERLINK("https://www.marklines.com/en/global/1947","Renault Spain, Valladolid Plant")</f>
        <v>Renault Spain, Valladolid Plant</v>
      </c>
      <c r="E686" s="12" t="s">
        <v>797</v>
      </c>
      <c r="F686" s="12" t="s">
        <v>16</v>
      </c>
      <c r="G686" s="12" t="s">
        <v>42</v>
      </c>
      <c r="H686" s="12"/>
      <c r="I686" s="14">
        <v>45315</v>
      </c>
      <c r="J686" s="12" t="s">
        <v>852</v>
      </c>
    </row>
    <row r="687" spans="1:10" s="15" customFormat="1" x14ac:dyDescent="0.15">
      <c r="A687" s="11">
        <v>45330</v>
      </c>
      <c r="B687" s="12" t="s">
        <v>86</v>
      </c>
      <c r="C687" s="12" t="s">
        <v>86</v>
      </c>
      <c r="D687" s="13" t="str">
        <f>HYPERLINK("https://www.marklines.com/en/global/9057","Neftekamsk Motor Plant OJSC (OAO Neftekamskij avtozavod (NefAZ))")</f>
        <v>Neftekamsk Motor Plant OJSC (OAO Neftekamskij avtozavod (NefAZ))</v>
      </c>
      <c r="E687" s="12" t="s">
        <v>88</v>
      </c>
      <c r="F687" s="12" t="s">
        <v>17</v>
      </c>
      <c r="G687" s="12" t="s">
        <v>13</v>
      </c>
      <c r="H687" s="12"/>
      <c r="I687" s="14">
        <v>45330</v>
      </c>
      <c r="J687" s="12" t="s">
        <v>853</v>
      </c>
    </row>
    <row r="688" spans="1:10" s="15" customFormat="1" x14ac:dyDescent="0.15">
      <c r="A688" s="11">
        <v>45330</v>
      </c>
      <c r="B688" s="12" t="s">
        <v>86</v>
      </c>
      <c r="C688" s="12" t="s">
        <v>86</v>
      </c>
      <c r="D688" s="13" t="str">
        <f>HYPERLINK("https://www.marklines.com/en/global/9057","Neftekamsk Motor Plant OJSC (OAO Neftekamskij avtozavod (NefAZ))")</f>
        <v>Neftekamsk Motor Plant OJSC (OAO Neftekamskij avtozavod (NefAZ))</v>
      </c>
      <c r="E688" s="12" t="s">
        <v>88</v>
      </c>
      <c r="F688" s="12" t="s">
        <v>17</v>
      </c>
      <c r="G688" s="12" t="s">
        <v>13</v>
      </c>
      <c r="H688" s="12"/>
      <c r="I688" s="14">
        <v>45330</v>
      </c>
      <c r="J688" s="12" t="s">
        <v>854</v>
      </c>
    </row>
    <row r="689" spans="1:10" s="15" customFormat="1" x14ac:dyDescent="0.15">
      <c r="A689" s="11">
        <v>45330</v>
      </c>
      <c r="B689" s="12" t="s">
        <v>36</v>
      </c>
      <c r="C689" s="12" t="s">
        <v>558</v>
      </c>
      <c r="D689" s="13" t="str">
        <f>HYPERLINK("https://www.marklines.com/en/global/2253","Stellantis, Opel Automobile GmbH, Eisenach Plant (Former Adam Opel AG, Eisenach Plant)")</f>
        <v>Stellantis, Opel Automobile GmbH, Eisenach Plant (Former Adam Opel AG, Eisenach Plant)</v>
      </c>
      <c r="E689" s="12" t="s">
        <v>855</v>
      </c>
      <c r="F689" s="12" t="s">
        <v>16</v>
      </c>
      <c r="G689" s="12" t="s">
        <v>208</v>
      </c>
      <c r="H689" s="12"/>
      <c r="I689" s="14">
        <v>45329</v>
      </c>
      <c r="J689" s="12" t="s">
        <v>856</v>
      </c>
    </row>
    <row r="690" spans="1:10" s="15" customFormat="1" x14ac:dyDescent="0.15">
      <c r="A690" s="11">
        <v>45330</v>
      </c>
      <c r="B690" s="12" t="s">
        <v>371</v>
      </c>
      <c r="C690" s="12" t="s">
        <v>375</v>
      </c>
      <c r="D690" s="13" t="str">
        <f>HYPERLINK("https://www.marklines.com/en/global/1329","Stellantis, FCA Italy, Giambattista Vico (Pomigliano d'Arco) Plant")</f>
        <v>Stellantis, FCA Italy, Giambattista Vico (Pomigliano d'Arco) Plant</v>
      </c>
      <c r="E690" s="12" t="s">
        <v>857</v>
      </c>
      <c r="F690" s="12" t="s">
        <v>16</v>
      </c>
      <c r="G690" s="12" t="s">
        <v>37</v>
      </c>
      <c r="H690" s="12"/>
      <c r="I690" s="14">
        <v>45329</v>
      </c>
      <c r="J690" s="12" t="s">
        <v>858</v>
      </c>
    </row>
    <row r="691" spans="1:10" s="15" customFormat="1" x14ac:dyDescent="0.15">
      <c r="A691" s="11">
        <v>45330</v>
      </c>
      <c r="B691" s="12" t="s">
        <v>36</v>
      </c>
      <c r="C691" s="12" t="s">
        <v>38</v>
      </c>
      <c r="D691" s="13" t="str">
        <f>HYPERLINK("https://www.marklines.com/en/global/1329","Stellantis, FCA Italy, Giambattista Vico (Pomigliano d'Arco) Plant")</f>
        <v>Stellantis, FCA Italy, Giambattista Vico (Pomigliano d'Arco) Plant</v>
      </c>
      <c r="E691" s="12" t="s">
        <v>857</v>
      </c>
      <c r="F691" s="12" t="s">
        <v>16</v>
      </c>
      <c r="G691" s="12" t="s">
        <v>37</v>
      </c>
      <c r="H691" s="12"/>
      <c r="I691" s="14">
        <v>45329</v>
      </c>
      <c r="J691" s="12" t="s">
        <v>858</v>
      </c>
    </row>
    <row r="692" spans="1:10" s="15" customFormat="1" x14ac:dyDescent="0.15">
      <c r="A692" s="11">
        <v>45330</v>
      </c>
      <c r="B692" s="12" t="s">
        <v>36</v>
      </c>
      <c r="C692" s="12" t="s">
        <v>38</v>
      </c>
      <c r="D692" s="13" t="str">
        <f>HYPERLINK("https://www.marklines.com/en/global/1327","Stellantis, FCA Italy, Mirafiori (Turin) Plant")</f>
        <v>Stellantis, FCA Italy, Mirafiori (Turin) Plant</v>
      </c>
      <c r="E692" s="12" t="s">
        <v>82</v>
      </c>
      <c r="F692" s="12" t="s">
        <v>16</v>
      </c>
      <c r="G692" s="12" t="s">
        <v>37</v>
      </c>
      <c r="H692" s="12"/>
      <c r="I692" s="14">
        <v>45329</v>
      </c>
      <c r="J692" s="12" t="s">
        <v>858</v>
      </c>
    </row>
    <row r="693" spans="1:10" s="15" customFormat="1" x14ac:dyDescent="0.15">
      <c r="A693" s="11">
        <v>45330</v>
      </c>
      <c r="B693" s="12" t="s">
        <v>36</v>
      </c>
      <c r="C693" s="12" t="s">
        <v>277</v>
      </c>
      <c r="D693" s="13" t="str">
        <f>HYPERLINK("https://www.marklines.com/en/global/1329","Stellantis, FCA Italy, Giambattista Vico (Pomigliano d'Arco) Plant")</f>
        <v>Stellantis, FCA Italy, Giambattista Vico (Pomigliano d'Arco) Plant</v>
      </c>
      <c r="E693" s="12" t="s">
        <v>857</v>
      </c>
      <c r="F693" s="12" t="s">
        <v>16</v>
      </c>
      <c r="G693" s="12" t="s">
        <v>37</v>
      </c>
      <c r="H693" s="12"/>
      <c r="I693" s="14">
        <v>45329</v>
      </c>
      <c r="J693" s="12" t="s">
        <v>858</v>
      </c>
    </row>
    <row r="694" spans="1:10" s="15" customFormat="1" x14ac:dyDescent="0.15">
      <c r="A694" s="11">
        <v>45330</v>
      </c>
      <c r="B694" s="12" t="s">
        <v>36</v>
      </c>
      <c r="C694" s="12" t="s">
        <v>81</v>
      </c>
      <c r="D694" s="13" t="str">
        <f>HYPERLINK("https://www.marklines.com/en/global/1327","Stellantis, FCA Italy, Mirafiori (Turin) Plant")</f>
        <v>Stellantis, FCA Italy, Mirafiori (Turin) Plant</v>
      </c>
      <c r="E694" s="12" t="s">
        <v>82</v>
      </c>
      <c r="F694" s="12" t="s">
        <v>16</v>
      </c>
      <c r="G694" s="12" t="s">
        <v>37</v>
      </c>
      <c r="H694" s="12"/>
      <c r="I694" s="14">
        <v>45329</v>
      </c>
      <c r="J694" s="12" t="s">
        <v>858</v>
      </c>
    </row>
    <row r="695" spans="1:10" s="15" customFormat="1" x14ac:dyDescent="0.15">
      <c r="A695" s="11">
        <v>45330</v>
      </c>
      <c r="B695" s="12" t="s">
        <v>28</v>
      </c>
      <c r="C695" s="12" t="s">
        <v>35</v>
      </c>
      <c r="D695" s="13" t="str">
        <f>HYPERLINK("https://www.marklines.com/en/global/655","Volkswagen of South Africa (Pty) Ltd., Kariega Plant (formerly Uitenhage Plant)")</f>
        <v>Volkswagen of South Africa (Pty) Ltd., Kariega Plant (formerly Uitenhage Plant)</v>
      </c>
      <c r="E695" s="12" t="s">
        <v>859</v>
      </c>
      <c r="F695" s="12" t="s">
        <v>471</v>
      </c>
      <c r="G695" s="12" t="s">
        <v>693</v>
      </c>
      <c r="H695" s="12"/>
      <c r="I695" s="14">
        <v>45329</v>
      </c>
      <c r="J695" s="12" t="s">
        <v>860</v>
      </c>
    </row>
    <row r="696" spans="1:10" s="15" customFormat="1" x14ac:dyDescent="0.15">
      <c r="A696" s="11">
        <v>45330</v>
      </c>
      <c r="B696" s="12" t="s">
        <v>21</v>
      </c>
      <c r="C696" s="12" t="s">
        <v>21</v>
      </c>
      <c r="D696" s="13" t="str">
        <f>HYPERLINK("https://www.marklines.com/en/global/2145","Ford Motor Germany, Saarlouis Plant")</f>
        <v>Ford Motor Germany, Saarlouis Plant</v>
      </c>
      <c r="E696" s="12" t="s">
        <v>357</v>
      </c>
      <c r="F696" s="12" t="s">
        <v>16</v>
      </c>
      <c r="G696" s="12" t="s">
        <v>208</v>
      </c>
      <c r="H696" s="12"/>
      <c r="I696" s="14">
        <v>45329</v>
      </c>
      <c r="J696" s="12" t="s">
        <v>861</v>
      </c>
    </row>
    <row r="697" spans="1:10" s="15" customFormat="1" x14ac:dyDescent="0.15">
      <c r="A697" s="11">
        <v>45330</v>
      </c>
      <c r="B697" s="12" t="s">
        <v>21</v>
      </c>
      <c r="C697" s="12" t="s">
        <v>21</v>
      </c>
      <c r="D697" s="13" t="str">
        <f>HYPERLINK("https://www.marklines.com/en/global/1901","Ford Motor Spain, Valencia (Almussafes) Plant")</f>
        <v>Ford Motor Spain, Valencia (Almussafes) Plant</v>
      </c>
      <c r="E697" s="12" t="s">
        <v>485</v>
      </c>
      <c r="F697" s="12" t="s">
        <v>16</v>
      </c>
      <c r="G697" s="12" t="s">
        <v>42</v>
      </c>
      <c r="H697" s="12"/>
      <c r="I697" s="14">
        <v>45329</v>
      </c>
      <c r="J697" s="12" t="s">
        <v>862</v>
      </c>
    </row>
    <row r="698" spans="1:10" s="15" customFormat="1" x14ac:dyDescent="0.15">
      <c r="A698" s="11">
        <v>45330</v>
      </c>
      <c r="B698" s="12" t="s">
        <v>21</v>
      </c>
      <c r="C698" s="12" t="s">
        <v>21</v>
      </c>
      <c r="D698" s="13" t="str">
        <f>HYPERLINK("https://www.marklines.com/en/global/1861","Ford Otomotiv Sanayi A.S., Craiova Plant (formerly Ford Romania S.A.)")</f>
        <v>Ford Otomotiv Sanayi A.S., Craiova Plant (formerly Ford Romania S.A.)</v>
      </c>
      <c r="E698" s="12" t="s">
        <v>89</v>
      </c>
      <c r="F698" s="12" t="s">
        <v>17</v>
      </c>
      <c r="G698" s="12" t="s">
        <v>90</v>
      </c>
      <c r="H698" s="12"/>
      <c r="I698" s="14">
        <v>45329</v>
      </c>
      <c r="J698" s="12" t="s">
        <v>863</v>
      </c>
    </row>
    <row r="699" spans="1:10" s="15" customFormat="1" x14ac:dyDescent="0.15">
      <c r="A699" s="11">
        <v>45330</v>
      </c>
      <c r="B699" s="12" t="s">
        <v>50</v>
      </c>
      <c r="C699" s="12" t="s">
        <v>50</v>
      </c>
      <c r="D699" s="13" t="str">
        <f>HYPERLINK("https://www.marklines.com/en/global/9895","Tesla Gigafactory Berlin-Brandenburg")</f>
        <v>Tesla Gigafactory Berlin-Brandenburg</v>
      </c>
      <c r="E699" s="12" t="s">
        <v>474</v>
      </c>
      <c r="F699" s="12" t="s">
        <v>16</v>
      </c>
      <c r="G699" s="12" t="s">
        <v>208</v>
      </c>
      <c r="H699" s="12"/>
      <c r="I699" s="14">
        <v>45329</v>
      </c>
      <c r="J699" s="12" t="s">
        <v>864</v>
      </c>
    </row>
    <row r="700" spans="1:10" s="15" customFormat="1" x14ac:dyDescent="0.15">
      <c r="A700" s="11">
        <v>45330</v>
      </c>
      <c r="B700" s="12" t="s">
        <v>12</v>
      </c>
      <c r="C700" s="12" t="s">
        <v>865</v>
      </c>
      <c r="D700" s="13" t="str">
        <f>HYPERLINK("https://www.marklines.com/en/global/1428","Karsan Otomotiv Sanayi ve Ticaret A.S., Akçalar (Bursa) Plant")</f>
        <v>Karsan Otomotiv Sanayi ve Ticaret A.S., Akçalar (Bursa) Plant</v>
      </c>
      <c r="E700" s="12" t="s">
        <v>866</v>
      </c>
      <c r="F700" s="12" t="s">
        <v>181</v>
      </c>
      <c r="G700" s="12" t="s">
        <v>182</v>
      </c>
      <c r="H700" s="12"/>
      <c r="I700" s="14">
        <v>45328</v>
      </c>
      <c r="J700" s="12" t="s">
        <v>867</v>
      </c>
    </row>
    <row r="701" spans="1:10" s="15" customFormat="1" x14ac:dyDescent="0.15">
      <c r="A701" s="11">
        <v>45330</v>
      </c>
      <c r="B701" s="12" t="s">
        <v>868</v>
      </c>
      <c r="C701" s="12" t="s">
        <v>868</v>
      </c>
      <c r="D701" s="13" t="str">
        <f>HYPERLINK("https://www.marklines.com/en/global/9273","Yibin Kaiyi Automobile Co., Ltd. (Formerly Wuhu Cowin Automobile Co., Ltd.)")</f>
        <v>Yibin Kaiyi Automobile Co., Ltd. (Formerly Wuhu Cowin Automobile Co., Ltd.)</v>
      </c>
      <c r="E701" s="12" t="s">
        <v>869</v>
      </c>
      <c r="F701" s="12" t="s">
        <v>18</v>
      </c>
      <c r="G701" s="12" t="s">
        <v>24</v>
      </c>
      <c r="H701" s="12" t="s">
        <v>55</v>
      </c>
      <c r="I701" s="14">
        <v>45328</v>
      </c>
      <c r="J701" s="12" t="s">
        <v>870</v>
      </c>
    </row>
    <row r="702" spans="1:10" s="15" customFormat="1" x14ac:dyDescent="0.15">
      <c r="A702" s="11">
        <v>45330</v>
      </c>
      <c r="B702" s="12" t="s">
        <v>371</v>
      </c>
      <c r="C702" s="12" t="s">
        <v>376</v>
      </c>
      <c r="D702" s="13" t="str">
        <f>HYPERLINK("https://www.marklines.com/en/global/2653","Stellantis, FCA US, Toledo Assembly Complex (Toledo North)")</f>
        <v>Stellantis, FCA US, Toledo Assembly Complex (Toledo North)</v>
      </c>
      <c r="E702" s="12" t="s">
        <v>871</v>
      </c>
      <c r="F702" s="12" t="s">
        <v>15</v>
      </c>
      <c r="G702" s="12" t="s">
        <v>11</v>
      </c>
      <c r="H702" s="12" t="s">
        <v>490</v>
      </c>
      <c r="I702" s="14">
        <v>45328</v>
      </c>
      <c r="J702" s="12" t="s">
        <v>872</v>
      </c>
    </row>
    <row r="703" spans="1:10" s="15" customFormat="1" x14ac:dyDescent="0.15">
      <c r="A703" s="11">
        <v>45330</v>
      </c>
      <c r="B703" s="12" t="s">
        <v>371</v>
      </c>
      <c r="C703" s="12" t="s">
        <v>376</v>
      </c>
      <c r="D703" s="13" t="str">
        <f>HYPERLINK("https://www.marklines.com/en/global/2655","Stellantis, FCA US, Toledo Assembly Complex (Toledo Supplier Park)")</f>
        <v>Stellantis, FCA US, Toledo Assembly Complex (Toledo Supplier Park)</v>
      </c>
      <c r="E703" s="12" t="s">
        <v>873</v>
      </c>
      <c r="F703" s="12" t="s">
        <v>15</v>
      </c>
      <c r="G703" s="12" t="s">
        <v>11</v>
      </c>
      <c r="H703" s="12" t="s">
        <v>490</v>
      </c>
      <c r="I703" s="14">
        <v>45328</v>
      </c>
      <c r="J703" s="12" t="s">
        <v>872</v>
      </c>
    </row>
    <row r="704" spans="1:10" s="15" customFormat="1" x14ac:dyDescent="0.15">
      <c r="A704" s="11">
        <v>45330</v>
      </c>
      <c r="B704" s="12" t="s">
        <v>12</v>
      </c>
      <c r="C704" s="12" t="s">
        <v>12</v>
      </c>
      <c r="D704" s="13" t="str">
        <f>HYPERLINK("https://www.marklines.com/en/global/10508","Omega Seiki Mobility, Visakhapatnam plant")</f>
        <v>Omega Seiki Mobility, Visakhapatnam plant</v>
      </c>
      <c r="E704" s="12" t="s">
        <v>874</v>
      </c>
      <c r="F704" s="12" t="s">
        <v>22</v>
      </c>
      <c r="G704" s="12" t="s">
        <v>23</v>
      </c>
      <c r="H704" s="12" t="s">
        <v>875</v>
      </c>
      <c r="I704" s="14">
        <v>45328</v>
      </c>
      <c r="J704" s="12" t="s">
        <v>876</v>
      </c>
    </row>
    <row r="705" spans="1:10" s="15" customFormat="1" x14ac:dyDescent="0.15">
      <c r="A705" s="11">
        <v>45330</v>
      </c>
      <c r="B705" s="12" t="s">
        <v>28</v>
      </c>
      <c r="C705" s="12" t="s">
        <v>35</v>
      </c>
      <c r="D705" s="13" t="str">
        <f>HYPERLINK("https://www.marklines.com/en/global/10714","Volkswagen (China) Technology Co., Ltd. (VCTC)")</f>
        <v>Volkswagen (China) Technology Co., Ltd. (VCTC)</v>
      </c>
      <c r="E705" s="12" t="s">
        <v>738</v>
      </c>
      <c r="F705" s="12" t="s">
        <v>18</v>
      </c>
      <c r="G705" s="12" t="s">
        <v>24</v>
      </c>
      <c r="H705" s="12" t="s">
        <v>55</v>
      </c>
      <c r="I705" s="14">
        <v>45327</v>
      </c>
      <c r="J705" s="12" t="s">
        <v>877</v>
      </c>
    </row>
    <row r="706" spans="1:10" s="15" customFormat="1" x14ac:dyDescent="0.15">
      <c r="A706" s="11">
        <v>45330</v>
      </c>
      <c r="B706" s="12" t="s">
        <v>28</v>
      </c>
      <c r="C706" s="12" t="s">
        <v>35</v>
      </c>
      <c r="D706" s="13" t="str">
        <f>HYPERLINK("https://www.marklines.com/en/global/3481","Volkswagen (China) Investment Co., Ltd. ")</f>
        <v xml:space="preserve">Volkswagen (China) Investment Co., Ltd. </v>
      </c>
      <c r="E706" s="12" t="s">
        <v>739</v>
      </c>
      <c r="F706" s="12" t="s">
        <v>18</v>
      </c>
      <c r="G706" s="12" t="s">
        <v>24</v>
      </c>
      <c r="H706" s="12" t="s">
        <v>71</v>
      </c>
      <c r="I706" s="14">
        <v>45327</v>
      </c>
      <c r="J706" s="12" t="s">
        <v>877</v>
      </c>
    </row>
    <row r="707" spans="1:10" s="15" customFormat="1" x14ac:dyDescent="0.15">
      <c r="A707" s="11">
        <v>45330</v>
      </c>
      <c r="B707" s="12" t="s">
        <v>28</v>
      </c>
      <c r="C707" s="12" t="s">
        <v>35</v>
      </c>
      <c r="D707" s="13" t="str">
        <f>HYPERLINK("https://www.marklines.com/en/global/9517","Volkswagen (Anhui) Automotive Company Limited  (formerly JAC Volkswagen Automotive Co., Ltd.)")</f>
        <v>Volkswagen (Anhui) Automotive Company Limited  (formerly JAC Volkswagen Automotive Co., Ltd.)</v>
      </c>
      <c r="E707" s="12" t="s">
        <v>115</v>
      </c>
      <c r="F707" s="12" t="s">
        <v>18</v>
      </c>
      <c r="G707" s="12" t="s">
        <v>24</v>
      </c>
      <c r="H707" s="12" t="s">
        <v>55</v>
      </c>
      <c r="I707" s="14">
        <v>45327</v>
      </c>
      <c r="J707" s="12" t="s">
        <v>877</v>
      </c>
    </row>
    <row r="708" spans="1:10" s="15" customFormat="1" x14ac:dyDescent="0.15">
      <c r="A708" s="11">
        <v>45330</v>
      </c>
      <c r="B708" s="12" t="s">
        <v>84</v>
      </c>
      <c r="C708" s="12" t="s">
        <v>84</v>
      </c>
      <c r="D708" s="13" t="str">
        <f>HYPERLINK("https://www.marklines.com/en/global/9485","Guangzhou Xiaopeng Motors Technology Co., Ltd. ")</f>
        <v xml:space="preserve">Guangzhou Xiaopeng Motors Technology Co., Ltd. </v>
      </c>
      <c r="E708" s="12" t="s">
        <v>607</v>
      </c>
      <c r="F708" s="12" t="s">
        <v>18</v>
      </c>
      <c r="G708" s="12" t="s">
        <v>24</v>
      </c>
      <c r="H708" s="12" t="s">
        <v>63</v>
      </c>
      <c r="I708" s="14">
        <v>45327</v>
      </c>
      <c r="J708" s="12" t="s">
        <v>877</v>
      </c>
    </row>
    <row r="709" spans="1:10" s="15" customFormat="1" x14ac:dyDescent="0.15">
      <c r="A709" s="11">
        <v>45330</v>
      </c>
      <c r="B709" s="12" t="s">
        <v>48</v>
      </c>
      <c r="C709" s="12" t="s">
        <v>119</v>
      </c>
      <c r="D709" s="13" t="str">
        <f>HYPERLINK("https://www.marklines.com/en/global/9509","SERES Automobile Co., Ltd. Chongqing Liangjiang Branch")</f>
        <v>SERES Automobile Co., Ltd. Chongqing Liangjiang Branch</v>
      </c>
      <c r="E709" s="12" t="s">
        <v>878</v>
      </c>
      <c r="F709" s="12" t="s">
        <v>18</v>
      </c>
      <c r="G709" s="12" t="s">
        <v>24</v>
      </c>
      <c r="H709" s="12" t="s">
        <v>25</v>
      </c>
      <c r="I709" s="14">
        <v>45327</v>
      </c>
      <c r="J709" s="12" t="s">
        <v>879</v>
      </c>
    </row>
    <row r="710" spans="1:10" s="15" customFormat="1" x14ac:dyDescent="0.15">
      <c r="A710" s="11">
        <v>45330</v>
      </c>
      <c r="B710" s="12" t="s">
        <v>58</v>
      </c>
      <c r="C710" s="12" t="s">
        <v>69</v>
      </c>
      <c r="D710" s="13" t="str">
        <f>HYPERLINK("https://www.marklines.com/en/global/3685","Beiqi Foton Motor Co., Ltd. Forland Truck Plant (formerly Beiqi Foton Motor Co., Ltd. Zhucheng Ollin Automobile Factory)")</f>
        <v>Beiqi Foton Motor Co., Ltd. Forland Truck Plant (formerly Beiqi Foton Motor Co., Ltd. Zhucheng Ollin Automobile Factory)</v>
      </c>
      <c r="E710" s="12" t="s">
        <v>880</v>
      </c>
      <c r="F710" s="12" t="s">
        <v>18</v>
      </c>
      <c r="G710" s="12" t="s">
        <v>24</v>
      </c>
      <c r="H710" s="12" t="s">
        <v>62</v>
      </c>
      <c r="I710" s="14">
        <v>45326</v>
      </c>
      <c r="J710" s="12" t="s">
        <v>881</v>
      </c>
    </row>
    <row r="711" spans="1:10" s="15" customFormat="1" x14ac:dyDescent="0.15">
      <c r="A711" s="11">
        <v>45329</v>
      </c>
      <c r="B711" s="12" t="s">
        <v>27</v>
      </c>
      <c r="C711" s="12" t="s">
        <v>27</v>
      </c>
      <c r="D711" s="13" t="str">
        <f>HYPERLINK("https://www.marklines.com/en/global/2207","BMW AG, Dingolfing Plant")</f>
        <v>BMW AG, Dingolfing Plant</v>
      </c>
      <c r="E711" s="12" t="s">
        <v>882</v>
      </c>
      <c r="F711" s="12" t="s">
        <v>16</v>
      </c>
      <c r="G711" s="12" t="s">
        <v>208</v>
      </c>
      <c r="H711" s="12"/>
      <c r="I711" s="14">
        <v>45329</v>
      </c>
      <c r="J711" s="12" t="s">
        <v>883</v>
      </c>
    </row>
    <row r="712" spans="1:10" s="15" customFormat="1" x14ac:dyDescent="0.15">
      <c r="A712" s="11">
        <v>45329</v>
      </c>
      <c r="B712" s="12" t="s">
        <v>39</v>
      </c>
      <c r="C712" s="12" t="s">
        <v>40</v>
      </c>
      <c r="D712" s="13" t="str">
        <f>HYPERLINK("https://www.marklines.com/en/global/729","LLC ""LADA Izhevsk"", LADA Izhevsk Automotive Plant (formerly OJSC Izh-Avto, Izhevsk Automobilny Zavod) ")</f>
        <v xml:space="preserve">LLC "LADA Izhevsk", LADA Izhevsk Automotive Plant (formerly OJSC Izh-Avto, Izhevsk Automobilny Zavod) </v>
      </c>
      <c r="E712" s="12" t="s">
        <v>46</v>
      </c>
      <c r="F712" s="12" t="s">
        <v>17</v>
      </c>
      <c r="G712" s="12" t="s">
        <v>13</v>
      </c>
      <c r="H712" s="12"/>
      <c r="I712" s="14">
        <v>45329</v>
      </c>
      <c r="J712" s="12" t="s">
        <v>884</v>
      </c>
    </row>
    <row r="713" spans="1:10" s="15" customFormat="1" x14ac:dyDescent="0.15">
      <c r="A713" s="11">
        <v>45329</v>
      </c>
      <c r="B713" s="12" t="s">
        <v>39</v>
      </c>
      <c r="C713" s="12" t="s">
        <v>40</v>
      </c>
      <c r="D713" s="13" t="str">
        <f>HYPERLINK("https://www.marklines.com/en/global/675","AvtoVAZ, Togliatti Plant")</f>
        <v>AvtoVAZ, Togliatti Plant</v>
      </c>
      <c r="E713" s="12" t="s">
        <v>41</v>
      </c>
      <c r="F713" s="12" t="s">
        <v>17</v>
      </c>
      <c r="G713" s="12" t="s">
        <v>13</v>
      </c>
      <c r="H713" s="12"/>
      <c r="I713" s="14">
        <v>45329</v>
      </c>
      <c r="J713" s="12" t="s">
        <v>884</v>
      </c>
    </row>
    <row r="714" spans="1:10" s="15" customFormat="1" x14ac:dyDescent="0.15">
      <c r="A714" s="11">
        <v>45329</v>
      </c>
      <c r="B714" s="12" t="s">
        <v>27</v>
      </c>
      <c r="C714" s="12" t="s">
        <v>27</v>
      </c>
      <c r="D714" s="13" t="str">
        <f>HYPERLINK("https://www.marklines.com/en/global/1801","BMW Motoren GmbH, Steyr Plant")</f>
        <v>BMW Motoren GmbH, Steyr Plant</v>
      </c>
      <c r="E714" s="12" t="s">
        <v>636</v>
      </c>
      <c r="F714" s="12" t="s">
        <v>16</v>
      </c>
      <c r="G714" s="12" t="s">
        <v>637</v>
      </c>
      <c r="H714" s="12"/>
      <c r="I714" s="14">
        <v>45328</v>
      </c>
      <c r="J714" s="12" t="s">
        <v>885</v>
      </c>
    </row>
    <row r="715" spans="1:10" s="15" customFormat="1" x14ac:dyDescent="0.15">
      <c r="A715" s="11">
        <v>45329</v>
      </c>
      <c r="B715" s="12" t="s">
        <v>21</v>
      </c>
      <c r="C715" s="12" t="s">
        <v>21</v>
      </c>
      <c r="D715" s="13" t="str">
        <f>HYPERLINK("https://www.marklines.com/en/global/1711","Volkswagen Poznań Sp. z o.o., Poznań (Antoninek) Plant")</f>
        <v>Volkswagen Poznań Sp. z o.o., Poznań (Antoninek) Plant</v>
      </c>
      <c r="E715" s="12" t="s">
        <v>681</v>
      </c>
      <c r="F715" s="12" t="s">
        <v>17</v>
      </c>
      <c r="G715" s="12" t="s">
        <v>26</v>
      </c>
      <c r="H715" s="12"/>
      <c r="I715" s="14">
        <v>45328</v>
      </c>
      <c r="J715" s="12" t="s">
        <v>886</v>
      </c>
    </row>
    <row r="716" spans="1:10" s="15" customFormat="1" x14ac:dyDescent="0.15">
      <c r="A716" s="11">
        <v>45329</v>
      </c>
      <c r="B716" s="12" t="s">
        <v>28</v>
      </c>
      <c r="C716" s="12" t="s">
        <v>35</v>
      </c>
      <c r="D716" s="13" t="str">
        <f>HYPERLINK("https://www.marklines.com/en/global/9216","Volkswagen Poznan Sp. z o.o., Wrzesnia Plant")</f>
        <v>Volkswagen Poznan Sp. z o.o., Wrzesnia Plant</v>
      </c>
      <c r="E716" s="12" t="s">
        <v>887</v>
      </c>
      <c r="F716" s="12" t="s">
        <v>17</v>
      </c>
      <c r="G716" s="12" t="s">
        <v>26</v>
      </c>
      <c r="H716" s="12"/>
      <c r="I716" s="14">
        <v>45328</v>
      </c>
      <c r="J716" s="12" t="s">
        <v>886</v>
      </c>
    </row>
    <row r="717" spans="1:10" s="15" customFormat="1" x14ac:dyDescent="0.15">
      <c r="A717" s="11">
        <v>45329</v>
      </c>
      <c r="B717" s="12" t="s">
        <v>28</v>
      </c>
      <c r="C717" s="12" t="s">
        <v>35</v>
      </c>
      <c r="D717" s="13" t="str">
        <f>HYPERLINK("https://www.marklines.com/en/global/1711","Volkswagen Poznań Sp. z o.o., Poznań (Antoninek) Plant")</f>
        <v>Volkswagen Poznań Sp. z o.o., Poznań (Antoninek) Plant</v>
      </c>
      <c r="E717" s="12" t="s">
        <v>681</v>
      </c>
      <c r="F717" s="12" t="s">
        <v>17</v>
      </c>
      <c r="G717" s="12" t="s">
        <v>26</v>
      </c>
      <c r="H717" s="12"/>
      <c r="I717" s="14">
        <v>45328</v>
      </c>
      <c r="J717" s="12" t="s">
        <v>886</v>
      </c>
    </row>
    <row r="718" spans="1:10" s="15" customFormat="1" x14ac:dyDescent="0.15">
      <c r="A718" s="11">
        <v>45329</v>
      </c>
      <c r="B718" s="12" t="s">
        <v>19</v>
      </c>
      <c r="C718" s="12" t="s">
        <v>19</v>
      </c>
      <c r="D718" s="13" t="str">
        <f>HYPERLINK("https://www.marklines.com/en/global/10455","Toyota Battery Manufacturing, North Carolina (TBMNC)")</f>
        <v>Toyota Battery Manufacturing, North Carolina (TBMNC)</v>
      </c>
      <c r="E718" s="12" t="s">
        <v>888</v>
      </c>
      <c r="F718" s="12" t="s">
        <v>15</v>
      </c>
      <c r="G718" s="12" t="s">
        <v>11</v>
      </c>
      <c r="H718" s="12" t="s">
        <v>889</v>
      </c>
      <c r="I718" s="14">
        <v>45328</v>
      </c>
      <c r="J718" s="12" t="s">
        <v>890</v>
      </c>
    </row>
    <row r="719" spans="1:10" s="15" customFormat="1" x14ac:dyDescent="0.15">
      <c r="A719" s="11">
        <v>45329</v>
      </c>
      <c r="B719" s="12" t="s">
        <v>19</v>
      </c>
      <c r="C719" s="12" t="s">
        <v>19</v>
      </c>
      <c r="D719" s="13" t="str">
        <f>HYPERLINK("https://www.marklines.com/en/global/3233","Toyota Motor Manufacturing, Kentucky,  Inc. (TMMK), Georgetown Plant")</f>
        <v>Toyota Motor Manufacturing, Kentucky,  Inc. (TMMK), Georgetown Plant</v>
      </c>
      <c r="E719" s="12" t="s">
        <v>891</v>
      </c>
      <c r="F719" s="12" t="s">
        <v>15</v>
      </c>
      <c r="G719" s="12" t="s">
        <v>11</v>
      </c>
      <c r="H719" s="12" t="s">
        <v>892</v>
      </c>
      <c r="I719" s="14">
        <v>45328</v>
      </c>
      <c r="J719" s="12" t="s">
        <v>890</v>
      </c>
    </row>
    <row r="720" spans="1:10" s="15" customFormat="1" x14ac:dyDescent="0.15">
      <c r="A720" s="11">
        <v>45329</v>
      </c>
      <c r="B720" s="12" t="s">
        <v>582</v>
      </c>
      <c r="C720" s="12" t="s">
        <v>582</v>
      </c>
      <c r="D720" s="13" t="str">
        <f>HYPERLINK("https://www.marklines.com/en/global/3287","Volvo Trucks North America Inc., New River Valley (Dublin) Plant")</f>
        <v>Volvo Trucks North America Inc., New River Valley (Dublin) Plant</v>
      </c>
      <c r="E720" s="12" t="s">
        <v>583</v>
      </c>
      <c r="F720" s="12" t="s">
        <v>15</v>
      </c>
      <c r="G720" s="12" t="s">
        <v>11</v>
      </c>
      <c r="H720" s="12" t="s">
        <v>584</v>
      </c>
      <c r="I720" s="14">
        <v>45328</v>
      </c>
      <c r="J720" s="12" t="s">
        <v>893</v>
      </c>
    </row>
    <row r="721" spans="1:10" s="15" customFormat="1" x14ac:dyDescent="0.15">
      <c r="A721" s="11">
        <v>45329</v>
      </c>
      <c r="B721" s="12" t="s">
        <v>36</v>
      </c>
      <c r="C721" s="12" t="s">
        <v>38</v>
      </c>
      <c r="D721" s="13" t="str">
        <f>HYPERLINK("https://www.marklines.com/en/global/1327","Stellantis, FCA Italy, Mirafiori (Turin) Plant")</f>
        <v>Stellantis, FCA Italy, Mirafiori (Turin) Plant</v>
      </c>
      <c r="E721" s="12" t="s">
        <v>82</v>
      </c>
      <c r="F721" s="12" t="s">
        <v>16</v>
      </c>
      <c r="G721" s="12" t="s">
        <v>37</v>
      </c>
      <c r="H721" s="12"/>
      <c r="I721" s="14">
        <v>45327</v>
      </c>
      <c r="J721" s="12" t="s">
        <v>894</v>
      </c>
    </row>
    <row r="722" spans="1:10" s="15" customFormat="1" x14ac:dyDescent="0.15">
      <c r="A722" s="11">
        <v>45329</v>
      </c>
      <c r="B722" s="12" t="s">
        <v>36</v>
      </c>
      <c r="C722" s="12" t="s">
        <v>81</v>
      </c>
      <c r="D722" s="13" t="str">
        <f>HYPERLINK("https://www.marklines.com/en/global/1327","Stellantis, FCA Italy, Mirafiori (Turin) Plant")</f>
        <v>Stellantis, FCA Italy, Mirafiori (Turin) Plant</v>
      </c>
      <c r="E722" s="12" t="s">
        <v>82</v>
      </c>
      <c r="F722" s="12" t="s">
        <v>16</v>
      </c>
      <c r="G722" s="12" t="s">
        <v>37</v>
      </c>
      <c r="H722" s="12"/>
      <c r="I722" s="14">
        <v>45327</v>
      </c>
      <c r="J722" s="12" t="s">
        <v>894</v>
      </c>
    </row>
    <row r="723" spans="1:10" s="15" customFormat="1" x14ac:dyDescent="0.15">
      <c r="A723" s="11">
        <v>45329</v>
      </c>
      <c r="B723" s="12" t="s">
        <v>895</v>
      </c>
      <c r="C723" s="12" t="s">
        <v>895</v>
      </c>
      <c r="D723" s="13" t="str">
        <f>HYPERLINK("https://www.marklines.com/en/global/1139","VE Commercial Vehicles, Pithampur Plant")</f>
        <v>VE Commercial Vehicles, Pithampur Plant</v>
      </c>
      <c r="E723" s="12" t="s">
        <v>896</v>
      </c>
      <c r="F723" s="12" t="s">
        <v>22</v>
      </c>
      <c r="G723" s="12" t="s">
        <v>23</v>
      </c>
      <c r="H723" s="12" t="s">
        <v>104</v>
      </c>
      <c r="I723" s="14">
        <v>45327</v>
      </c>
      <c r="J723" s="12" t="s">
        <v>897</v>
      </c>
    </row>
    <row r="724" spans="1:10" s="15" customFormat="1" x14ac:dyDescent="0.15">
      <c r="A724" s="11">
        <v>45329</v>
      </c>
      <c r="B724" s="12" t="s">
        <v>210</v>
      </c>
      <c r="C724" s="12" t="s">
        <v>210</v>
      </c>
      <c r="D724" s="13" t="str">
        <f>HYPERLINK("https://www.marklines.com/en/global/1253","Maruti Suzuki India Ltd. (MSIL), Gurgaon Plant")</f>
        <v>Maruti Suzuki India Ltd. (MSIL), Gurgaon Plant</v>
      </c>
      <c r="E724" s="12" t="s">
        <v>898</v>
      </c>
      <c r="F724" s="12" t="s">
        <v>22</v>
      </c>
      <c r="G724" s="12" t="s">
        <v>23</v>
      </c>
      <c r="H724" s="12" t="s">
        <v>899</v>
      </c>
      <c r="I724" s="14">
        <v>45327</v>
      </c>
      <c r="J724" s="12" t="s">
        <v>900</v>
      </c>
    </row>
    <row r="725" spans="1:10" s="15" customFormat="1" x14ac:dyDescent="0.15">
      <c r="A725" s="11">
        <v>45329</v>
      </c>
      <c r="B725" s="12" t="s">
        <v>31</v>
      </c>
      <c r="C725" s="12" t="s">
        <v>31</v>
      </c>
      <c r="D725" s="13" t="str">
        <f>HYPERLINK("https://www.marklines.com/en/global/10742","Rivian, Georgia plant")</f>
        <v>Rivian, Georgia plant</v>
      </c>
      <c r="E725" s="12" t="s">
        <v>901</v>
      </c>
      <c r="F725" s="12" t="s">
        <v>15</v>
      </c>
      <c r="G725" s="12" t="s">
        <v>11</v>
      </c>
      <c r="H725" s="12" t="s">
        <v>361</v>
      </c>
      <c r="I725" s="14">
        <v>45327</v>
      </c>
      <c r="J725" s="12" t="s">
        <v>902</v>
      </c>
    </row>
    <row r="726" spans="1:10" s="15" customFormat="1" x14ac:dyDescent="0.15">
      <c r="A726" s="11">
        <v>45329</v>
      </c>
      <c r="B726" s="12" t="s">
        <v>350</v>
      </c>
      <c r="C726" s="12" t="s">
        <v>646</v>
      </c>
      <c r="D726" s="13" t="str">
        <f>HYPERLINK("https://www.marklines.com/en/global/2849","General Motors Brazil, Gravatai Plant")</f>
        <v>General Motors Brazil, Gravatai Plant</v>
      </c>
      <c r="E726" s="12" t="s">
        <v>903</v>
      </c>
      <c r="F726" s="12" t="s">
        <v>66</v>
      </c>
      <c r="G726" s="12" t="s">
        <v>67</v>
      </c>
      <c r="H726" s="12"/>
      <c r="I726" s="14">
        <v>45324</v>
      </c>
      <c r="J726" s="12" t="s">
        <v>904</v>
      </c>
    </row>
    <row r="727" spans="1:10" s="15" customFormat="1" x14ac:dyDescent="0.15">
      <c r="A727" s="11">
        <v>45329</v>
      </c>
      <c r="B727" s="12" t="s">
        <v>462</v>
      </c>
      <c r="C727" s="12" t="s">
        <v>463</v>
      </c>
      <c r="D727" s="13" t="str">
        <f>HYPERLINK("https://www.marklines.com/en/global/1156","Tata Passenger Electric Mobility Limited (TPEML), Sanand Plant (formerly Ford India, Sanand Plant)")</f>
        <v>Tata Passenger Electric Mobility Limited (TPEML), Sanand Plant (formerly Ford India, Sanand Plant)</v>
      </c>
      <c r="E727" s="12" t="s">
        <v>464</v>
      </c>
      <c r="F727" s="12" t="s">
        <v>22</v>
      </c>
      <c r="G727" s="12" t="s">
        <v>23</v>
      </c>
      <c r="H727" s="12" t="s">
        <v>212</v>
      </c>
      <c r="I727" s="14">
        <v>45321</v>
      </c>
      <c r="J727" s="12" t="s">
        <v>905</v>
      </c>
    </row>
    <row r="728" spans="1:10" s="15" customFormat="1" x14ac:dyDescent="0.15">
      <c r="A728" s="11">
        <v>45329</v>
      </c>
      <c r="B728" s="12" t="s">
        <v>30</v>
      </c>
      <c r="C728" s="12" t="s">
        <v>30</v>
      </c>
      <c r="D728" s="13" t="str">
        <f>HYPERLINK("https://www.marklines.com/en/global/3533","Great Wall Motor Company Limited (GWM)")</f>
        <v>Great Wall Motor Company Limited (GWM)</v>
      </c>
      <c r="E728" s="12" t="s">
        <v>442</v>
      </c>
      <c r="F728" s="12" t="s">
        <v>18</v>
      </c>
      <c r="G728" s="12" t="s">
        <v>24</v>
      </c>
      <c r="H728" s="12" t="s">
        <v>443</v>
      </c>
      <c r="I728" s="14">
        <v>45015</v>
      </c>
      <c r="J728" s="12" t="s">
        <v>906</v>
      </c>
    </row>
    <row r="729" spans="1:10" s="15" customFormat="1" x14ac:dyDescent="0.15">
      <c r="A729" s="11">
        <v>45329</v>
      </c>
      <c r="B729" s="12" t="s">
        <v>30</v>
      </c>
      <c r="C729" s="12" t="s">
        <v>30</v>
      </c>
      <c r="D729" s="13" t="str">
        <f>HYPERLINK("https://www.marklines.com/en/global/9836","Great Wall Motor Co., Ltd. Xushui Branch")</f>
        <v>Great Wall Motor Co., Ltd. Xushui Branch</v>
      </c>
      <c r="E729" s="12" t="s">
        <v>649</v>
      </c>
      <c r="F729" s="12" t="s">
        <v>18</v>
      </c>
      <c r="G729" s="12" t="s">
        <v>24</v>
      </c>
      <c r="H729" s="12" t="s">
        <v>76</v>
      </c>
      <c r="I729" s="14">
        <v>45015</v>
      </c>
      <c r="J729" s="12" t="s">
        <v>906</v>
      </c>
    </row>
    <row r="730" spans="1:10" s="15" customFormat="1" x14ac:dyDescent="0.15">
      <c r="A730" s="11">
        <v>45329</v>
      </c>
      <c r="B730" s="12" t="s">
        <v>30</v>
      </c>
      <c r="C730" s="12" t="s">
        <v>30</v>
      </c>
      <c r="D730" s="13" t="str">
        <f t="shared" ref="D730:D735" si="0">HYPERLINK("https://www.marklines.com/en/global/3533","Great Wall Motor Company Limited (GWM)")</f>
        <v>Great Wall Motor Company Limited (GWM)</v>
      </c>
      <c r="E730" s="12" t="s">
        <v>442</v>
      </c>
      <c r="F730" s="12" t="s">
        <v>18</v>
      </c>
      <c r="G730" s="12" t="s">
        <v>24</v>
      </c>
      <c r="H730" s="12" t="s">
        <v>443</v>
      </c>
      <c r="I730" s="14">
        <v>45015</v>
      </c>
      <c r="J730" s="12" t="s">
        <v>907</v>
      </c>
    </row>
    <row r="731" spans="1:10" s="15" customFormat="1" x14ac:dyDescent="0.15">
      <c r="A731" s="11">
        <v>45329</v>
      </c>
      <c r="B731" s="12" t="s">
        <v>30</v>
      </c>
      <c r="C731" s="12" t="s">
        <v>30</v>
      </c>
      <c r="D731" s="13" t="str">
        <f t="shared" si="0"/>
        <v>Great Wall Motor Company Limited (GWM)</v>
      </c>
      <c r="E731" s="12" t="s">
        <v>442</v>
      </c>
      <c r="F731" s="12" t="s">
        <v>18</v>
      </c>
      <c r="G731" s="12" t="s">
        <v>24</v>
      </c>
      <c r="H731" s="12" t="s">
        <v>443</v>
      </c>
      <c r="I731" s="14">
        <v>45015</v>
      </c>
      <c r="J731" s="12" t="s">
        <v>908</v>
      </c>
    </row>
    <row r="732" spans="1:10" s="15" customFormat="1" x14ac:dyDescent="0.15">
      <c r="A732" s="11">
        <v>45329</v>
      </c>
      <c r="B732" s="12" t="s">
        <v>30</v>
      </c>
      <c r="C732" s="12" t="s">
        <v>30</v>
      </c>
      <c r="D732" s="13" t="str">
        <f t="shared" si="0"/>
        <v>Great Wall Motor Company Limited (GWM)</v>
      </c>
      <c r="E732" s="12" t="s">
        <v>442</v>
      </c>
      <c r="F732" s="12" t="s">
        <v>18</v>
      </c>
      <c r="G732" s="12" t="s">
        <v>24</v>
      </c>
      <c r="H732" s="12" t="s">
        <v>443</v>
      </c>
      <c r="I732" s="14">
        <v>45015</v>
      </c>
      <c r="J732" s="12" t="s">
        <v>909</v>
      </c>
    </row>
    <row r="733" spans="1:10" s="15" customFormat="1" x14ac:dyDescent="0.15">
      <c r="A733" s="11">
        <v>45329</v>
      </c>
      <c r="B733" s="12" t="s">
        <v>30</v>
      </c>
      <c r="C733" s="12" t="s">
        <v>30</v>
      </c>
      <c r="D733" s="13" t="str">
        <f t="shared" si="0"/>
        <v>Great Wall Motor Company Limited (GWM)</v>
      </c>
      <c r="E733" s="12" t="s">
        <v>442</v>
      </c>
      <c r="F733" s="12" t="s">
        <v>18</v>
      </c>
      <c r="G733" s="12" t="s">
        <v>24</v>
      </c>
      <c r="H733" s="12" t="s">
        <v>443</v>
      </c>
      <c r="I733" s="14">
        <v>45015</v>
      </c>
      <c r="J733" s="12" t="s">
        <v>910</v>
      </c>
    </row>
    <row r="734" spans="1:10" s="15" customFormat="1" x14ac:dyDescent="0.15">
      <c r="A734" s="11">
        <v>45329</v>
      </c>
      <c r="B734" s="12" t="s">
        <v>30</v>
      </c>
      <c r="C734" s="12" t="s">
        <v>30</v>
      </c>
      <c r="D734" s="13" t="str">
        <f t="shared" si="0"/>
        <v>Great Wall Motor Company Limited (GWM)</v>
      </c>
      <c r="E734" s="12" t="s">
        <v>442</v>
      </c>
      <c r="F734" s="12" t="s">
        <v>18</v>
      </c>
      <c r="G734" s="12" t="s">
        <v>24</v>
      </c>
      <c r="H734" s="12" t="s">
        <v>443</v>
      </c>
      <c r="I734" s="14">
        <v>45015</v>
      </c>
      <c r="J734" s="12" t="s">
        <v>911</v>
      </c>
    </row>
    <row r="735" spans="1:10" s="15" customFormat="1" x14ac:dyDescent="0.15">
      <c r="A735" s="11">
        <v>45329</v>
      </c>
      <c r="B735" s="12" t="s">
        <v>30</v>
      </c>
      <c r="C735" s="12" t="s">
        <v>30</v>
      </c>
      <c r="D735" s="13" t="str">
        <f t="shared" si="0"/>
        <v>Great Wall Motor Company Limited (GWM)</v>
      </c>
      <c r="E735" s="12" t="s">
        <v>442</v>
      </c>
      <c r="F735" s="12" t="s">
        <v>18</v>
      </c>
      <c r="G735" s="12" t="s">
        <v>24</v>
      </c>
      <c r="H735" s="12" t="s">
        <v>443</v>
      </c>
      <c r="I735" s="14">
        <v>45015</v>
      </c>
      <c r="J735" s="12" t="s">
        <v>912</v>
      </c>
    </row>
    <row r="736" spans="1:10" s="15" customFormat="1" x14ac:dyDescent="0.15">
      <c r="A736" s="11">
        <v>45328</v>
      </c>
      <c r="B736" s="12" t="s">
        <v>21</v>
      </c>
      <c r="C736" s="12" t="s">
        <v>21</v>
      </c>
      <c r="D736" s="13" t="str">
        <f>HYPERLINK("https://www.marklines.com/en/global/1901","Ford Motor Spain, Valencia (Almussafes) Plant")</f>
        <v>Ford Motor Spain, Valencia (Almussafes) Plant</v>
      </c>
      <c r="E736" s="12" t="s">
        <v>485</v>
      </c>
      <c r="F736" s="12" t="s">
        <v>16</v>
      </c>
      <c r="G736" s="12" t="s">
        <v>42</v>
      </c>
      <c r="H736" s="12"/>
      <c r="I736" s="14">
        <v>45328</v>
      </c>
      <c r="J736" s="12" t="s">
        <v>913</v>
      </c>
    </row>
    <row r="737" spans="1:10" s="15" customFormat="1" x14ac:dyDescent="0.15">
      <c r="A737" s="11">
        <v>45328</v>
      </c>
      <c r="B737" s="12" t="s">
        <v>28</v>
      </c>
      <c r="C737" s="12" t="s">
        <v>44</v>
      </c>
      <c r="D737" s="13" t="str">
        <f>HYPERLINK("https://www.marklines.com/en/global/1741","Škoda Auto, Kvasiny Plant")</f>
        <v>Škoda Auto, Kvasiny Plant</v>
      </c>
      <c r="E737" s="12" t="s">
        <v>363</v>
      </c>
      <c r="F737" s="12" t="s">
        <v>17</v>
      </c>
      <c r="G737" s="12" t="s">
        <v>364</v>
      </c>
      <c r="H737" s="12"/>
      <c r="I737" s="14">
        <v>45327</v>
      </c>
      <c r="J737" s="12" t="s">
        <v>914</v>
      </c>
    </row>
    <row r="738" spans="1:10" s="15" customFormat="1" x14ac:dyDescent="0.15">
      <c r="A738" s="11">
        <v>45328</v>
      </c>
      <c r="B738" s="12" t="s">
        <v>915</v>
      </c>
      <c r="C738" s="12" t="s">
        <v>915</v>
      </c>
      <c r="D738" s="13" t="str">
        <f>HYPERLINK("https://www.marklines.com/en/global/671","ZAO AvtoTOR, Kaliningrad Plant")</f>
        <v>ZAO AvtoTOR, Kaliningrad Plant</v>
      </c>
      <c r="E738" s="12" t="s">
        <v>717</v>
      </c>
      <c r="F738" s="12" t="s">
        <v>17</v>
      </c>
      <c r="G738" s="12" t="s">
        <v>13</v>
      </c>
      <c r="H738" s="12"/>
      <c r="I738" s="14">
        <v>45327</v>
      </c>
      <c r="J738" s="12" t="s">
        <v>916</v>
      </c>
    </row>
    <row r="739" spans="1:10" s="15" customFormat="1" x14ac:dyDescent="0.15">
      <c r="A739" s="11">
        <v>45328</v>
      </c>
      <c r="B739" s="12" t="s">
        <v>12</v>
      </c>
      <c r="C739" s="12" t="s">
        <v>719</v>
      </c>
      <c r="D739" s="13" t="str">
        <f>HYPERLINK("https://www.marklines.com/en/global/10552","Arrival UK LTD., Bicester Plant")</f>
        <v>Arrival UK LTD., Bicester Plant</v>
      </c>
      <c r="E739" s="12" t="s">
        <v>720</v>
      </c>
      <c r="F739" s="12" t="s">
        <v>16</v>
      </c>
      <c r="G739" s="12" t="s">
        <v>233</v>
      </c>
      <c r="H739" s="12"/>
      <c r="I739" s="14">
        <v>45327</v>
      </c>
      <c r="J739" s="12" t="s">
        <v>917</v>
      </c>
    </row>
    <row r="740" spans="1:10" s="15" customFormat="1" x14ac:dyDescent="0.15">
      <c r="A740" s="11">
        <v>45328</v>
      </c>
      <c r="B740" s="12" t="s">
        <v>454</v>
      </c>
      <c r="C740" s="12" t="s">
        <v>455</v>
      </c>
      <c r="D740" s="13" t="str">
        <f>HYPERLINK("https://www.marklines.com/en/global/2239","Mercedes-Benz Group AG, Düsseldorf Plant")</f>
        <v>Mercedes-Benz Group AG, Düsseldorf Plant</v>
      </c>
      <c r="E740" s="12" t="s">
        <v>918</v>
      </c>
      <c r="F740" s="12" t="s">
        <v>16</v>
      </c>
      <c r="G740" s="12" t="s">
        <v>208</v>
      </c>
      <c r="H740" s="12"/>
      <c r="I740" s="14">
        <v>45327</v>
      </c>
      <c r="J740" s="12" t="s">
        <v>919</v>
      </c>
    </row>
    <row r="741" spans="1:10" s="15" customFormat="1" x14ac:dyDescent="0.15">
      <c r="A741" s="11">
        <v>45328</v>
      </c>
      <c r="B741" s="12" t="s">
        <v>454</v>
      </c>
      <c r="C741" s="12" t="s">
        <v>455</v>
      </c>
      <c r="D741" s="13" t="str">
        <f>HYPERLINK("https://www.marklines.com/en/global/2241","Mercedes-Benz Ludwigsfelde GmbH, Ludwigsfelde Plant")</f>
        <v>Mercedes-Benz Ludwigsfelde GmbH, Ludwigsfelde Plant</v>
      </c>
      <c r="E741" s="12" t="s">
        <v>920</v>
      </c>
      <c r="F741" s="12" t="s">
        <v>16</v>
      </c>
      <c r="G741" s="12" t="s">
        <v>208</v>
      </c>
      <c r="H741" s="12"/>
      <c r="I741" s="14">
        <v>45327</v>
      </c>
      <c r="J741" s="12" t="s">
        <v>919</v>
      </c>
    </row>
    <row r="742" spans="1:10" s="15" customFormat="1" x14ac:dyDescent="0.15">
      <c r="A742" s="11">
        <v>45328</v>
      </c>
      <c r="B742" s="12" t="s">
        <v>454</v>
      </c>
      <c r="C742" s="12" t="s">
        <v>455</v>
      </c>
      <c r="D742" s="13" t="str">
        <f>HYPERLINK("https://www.marklines.com/en/global/3061","Mercedes-Benz Vans, LLC, North Charleston Plant")</f>
        <v>Mercedes-Benz Vans, LLC, North Charleston Plant</v>
      </c>
      <c r="E742" s="12" t="s">
        <v>921</v>
      </c>
      <c r="F742" s="12" t="s">
        <v>15</v>
      </c>
      <c r="G742" s="12" t="s">
        <v>11</v>
      </c>
      <c r="H742" s="12" t="s">
        <v>627</v>
      </c>
      <c r="I742" s="14">
        <v>45327</v>
      </c>
      <c r="J742" s="12" t="s">
        <v>919</v>
      </c>
    </row>
    <row r="743" spans="1:10" s="15" customFormat="1" x14ac:dyDescent="0.15">
      <c r="A743" s="11">
        <v>45328</v>
      </c>
      <c r="B743" s="12" t="s">
        <v>21</v>
      </c>
      <c r="C743" s="12" t="s">
        <v>922</v>
      </c>
      <c r="D743" s="13" t="str">
        <f>HYPERLINK("https://www.marklines.com/en/global/2595","Ford Motor, Chicago Assembly Plant")</f>
        <v>Ford Motor, Chicago Assembly Plant</v>
      </c>
      <c r="E743" s="12" t="s">
        <v>634</v>
      </c>
      <c r="F743" s="12" t="s">
        <v>15</v>
      </c>
      <c r="G743" s="12" t="s">
        <v>11</v>
      </c>
      <c r="H743" s="12" t="s">
        <v>33</v>
      </c>
      <c r="I743" s="14">
        <v>45327</v>
      </c>
      <c r="J743" s="12" t="s">
        <v>923</v>
      </c>
    </row>
    <row r="744" spans="1:10" s="15" customFormat="1" x14ac:dyDescent="0.15">
      <c r="A744" s="11">
        <v>45328</v>
      </c>
      <c r="B744" s="12" t="s">
        <v>21</v>
      </c>
      <c r="C744" s="12" t="s">
        <v>21</v>
      </c>
      <c r="D744" s="13" t="str">
        <f>HYPERLINK("https://www.marklines.com/en/global/859","Ford Motor Mexico, Hermosillo Stamping and Assembly Plant")</f>
        <v>Ford Motor Mexico, Hermosillo Stamping and Assembly Plant</v>
      </c>
      <c r="E744" s="12" t="s">
        <v>924</v>
      </c>
      <c r="F744" s="12" t="s">
        <v>15</v>
      </c>
      <c r="G744" s="12" t="s">
        <v>218</v>
      </c>
      <c r="H744" s="12"/>
      <c r="I744" s="14">
        <v>45327</v>
      </c>
      <c r="J744" s="12" t="s">
        <v>925</v>
      </c>
    </row>
    <row r="745" spans="1:10" s="15" customFormat="1" x14ac:dyDescent="0.15">
      <c r="A745" s="11">
        <v>45328</v>
      </c>
      <c r="B745" s="12" t="s">
        <v>895</v>
      </c>
      <c r="C745" s="12" t="s">
        <v>895</v>
      </c>
      <c r="D745" s="13" t="str">
        <f>HYPERLINK("https://www.marklines.com/en/global/9876","VE Commercial Vehicles, Bhopal Plant")</f>
        <v>VE Commercial Vehicles, Bhopal Plant</v>
      </c>
      <c r="E745" s="12" t="s">
        <v>926</v>
      </c>
      <c r="F745" s="12" t="s">
        <v>22</v>
      </c>
      <c r="G745" s="12" t="s">
        <v>23</v>
      </c>
      <c r="H745" s="12" t="s">
        <v>104</v>
      </c>
      <c r="I745" s="14">
        <v>45325</v>
      </c>
      <c r="J745" s="12" t="s">
        <v>927</v>
      </c>
    </row>
    <row r="746" spans="1:10" s="15" customFormat="1" x14ac:dyDescent="0.15">
      <c r="A746" s="11">
        <v>45328</v>
      </c>
      <c r="B746" s="12" t="s">
        <v>12</v>
      </c>
      <c r="C746" s="12" t="s">
        <v>12</v>
      </c>
      <c r="D746" s="13" t="str">
        <f>HYPERLINK("https://www.marklines.com/en/global/10544","EKA Mobility, Pithampur Plant")</f>
        <v>EKA Mobility, Pithampur Plant</v>
      </c>
      <c r="E746" s="12" t="s">
        <v>169</v>
      </c>
      <c r="F746" s="12" t="s">
        <v>22</v>
      </c>
      <c r="G746" s="12" t="s">
        <v>23</v>
      </c>
      <c r="H746" s="12" t="s">
        <v>104</v>
      </c>
      <c r="I746" s="14">
        <v>45324</v>
      </c>
      <c r="J746" s="12" t="s">
        <v>928</v>
      </c>
    </row>
    <row r="747" spans="1:10" s="15" customFormat="1" x14ac:dyDescent="0.15">
      <c r="A747" s="11">
        <v>45328</v>
      </c>
      <c r="B747" s="12" t="s">
        <v>65</v>
      </c>
      <c r="C747" s="12" t="s">
        <v>65</v>
      </c>
      <c r="D747" s="13" t="str">
        <f>HYPERLINK("https://www.marklines.com/en/global/3807","Zhejiang Geely Holding Group Co., Ltd.")</f>
        <v>Zhejiang Geely Holding Group Co., Ltd.</v>
      </c>
      <c r="E747" s="12" t="s">
        <v>229</v>
      </c>
      <c r="F747" s="12" t="s">
        <v>18</v>
      </c>
      <c r="G747" s="12" t="s">
        <v>24</v>
      </c>
      <c r="H747" s="12" t="s">
        <v>61</v>
      </c>
      <c r="I747" s="14">
        <v>45324</v>
      </c>
      <c r="J747" s="12" t="s">
        <v>929</v>
      </c>
    </row>
    <row r="748" spans="1:10" s="15" customFormat="1" x14ac:dyDescent="0.15">
      <c r="A748" s="11">
        <v>45328</v>
      </c>
      <c r="B748" s="12" t="s">
        <v>390</v>
      </c>
      <c r="C748" s="12" t="s">
        <v>930</v>
      </c>
      <c r="D748" s="13" t="str">
        <f>HYPERLINK("https://www.marklines.com/en/global/3337","China FAW Corporation Limited Weishan 1st Plant")</f>
        <v>China FAW Corporation Limited Weishan 1st Plant</v>
      </c>
      <c r="E748" s="12" t="s">
        <v>931</v>
      </c>
      <c r="F748" s="12" t="s">
        <v>18</v>
      </c>
      <c r="G748" s="12" t="s">
        <v>24</v>
      </c>
      <c r="H748" s="12" t="s">
        <v>392</v>
      </c>
      <c r="I748" s="14">
        <v>45324</v>
      </c>
      <c r="J748" s="12" t="s">
        <v>932</v>
      </c>
    </row>
    <row r="749" spans="1:10" s="15" customFormat="1" x14ac:dyDescent="0.15">
      <c r="A749" s="11">
        <v>45328</v>
      </c>
      <c r="B749" s="12" t="s">
        <v>390</v>
      </c>
      <c r="C749" s="12" t="s">
        <v>930</v>
      </c>
      <c r="D749" s="13" t="str">
        <f>HYPERLINK("https://www.marklines.com/en/global/10437","FAW Hongqi New Energy Car Plant")</f>
        <v>FAW Hongqi New Energy Car Plant</v>
      </c>
      <c r="E749" s="12" t="s">
        <v>933</v>
      </c>
      <c r="F749" s="12" t="s">
        <v>18</v>
      </c>
      <c r="G749" s="12" t="s">
        <v>24</v>
      </c>
      <c r="H749" s="12" t="s">
        <v>392</v>
      </c>
      <c r="I749" s="14">
        <v>45324</v>
      </c>
      <c r="J749" s="12" t="s">
        <v>932</v>
      </c>
    </row>
    <row r="750" spans="1:10" s="15" customFormat="1" x14ac:dyDescent="0.15">
      <c r="A750" s="11">
        <v>45328</v>
      </c>
      <c r="B750" s="12" t="s">
        <v>390</v>
      </c>
      <c r="C750" s="12" t="s">
        <v>930</v>
      </c>
      <c r="D750" s="13" t="str">
        <f>HYPERLINK("https://www.marklines.com/en/global/3339","China FAW Corporation Limited Weishan 2nd Plant")</f>
        <v>China FAW Corporation Limited Weishan 2nd Plant</v>
      </c>
      <c r="E750" s="12" t="s">
        <v>934</v>
      </c>
      <c r="F750" s="12" t="s">
        <v>18</v>
      </c>
      <c r="G750" s="12" t="s">
        <v>24</v>
      </c>
      <c r="H750" s="12" t="s">
        <v>392</v>
      </c>
      <c r="I750" s="14">
        <v>45324</v>
      </c>
      <c r="J750" s="12" t="s">
        <v>932</v>
      </c>
    </row>
    <row r="751" spans="1:10" s="15" customFormat="1" x14ac:dyDescent="0.15">
      <c r="A751" s="11">
        <v>45328</v>
      </c>
      <c r="B751" s="12" t="s">
        <v>390</v>
      </c>
      <c r="C751" s="12" t="s">
        <v>930</v>
      </c>
      <c r="D751" s="13" t="str">
        <f>HYPERLINK("https://www.marklines.com/en/global/9099","China FAW Corporation Limited Hongqi Branch")</f>
        <v>China FAW Corporation Limited Hongqi Branch</v>
      </c>
      <c r="E751" s="12" t="s">
        <v>935</v>
      </c>
      <c r="F751" s="12" t="s">
        <v>18</v>
      </c>
      <c r="G751" s="12" t="s">
        <v>24</v>
      </c>
      <c r="H751" s="12" t="s">
        <v>392</v>
      </c>
      <c r="I751" s="14">
        <v>45324</v>
      </c>
      <c r="J751" s="12" t="s">
        <v>932</v>
      </c>
    </row>
    <row r="752" spans="1:10" s="15" customFormat="1" x14ac:dyDescent="0.15">
      <c r="A752" s="11">
        <v>45328</v>
      </c>
      <c r="B752" s="12" t="s">
        <v>57</v>
      </c>
      <c r="C752" s="12" t="s">
        <v>57</v>
      </c>
      <c r="D752" s="13" t="str">
        <f>HYPERLINK("https://www.marklines.com/en/global/10488","FAW FinDreams New Energy Technology Co., Ltd.")</f>
        <v>FAW FinDreams New Energy Technology Co., Ltd.</v>
      </c>
      <c r="E752" s="12" t="s">
        <v>936</v>
      </c>
      <c r="F752" s="12" t="s">
        <v>18</v>
      </c>
      <c r="G752" s="12" t="s">
        <v>24</v>
      </c>
      <c r="H752" s="12" t="s">
        <v>392</v>
      </c>
      <c r="I752" s="14">
        <v>45324</v>
      </c>
      <c r="J752" s="12" t="s">
        <v>932</v>
      </c>
    </row>
    <row r="753" spans="1:10" s="15" customFormat="1" x14ac:dyDescent="0.15">
      <c r="A753" s="11">
        <v>45328</v>
      </c>
      <c r="B753" s="12" t="s">
        <v>21</v>
      </c>
      <c r="C753" s="12" t="s">
        <v>21</v>
      </c>
      <c r="D753" s="13" t="str">
        <f>HYPERLINK("https://www.marklines.com/en/global/10432","Ford, BlueOval SK Battery Park ")</f>
        <v xml:space="preserve">Ford, BlueOval SK Battery Park </v>
      </c>
      <c r="E753" s="12" t="s">
        <v>937</v>
      </c>
      <c r="F753" s="12" t="s">
        <v>15</v>
      </c>
      <c r="G753" s="12" t="s">
        <v>11</v>
      </c>
      <c r="H753" s="12" t="s">
        <v>892</v>
      </c>
      <c r="I753" s="14">
        <v>45324</v>
      </c>
      <c r="J753" s="12" t="s">
        <v>938</v>
      </c>
    </row>
    <row r="754" spans="1:10" s="15" customFormat="1" x14ac:dyDescent="0.15">
      <c r="A754" s="11">
        <v>45328</v>
      </c>
      <c r="B754" s="12" t="s">
        <v>350</v>
      </c>
      <c r="C754" s="12" t="s">
        <v>350</v>
      </c>
      <c r="D754" s="13" t="str">
        <f>HYPERLINK("https://www.marklines.com/en/global/9976","Ultium Cells LLC, Warren Plant ")</f>
        <v xml:space="preserve">Ultium Cells LLC, Warren Plant </v>
      </c>
      <c r="E754" s="12" t="s">
        <v>939</v>
      </c>
      <c r="F754" s="12" t="s">
        <v>15</v>
      </c>
      <c r="G754" s="12" t="s">
        <v>11</v>
      </c>
      <c r="H754" s="12" t="s">
        <v>490</v>
      </c>
      <c r="I754" s="14">
        <v>45324</v>
      </c>
      <c r="J754" s="12" t="s">
        <v>940</v>
      </c>
    </row>
    <row r="755" spans="1:10" s="15" customFormat="1" x14ac:dyDescent="0.15">
      <c r="A755" s="11">
        <v>45328</v>
      </c>
      <c r="B755" s="12" t="s">
        <v>350</v>
      </c>
      <c r="C755" s="12" t="s">
        <v>350</v>
      </c>
      <c r="D755" s="13" t="str">
        <f>HYPERLINK("https://www.marklines.com/en/global/10475","Ultium Cells LLC, Spring Hill Plant ")</f>
        <v xml:space="preserve">Ultium Cells LLC, Spring Hill Plant </v>
      </c>
      <c r="E755" s="12" t="s">
        <v>941</v>
      </c>
      <c r="F755" s="12" t="s">
        <v>15</v>
      </c>
      <c r="G755" s="12" t="s">
        <v>11</v>
      </c>
      <c r="H755" s="12" t="s">
        <v>348</v>
      </c>
      <c r="I755" s="14">
        <v>45324</v>
      </c>
      <c r="J755" s="12" t="s">
        <v>940</v>
      </c>
    </row>
    <row r="756" spans="1:10" s="15" customFormat="1" x14ac:dyDescent="0.15">
      <c r="A756" s="11">
        <v>45328</v>
      </c>
      <c r="B756" s="12" t="s">
        <v>350</v>
      </c>
      <c r="C756" s="12" t="s">
        <v>350</v>
      </c>
      <c r="D756" s="13" t="str">
        <f>HYPERLINK("https://www.marklines.com/en/global/10564","Ultium Cells LLC, Lansing Plant")</f>
        <v>Ultium Cells LLC, Lansing Plant</v>
      </c>
      <c r="E756" s="12" t="s">
        <v>764</v>
      </c>
      <c r="F756" s="12" t="s">
        <v>15</v>
      </c>
      <c r="G756" s="12" t="s">
        <v>11</v>
      </c>
      <c r="H756" s="12" t="s">
        <v>505</v>
      </c>
      <c r="I756" s="14">
        <v>45324</v>
      </c>
      <c r="J756" s="12" t="s">
        <v>940</v>
      </c>
    </row>
    <row r="757" spans="1:10" s="15" customFormat="1" x14ac:dyDescent="0.15">
      <c r="A757" s="11">
        <v>45328</v>
      </c>
      <c r="B757" s="12" t="s">
        <v>28</v>
      </c>
      <c r="C757" s="12" t="s">
        <v>942</v>
      </c>
      <c r="D757" s="13" t="str">
        <f>HYPERLINK("https://www.marklines.com/en/global/2173","MAN Truck &amp; Bus, Salzgitter Plant")</f>
        <v>MAN Truck &amp; Bus, Salzgitter Plant</v>
      </c>
      <c r="E757" s="12" t="s">
        <v>943</v>
      </c>
      <c r="F757" s="12" t="s">
        <v>16</v>
      </c>
      <c r="G757" s="12" t="s">
        <v>208</v>
      </c>
      <c r="H757" s="12"/>
      <c r="I757" s="14">
        <v>45323</v>
      </c>
      <c r="J757" s="12" t="s">
        <v>944</v>
      </c>
    </row>
    <row r="758" spans="1:10" s="15" customFormat="1" x14ac:dyDescent="0.15">
      <c r="A758" s="11">
        <v>45328</v>
      </c>
      <c r="B758" s="12" t="s">
        <v>237</v>
      </c>
      <c r="C758" s="12" t="s">
        <v>740</v>
      </c>
      <c r="D758" s="13" t="str">
        <f>HYPERLINK("https://www.marklines.com/en/global/9165","Dongfeng Motor (Wuhan) Co., Ltd. (formerly Dongfeng Renault Automotive  Co., Ltd.) ")</f>
        <v xml:space="preserve">Dongfeng Motor (Wuhan) Co., Ltd. (formerly Dongfeng Renault Automotive  Co., Ltd.) </v>
      </c>
      <c r="E758" s="12" t="s">
        <v>743</v>
      </c>
      <c r="F758" s="12" t="s">
        <v>18</v>
      </c>
      <c r="G758" s="12" t="s">
        <v>24</v>
      </c>
      <c r="H758" s="12" t="s">
        <v>76</v>
      </c>
      <c r="I758" s="14">
        <v>45323</v>
      </c>
      <c r="J758" s="12" t="s">
        <v>945</v>
      </c>
    </row>
    <row r="759" spans="1:10" s="15" customFormat="1" x14ac:dyDescent="0.15">
      <c r="A759" s="11">
        <v>45328</v>
      </c>
      <c r="B759" s="12" t="s">
        <v>19</v>
      </c>
      <c r="C759" s="12" t="s">
        <v>19</v>
      </c>
      <c r="D759" s="13" t="str">
        <f>HYPERLINK("https://www.marklines.com/en/global/409","Toyota Auto Body, Fujimatsu Plant")</f>
        <v>Toyota Auto Body, Fujimatsu Plant</v>
      </c>
      <c r="E759" s="12" t="s">
        <v>200</v>
      </c>
      <c r="F759" s="12" t="s">
        <v>18</v>
      </c>
      <c r="G759" s="12" t="s">
        <v>20</v>
      </c>
      <c r="H759" s="12" t="s">
        <v>189</v>
      </c>
      <c r="I759" s="14">
        <v>45323</v>
      </c>
      <c r="J759" s="12" t="s">
        <v>946</v>
      </c>
    </row>
    <row r="760" spans="1:10" s="15" customFormat="1" x14ac:dyDescent="0.15">
      <c r="A760" s="11">
        <v>45328</v>
      </c>
      <c r="B760" s="12" t="s">
        <v>19</v>
      </c>
      <c r="C760" s="12" t="s">
        <v>19</v>
      </c>
      <c r="D760" s="13" t="str">
        <f>HYPERLINK("https://www.marklines.com/en/global/411","Toyota Auto Body, Yoshiwara Plant")</f>
        <v>Toyota Auto Body, Yoshiwara Plant</v>
      </c>
      <c r="E760" s="12" t="s">
        <v>201</v>
      </c>
      <c r="F760" s="12" t="s">
        <v>18</v>
      </c>
      <c r="G760" s="12" t="s">
        <v>20</v>
      </c>
      <c r="H760" s="12" t="s">
        <v>189</v>
      </c>
      <c r="I760" s="14">
        <v>45323</v>
      </c>
      <c r="J760" s="12" t="s">
        <v>946</v>
      </c>
    </row>
    <row r="761" spans="1:10" s="15" customFormat="1" x14ac:dyDescent="0.15">
      <c r="A761" s="11">
        <v>45328</v>
      </c>
      <c r="B761" s="12" t="s">
        <v>19</v>
      </c>
      <c r="C761" s="12" t="s">
        <v>19</v>
      </c>
      <c r="D761" s="13" t="str">
        <f>HYPERLINK("https://www.marklines.com/en/global/413","Toyota Auto Body, Inabe Plant")</f>
        <v>Toyota Auto Body, Inabe Plant</v>
      </c>
      <c r="E761" s="12" t="s">
        <v>202</v>
      </c>
      <c r="F761" s="12" t="s">
        <v>18</v>
      </c>
      <c r="G761" s="12" t="s">
        <v>20</v>
      </c>
      <c r="H761" s="12" t="s">
        <v>203</v>
      </c>
      <c r="I761" s="14">
        <v>45323</v>
      </c>
      <c r="J761" s="12" t="s">
        <v>946</v>
      </c>
    </row>
    <row r="762" spans="1:10" s="15" customFormat="1" x14ac:dyDescent="0.15">
      <c r="A762" s="11">
        <v>45328</v>
      </c>
      <c r="B762" s="12" t="s">
        <v>19</v>
      </c>
      <c r="C762" s="12" t="s">
        <v>19</v>
      </c>
      <c r="D762" s="13" t="str">
        <f>HYPERLINK("https://www.marklines.com/en/global/417","Gifu Auto Body Co., Ltd., Honsha Plant")</f>
        <v>Gifu Auto Body Co., Ltd., Honsha Plant</v>
      </c>
      <c r="E762" s="12" t="s">
        <v>204</v>
      </c>
      <c r="F762" s="12" t="s">
        <v>18</v>
      </c>
      <c r="G762" s="12" t="s">
        <v>20</v>
      </c>
      <c r="H762" s="12" t="s">
        <v>205</v>
      </c>
      <c r="I762" s="14">
        <v>45323</v>
      </c>
      <c r="J762" s="12" t="s">
        <v>946</v>
      </c>
    </row>
    <row r="763" spans="1:10" s="15" customFormat="1" x14ac:dyDescent="0.15">
      <c r="A763" s="11">
        <v>45328</v>
      </c>
      <c r="B763" s="12" t="s">
        <v>19</v>
      </c>
      <c r="C763" s="12" t="s">
        <v>684</v>
      </c>
      <c r="D763" s="13" t="str">
        <f>HYPERLINK("https://www.marklines.com/en/global/567","Hino Motors, Hamura Plant")</f>
        <v>Hino Motors, Hamura Plant</v>
      </c>
      <c r="E763" s="12" t="s">
        <v>685</v>
      </c>
      <c r="F763" s="12" t="s">
        <v>18</v>
      </c>
      <c r="G763" s="12" t="s">
        <v>20</v>
      </c>
      <c r="H763" s="12" t="s">
        <v>686</v>
      </c>
      <c r="I763" s="14">
        <v>45323</v>
      </c>
      <c r="J763" s="12" t="s">
        <v>1046</v>
      </c>
    </row>
    <row r="764" spans="1:10" s="15" customFormat="1" x14ac:dyDescent="0.15">
      <c r="A764" s="11">
        <v>45328</v>
      </c>
      <c r="B764" s="12" t="s">
        <v>237</v>
      </c>
      <c r="C764" s="12" t="s">
        <v>237</v>
      </c>
      <c r="D764" s="13" t="str">
        <f>HYPERLINK("https://www.marklines.com/en/global/4145","Dongfeng Liuzhou Motor Co., Ltd. ")</f>
        <v xml:space="preserve">Dongfeng Liuzhou Motor Co., Ltd. </v>
      </c>
      <c r="E764" s="12" t="s">
        <v>947</v>
      </c>
      <c r="F764" s="12" t="s">
        <v>18</v>
      </c>
      <c r="G764" s="12" t="s">
        <v>24</v>
      </c>
      <c r="H764" s="12" t="s">
        <v>326</v>
      </c>
      <c r="I764" s="14">
        <v>45323</v>
      </c>
      <c r="J764" s="12" t="s">
        <v>948</v>
      </c>
    </row>
    <row r="765" spans="1:10" s="15" customFormat="1" x14ac:dyDescent="0.15">
      <c r="A765" s="11">
        <v>45328</v>
      </c>
      <c r="B765" s="12" t="s">
        <v>268</v>
      </c>
      <c r="C765" s="12" t="s">
        <v>268</v>
      </c>
      <c r="D765" s="13" t="str">
        <f>HYPERLINK("https://www.marklines.com/en/global/10356","Anhui Jianghuai Automobile Group Co., Ltd. Car Branch")</f>
        <v>Anhui Jianghuai Automobile Group Co., Ltd. Car Branch</v>
      </c>
      <c r="E765" s="12" t="s">
        <v>269</v>
      </c>
      <c r="F765" s="12" t="s">
        <v>18</v>
      </c>
      <c r="G765" s="12" t="s">
        <v>24</v>
      </c>
      <c r="H765" s="12" t="s">
        <v>55</v>
      </c>
      <c r="I765" s="14">
        <v>45323</v>
      </c>
      <c r="J765" s="12" t="s">
        <v>949</v>
      </c>
    </row>
    <row r="766" spans="1:10" s="15" customFormat="1" x14ac:dyDescent="0.15">
      <c r="A766" s="11">
        <v>45328</v>
      </c>
      <c r="B766" s="12" t="s">
        <v>571</v>
      </c>
      <c r="C766" s="12" t="s">
        <v>652</v>
      </c>
      <c r="D766" s="13" t="str">
        <f>HYPERLINK("https://www.marklines.com/en/global/10787","AION Automobile Manufacturing Thailand Co., Ltd., Rayong Plant")</f>
        <v>AION Automobile Manufacturing Thailand Co., Ltd., Rayong Plant</v>
      </c>
      <c r="E766" s="12" t="s">
        <v>950</v>
      </c>
      <c r="F766" s="12" t="s">
        <v>29</v>
      </c>
      <c r="G766" s="12" t="s">
        <v>301</v>
      </c>
      <c r="H766" s="12" t="s">
        <v>422</v>
      </c>
      <c r="I766" s="14">
        <v>45323</v>
      </c>
      <c r="J766" s="12" t="s">
        <v>951</v>
      </c>
    </row>
    <row r="767" spans="1:10" s="15" customFormat="1" x14ac:dyDescent="0.15">
      <c r="A767" s="11">
        <v>45328</v>
      </c>
      <c r="B767" s="12" t="s">
        <v>571</v>
      </c>
      <c r="C767" s="12" t="s">
        <v>652</v>
      </c>
      <c r="D767" s="13" t="str">
        <f>HYPERLINK("https://www.marklines.com/en/global/9824","GAC Aion New Energy Automobile Co., Ltd.")</f>
        <v>GAC Aion New Energy Automobile Co., Ltd.</v>
      </c>
      <c r="E767" s="12" t="s">
        <v>653</v>
      </c>
      <c r="F767" s="12" t="s">
        <v>18</v>
      </c>
      <c r="G767" s="12" t="s">
        <v>24</v>
      </c>
      <c r="H767" s="12" t="s">
        <v>63</v>
      </c>
      <c r="I767" s="14">
        <v>45323</v>
      </c>
      <c r="J767" s="12" t="s">
        <v>951</v>
      </c>
    </row>
    <row r="768" spans="1:10" s="15" customFormat="1" x14ac:dyDescent="0.15">
      <c r="A768" s="11">
        <v>45328</v>
      </c>
      <c r="B768" s="12" t="s">
        <v>57</v>
      </c>
      <c r="C768" s="12" t="s">
        <v>665</v>
      </c>
      <c r="D768" s="13" t="str">
        <f>HYPERLINK("https://www.marklines.com/en/global/4307","Shenzhen DENZA New Energy Automotive Co., Ltd.")</f>
        <v>Shenzhen DENZA New Energy Automotive Co., Ltd.</v>
      </c>
      <c r="E768" s="12" t="s">
        <v>666</v>
      </c>
      <c r="F768" s="12" t="s">
        <v>18</v>
      </c>
      <c r="G768" s="12" t="s">
        <v>24</v>
      </c>
      <c r="H768" s="12" t="s">
        <v>63</v>
      </c>
      <c r="I768" s="14">
        <v>45323</v>
      </c>
      <c r="J768" s="12" t="s">
        <v>952</v>
      </c>
    </row>
    <row r="769" spans="1:10" s="15" customFormat="1" x14ac:dyDescent="0.15">
      <c r="A769" s="11">
        <v>45328</v>
      </c>
      <c r="B769" s="12" t="s">
        <v>57</v>
      </c>
      <c r="C769" s="12" t="s">
        <v>665</v>
      </c>
      <c r="D769" s="13" t="str">
        <f>HYPERLINK("https://www.marklines.com/en/global/4125","BYD Automobile Industry Co., Ltd., Shenzhen Plant")</f>
        <v>BYD Automobile Industry Co., Ltd., Shenzhen Plant</v>
      </c>
      <c r="E769" s="12" t="s">
        <v>395</v>
      </c>
      <c r="F769" s="12" t="s">
        <v>18</v>
      </c>
      <c r="G769" s="12" t="s">
        <v>24</v>
      </c>
      <c r="H769" s="12" t="s">
        <v>63</v>
      </c>
      <c r="I769" s="14">
        <v>45323</v>
      </c>
      <c r="J769" s="12" t="s">
        <v>952</v>
      </c>
    </row>
    <row r="770" spans="1:10" s="15" customFormat="1" x14ac:dyDescent="0.15">
      <c r="A770" s="11">
        <v>45328</v>
      </c>
      <c r="B770" s="12" t="s">
        <v>57</v>
      </c>
      <c r="C770" s="12" t="s">
        <v>665</v>
      </c>
      <c r="D770" s="13" t="str">
        <f>HYPERLINK("https://www.marklines.com/en/global/4043","BYD Automobile Industry Co., Ltd., Changsha Branch")</f>
        <v>BYD Automobile Industry Co., Ltd., Changsha Branch</v>
      </c>
      <c r="E770" s="12" t="s">
        <v>953</v>
      </c>
      <c r="F770" s="12" t="s">
        <v>18</v>
      </c>
      <c r="G770" s="12" t="s">
        <v>24</v>
      </c>
      <c r="H770" s="12" t="s">
        <v>398</v>
      </c>
      <c r="I770" s="14">
        <v>45323</v>
      </c>
      <c r="J770" s="12" t="s">
        <v>952</v>
      </c>
    </row>
    <row r="771" spans="1:10" s="15" customFormat="1" x14ac:dyDescent="0.15">
      <c r="A771" s="11">
        <v>45328</v>
      </c>
      <c r="B771" s="12" t="s">
        <v>65</v>
      </c>
      <c r="C771" s="12" t="s">
        <v>65</v>
      </c>
      <c r="D771" s="13" t="str">
        <f>HYPERLINK("https://www.marklines.com/en/global/3807","Zhejiang Geely Holding Group Co., Ltd.")</f>
        <v>Zhejiang Geely Holding Group Co., Ltd.</v>
      </c>
      <c r="E771" s="12" t="s">
        <v>229</v>
      </c>
      <c r="F771" s="12" t="s">
        <v>18</v>
      </c>
      <c r="G771" s="12" t="s">
        <v>24</v>
      </c>
      <c r="H771" s="12" t="s">
        <v>61</v>
      </c>
      <c r="I771" s="14">
        <v>45323</v>
      </c>
      <c r="J771" s="12" t="s">
        <v>954</v>
      </c>
    </row>
    <row r="772" spans="1:10" s="15" customFormat="1" x14ac:dyDescent="0.15">
      <c r="A772" s="11">
        <v>45328</v>
      </c>
      <c r="B772" s="12" t="s">
        <v>65</v>
      </c>
      <c r="C772" s="12" t="s">
        <v>96</v>
      </c>
      <c r="D772" s="13" t="str">
        <f>HYPERLINK("https://www.marklines.com/en/global/10387","Zeekr Automobile (Ningbo Hangzhou Bay New Zone) Co., Ltd. (formerly Ningbo Zeekr Intelligent Technology Co., Ltd.")</f>
        <v>Zeekr Automobile (Ningbo Hangzhou Bay New Zone) Co., Ltd. (formerly Ningbo Zeekr Intelligent Technology Co., Ltd.</v>
      </c>
      <c r="E772" s="12" t="s">
        <v>535</v>
      </c>
      <c r="F772" s="12" t="s">
        <v>18</v>
      </c>
      <c r="G772" s="12" t="s">
        <v>24</v>
      </c>
      <c r="H772" s="12" t="s">
        <v>61</v>
      </c>
      <c r="I772" s="14">
        <v>45323</v>
      </c>
      <c r="J772" s="12" t="s">
        <v>954</v>
      </c>
    </row>
    <row r="773" spans="1:10" s="15" customFormat="1" x14ac:dyDescent="0.15">
      <c r="A773" s="11">
        <v>45328</v>
      </c>
      <c r="B773" s="12" t="s">
        <v>65</v>
      </c>
      <c r="C773" s="12" t="s">
        <v>96</v>
      </c>
      <c r="D773" s="13" t="str">
        <f>HYPERLINK("https://www.marklines.com/en/global/10391","Zhejiang Geely Automobile Co., Ltd. Meishan Plant")</f>
        <v>Zhejiang Geely Automobile Co., Ltd. Meishan Plant</v>
      </c>
      <c r="E773" s="12" t="s">
        <v>97</v>
      </c>
      <c r="F773" s="12" t="s">
        <v>18</v>
      </c>
      <c r="G773" s="12" t="s">
        <v>24</v>
      </c>
      <c r="H773" s="12" t="s">
        <v>61</v>
      </c>
      <c r="I773" s="14">
        <v>45323</v>
      </c>
      <c r="J773" s="12" t="s">
        <v>954</v>
      </c>
    </row>
    <row r="774" spans="1:10" s="15" customFormat="1" x14ac:dyDescent="0.15">
      <c r="A774" s="11">
        <v>45328</v>
      </c>
      <c r="B774" s="12" t="s">
        <v>19</v>
      </c>
      <c r="C774" s="12" t="s">
        <v>19</v>
      </c>
      <c r="D774" s="13" t="str">
        <f>HYPERLINK("https://www.marklines.com/en/global/539","Daihatsu Motor, Head (Ikeda) Plant")</f>
        <v>Daihatsu Motor, Head (Ikeda) Plant</v>
      </c>
      <c r="E774" s="12" t="s">
        <v>516</v>
      </c>
      <c r="F774" s="12" t="s">
        <v>18</v>
      </c>
      <c r="G774" s="12" t="s">
        <v>20</v>
      </c>
      <c r="H774" s="12" t="s">
        <v>517</v>
      </c>
      <c r="I774" s="14">
        <v>45322</v>
      </c>
      <c r="J774" s="12" t="s">
        <v>955</v>
      </c>
    </row>
    <row r="775" spans="1:10" s="15" customFormat="1" x14ac:dyDescent="0.15">
      <c r="A775" s="11">
        <v>45328</v>
      </c>
      <c r="B775" s="12" t="s">
        <v>19</v>
      </c>
      <c r="C775" s="12" t="s">
        <v>19</v>
      </c>
      <c r="D775" s="13" t="str">
        <f>HYPERLINK("https://www.marklines.com/en/global/541","Daihatsu Motor, Kyoto (Oyamazaki) Plant")</f>
        <v>Daihatsu Motor, Kyoto (Oyamazaki) Plant</v>
      </c>
      <c r="E775" s="12" t="s">
        <v>518</v>
      </c>
      <c r="F775" s="12" t="s">
        <v>18</v>
      </c>
      <c r="G775" s="12" t="s">
        <v>20</v>
      </c>
      <c r="H775" s="12" t="s">
        <v>519</v>
      </c>
      <c r="I775" s="14">
        <v>45322</v>
      </c>
      <c r="J775" s="12" t="s">
        <v>955</v>
      </c>
    </row>
    <row r="776" spans="1:10" s="15" customFormat="1" x14ac:dyDescent="0.15">
      <c r="A776" s="11">
        <v>45328</v>
      </c>
      <c r="B776" s="12" t="s">
        <v>19</v>
      </c>
      <c r="C776" s="12" t="s">
        <v>19</v>
      </c>
      <c r="D776" s="13" t="str">
        <f>HYPERLINK("https://www.marklines.com/en/global/543","Daihatsu Motor, Shiga (Ryuo) Plant")</f>
        <v>Daihatsu Motor, Shiga (Ryuo) Plant</v>
      </c>
      <c r="E776" s="12" t="s">
        <v>513</v>
      </c>
      <c r="F776" s="12" t="s">
        <v>18</v>
      </c>
      <c r="G776" s="12" t="s">
        <v>20</v>
      </c>
      <c r="H776" s="12" t="s">
        <v>514</v>
      </c>
      <c r="I776" s="14">
        <v>45322</v>
      </c>
      <c r="J776" s="12" t="s">
        <v>955</v>
      </c>
    </row>
    <row r="777" spans="1:10" s="15" customFormat="1" x14ac:dyDescent="0.15">
      <c r="A777" s="11">
        <v>45328</v>
      </c>
      <c r="B777" s="12" t="s">
        <v>19</v>
      </c>
      <c r="C777" s="12" t="s">
        <v>19</v>
      </c>
      <c r="D777" s="13" t="str">
        <f>HYPERLINK("https://www.marklines.com/en/global/547","Daihatsu Motor Kyushu, Oita (Nakatsu) Plant")</f>
        <v>Daihatsu Motor Kyushu, Oita (Nakatsu) Plant</v>
      </c>
      <c r="E777" s="12" t="s">
        <v>520</v>
      </c>
      <c r="F777" s="12" t="s">
        <v>18</v>
      </c>
      <c r="G777" s="12" t="s">
        <v>20</v>
      </c>
      <c r="H777" s="12" t="s">
        <v>521</v>
      </c>
      <c r="I777" s="14">
        <v>45322</v>
      </c>
      <c r="J777" s="12" t="s">
        <v>955</v>
      </c>
    </row>
    <row r="778" spans="1:10" s="15" customFormat="1" x14ac:dyDescent="0.15">
      <c r="A778" s="11">
        <v>45328</v>
      </c>
      <c r="B778" s="12" t="s">
        <v>19</v>
      </c>
      <c r="C778" s="12" t="s">
        <v>512</v>
      </c>
      <c r="D778" s="13" t="str">
        <f>HYPERLINK("https://www.marklines.com/en/global/539","Daihatsu Motor, Head (Ikeda) Plant")</f>
        <v>Daihatsu Motor, Head (Ikeda) Plant</v>
      </c>
      <c r="E778" s="12" t="s">
        <v>516</v>
      </c>
      <c r="F778" s="12" t="s">
        <v>18</v>
      </c>
      <c r="G778" s="12" t="s">
        <v>20</v>
      </c>
      <c r="H778" s="12" t="s">
        <v>517</v>
      </c>
      <c r="I778" s="14">
        <v>45322</v>
      </c>
      <c r="J778" s="12" t="s">
        <v>955</v>
      </c>
    </row>
    <row r="779" spans="1:10" s="15" customFormat="1" x14ac:dyDescent="0.15">
      <c r="A779" s="11">
        <v>45328</v>
      </c>
      <c r="B779" s="12" t="s">
        <v>19</v>
      </c>
      <c r="C779" s="12" t="s">
        <v>512</v>
      </c>
      <c r="D779" s="13" t="str">
        <f>HYPERLINK("https://www.marklines.com/en/global/541","Daihatsu Motor, Kyoto (Oyamazaki) Plant")</f>
        <v>Daihatsu Motor, Kyoto (Oyamazaki) Plant</v>
      </c>
      <c r="E779" s="12" t="s">
        <v>518</v>
      </c>
      <c r="F779" s="12" t="s">
        <v>18</v>
      </c>
      <c r="G779" s="12" t="s">
        <v>20</v>
      </c>
      <c r="H779" s="12" t="s">
        <v>519</v>
      </c>
      <c r="I779" s="14">
        <v>45322</v>
      </c>
      <c r="J779" s="12" t="s">
        <v>955</v>
      </c>
    </row>
    <row r="780" spans="1:10" s="15" customFormat="1" x14ac:dyDescent="0.15">
      <c r="A780" s="11">
        <v>45328</v>
      </c>
      <c r="B780" s="12" t="s">
        <v>19</v>
      </c>
      <c r="C780" s="12" t="s">
        <v>512</v>
      </c>
      <c r="D780" s="13" t="str">
        <f>HYPERLINK("https://www.marklines.com/en/global/543","Daihatsu Motor, Shiga (Ryuo) Plant")</f>
        <v>Daihatsu Motor, Shiga (Ryuo) Plant</v>
      </c>
      <c r="E780" s="12" t="s">
        <v>513</v>
      </c>
      <c r="F780" s="12" t="s">
        <v>18</v>
      </c>
      <c r="G780" s="12" t="s">
        <v>20</v>
      </c>
      <c r="H780" s="12" t="s">
        <v>514</v>
      </c>
      <c r="I780" s="14">
        <v>45322</v>
      </c>
      <c r="J780" s="12" t="s">
        <v>955</v>
      </c>
    </row>
    <row r="781" spans="1:10" s="15" customFormat="1" x14ac:dyDescent="0.15">
      <c r="A781" s="11">
        <v>45328</v>
      </c>
      <c r="B781" s="12" t="s">
        <v>19</v>
      </c>
      <c r="C781" s="12" t="s">
        <v>512</v>
      </c>
      <c r="D781" s="13" t="str">
        <f>HYPERLINK("https://www.marklines.com/en/global/547","Daihatsu Motor Kyushu, Oita (Nakatsu) Plant")</f>
        <v>Daihatsu Motor Kyushu, Oita (Nakatsu) Plant</v>
      </c>
      <c r="E781" s="12" t="s">
        <v>520</v>
      </c>
      <c r="F781" s="12" t="s">
        <v>18</v>
      </c>
      <c r="G781" s="12" t="s">
        <v>20</v>
      </c>
      <c r="H781" s="12" t="s">
        <v>521</v>
      </c>
      <c r="I781" s="14">
        <v>45322</v>
      </c>
      <c r="J781" s="12" t="s">
        <v>955</v>
      </c>
    </row>
    <row r="782" spans="1:10" s="15" customFormat="1" x14ac:dyDescent="0.15">
      <c r="A782" s="11">
        <v>45328</v>
      </c>
      <c r="B782" s="12" t="s">
        <v>78</v>
      </c>
      <c r="C782" s="12" t="s">
        <v>78</v>
      </c>
      <c r="D782" s="13" t="str">
        <f>HYPERLINK("https://www.marklines.com/en/global/541","Daihatsu Motor, Kyoto (Oyamazaki) Plant")</f>
        <v>Daihatsu Motor, Kyoto (Oyamazaki) Plant</v>
      </c>
      <c r="E782" s="12" t="s">
        <v>518</v>
      </c>
      <c r="F782" s="12" t="s">
        <v>18</v>
      </c>
      <c r="G782" s="12" t="s">
        <v>20</v>
      </c>
      <c r="H782" s="12" t="s">
        <v>519</v>
      </c>
      <c r="I782" s="14">
        <v>45322</v>
      </c>
      <c r="J782" s="12" t="s">
        <v>955</v>
      </c>
    </row>
    <row r="783" spans="1:10" s="15" customFormat="1" x14ac:dyDescent="0.15">
      <c r="A783" s="11">
        <v>45328</v>
      </c>
      <c r="B783" s="12" t="s">
        <v>956</v>
      </c>
      <c r="C783" s="12" t="s">
        <v>956</v>
      </c>
      <c r="D783" s="13" t="str">
        <f>HYPERLINK("https://www.marklines.com/en/global/541","Daihatsu Motor, Kyoto (Oyamazaki) Plant")</f>
        <v>Daihatsu Motor, Kyoto (Oyamazaki) Plant</v>
      </c>
      <c r="E783" s="12" t="s">
        <v>518</v>
      </c>
      <c r="F783" s="12" t="s">
        <v>18</v>
      </c>
      <c r="G783" s="12" t="s">
        <v>20</v>
      </c>
      <c r="H783" s="12" t="s">
        <v>519</v>
      </c>
      <c r="I783" s="14">
        <v>45322</v>
      </c>
      <c r="J783" s="12" t="s">
        <v>955</v>
      </c>
    </row>
    <row r="784" spans="1:10" s="15" customFormat="1" x14ac:dyDescent="0.15">
      <c r="A784" s="11">
        <v>45328</v>
      </c>
      <c r="B784" s="12" t="s">
        <v>956</v>
      </c>
      <c r="C784" s="12" t="s">
        <v>956</v>
      </c>
      <c r="D784" s="13" t="str">
        <f>HYPERLINK("https://www.marklines.com/en/global/543","Daihatsu Motor, Shiga (Ryuo) Plant")</f>
        <v>Daihatsu Motor, Shiga (Ryuo) Plant</v>
      </c>
      <c r="E784" s="12" t="s">
        <v>513</v>
      </c>
      <c r="F784" s="12" t="s">
        <v>18</v>
      </c>
      <c r="G784" s="12" t="s">
        <v>20</v>
      </c>
      <c r="H784" s="12" t="s">
        <v>514</v>
      </c>
      <c r="I784" s="14">
        <v>45322</v>
      </c>
      <c r="J784" s="12" t="s">
        <v>955</v>
      </c>
    </row>
    <row r="785" spans="1:10" s="15" customFormat="1" x14ac:dyDescent="0.15">
      <c r="A785" s="11">
        <v>45328</v>
      </c>
      <c r="B785" s="12" t="s">
        <v>956</v>
      </c>
      <c r="C785" s="12" t="s">
        <v>956</v>
      </c>
      <c r="D785" s="13" t="str">
        <f>HYPERLINK("https://www.marklines.com/en/global/547","Daihatsu Motor Kyushu, Oita (Nakatsu) Plant")</f>
        <v>Daihatsu Motor Kyushu, Oita (Nakatsu) Plant</v>
      </c>
      <c r="E785" s="12" t="s">
        <v>520</v>
      </c>
      <c r="F785" s="12" t="s">
        <v>18</v>
      </c>
      <c r="G785" s="12" t="s">
        <v>20</v>
      </c>
      <c r="H785" s="12" t="s">
        <v>521</v>
      </c>
      <c r="I785" s="14">
        <v>45322</v>
      </c>
      <c r="J785" s="12" t="s">
        <v>955</v>
      </c>
    </row>
    <row r="786" spans="1:10" s="15" customFormat="1" x14ac:dyDescent="0.15">
      <c r="A786" s="11">
        <v>45328</v>
      </c>
      <c r="B786" s="12" t="s">
        <v>12</v>
      </c>
      <c r="C786" s="12" t="s">
        <v>12</v>
      </c>
      <c r="D786" s="13" t="str">
        <f>HYPERLINK("https://www.marklines.com/en/global/10593","Guangxi Yuchai New Energy Vehicle Co., Ltd.")</f>
        <v>Guangxi Yuchai New Energy Vehicle Co., Ltd.</v>
      </c>
      <c r="E786" s="12" t="s">
        <v>957</v>
      </c>
      <c r="F786" s="12" t="s">
        <v>18</v>
      </c>
      <c r="G786" s="12" t="s">
        <v>24</v>
      </c>
      <c r="H786" s="12" t="s">
        <v>326</v>
      </c>
      <c r="I786" s="14">
        <v>45322</v>
      </c>
      <c r="J786" s="12" t="s">
        <v>958</v>
      </c>
    </row>
    <row r="787" spans="1:10" s="15" customFormat="1" x14ac:dyDescent="0.15">
      <c r="A787" s="11">
        <v>45328</v>
      </c>
      <c r="B787" s="12" t="s">
        <v>78</v>
      </c>
      <c r="C787" s="12" t="s">
        <v>78</v>
      </c>
      <c r="D787" s="13" t="str">
        <f>HYPERLINK("https://www.marklines.com/en/global/505","Mazda Motor, Hofu Plant")</f>
        <v>Mazda Motor, Hofu Plant</v>
      </c>
      <c r="E787" s="12" t="s">
        <v>527</v>
      </c>
      <c r="F787" s="12" t="s">
        <v>18</v>
      </c>
      <c r="G787" s="12" t="s">
        <v>20</v>
      </c>
      <c r="H787" s="12" t="s">
        <v>528</v>
      </c>
      <c r="I787" s="14">
        <v>45321</v>
      </c>
      <c r="J787" s="12" t="s">
        <v>959</v>
      </c>
    </row>
    <row r="788" spans="1:10" s="15" customFormat="1" x14ac:dyDescent="0.15">
      <c r="A788" s="11">
        <v>45328</v>
      </c>
      <c r="B788" s="12" t="s">
        <v>346</v>
      </c>
      <c r="C788" s="12" t="s">
        <v>346</v>
      </c>
      <c r="D788" s="13" t="str">
        <f>HYPERLINK("https://www.marklines.com/en/global/517","Mitsubishi Motors, Mizushima Plant")</f>
        <v>Mitsubishi Motors, Mizushima Plant</v>
      </c>
      <c r="E788" s="12" t="s">
        <v>960</v>
      </c>
      <c r="F788" s="12" t="s">
        <v>18</v>
      </c>
      <c r="G788" s="12" t="s">
        <v>20</v>
      </c>
      <c r="H788" s="12" t="s">
        <v>961</v>
      </c>
      <c r="I788" s="14">
        <v>45321</v>
      </c>
      <c r="J788" s="12" t="s">
        <v>962</v>
      </c>
    </row>
    <row r="789" spans="1:10" s="15" customFormat="1" x14ac:dyDescent="0.15">
      <c r="A789" s="11">
        <v>45328</v>
      </c>
      <c r="B789" s="12" t="s">
        <v>298</v>
      </c>
      <c r="C789" s="12" t="s">
        <v>299</v>
      </c>
      <c r="D789" s="13" t="str">
        <f>HYPERLINK("https://www.marklines.com/en/global/9928","Lithium Energy Japan Ltd (LEJ), Ritto Plant")</f>
        <v>Lithium Energy Japan Ltd (LEJ), Ritto Plant</v>
      </c>
      <c r="E789" s="12" t="s">
        <v>963</v>
      </c>
      <c r="F789" s="12" t="s">
        <v>18</v>
      </c>
      <c r="G789" s="12" t="s">
        <v>20</v>
      </c>
      <c r="H789" s="12" t="s">
        <v>514</v>
      </c>
      <c r="I789" s="14">
        <v>45320</v>
      </c>
      <c r="J789" s="12" t="s">
        <v>964</v>
      </c>
    </row>
    <row r="790" spans="1:10" s="15" customFormat="1" x14ac:dyDescent="0.15">
      <c r="A790" s="11">
        <v>45328</v>
      </c>
      <c r="B790" s="12" t="s">
        <v>346</v>
      </c>
      <c r="C790" s="12" t="s">
        <v>346</v>
      </c>
      <c r="D790" s="13" t="str">
        <f>HYPERLINK("https://www.marklines.com/en/global/10401","AESC UK Ltd., Sunderland Plant (formerly Envision AESC UK Ltd.)")</f>
        <v>AESC UK Ltd., Sunderland Plant (formerly Envision AESC UK Ltd.)</v>
      </c>
      <c r="E790" s="12" t="s">
        <v>965</v>
      </c>
      <c r="F790" s="12" t="s">
        <v>16</v>
      </c>
      <c r="G790" s="12" t="s">
        <v>233</v>
      </c>
      <c r="H790" s="12"/>
      <c r="I790" s="14">
        <v>45320</v>
      </c>
      <c r="J790" s="12" t="s">
        <v>966</v>
      </c>
    </row>
    <row r="791" spans="1:10" s="15" customFormat="1" x14ac:dyDescent="0.15">
      <c r="A791" s="11">
        <v>45328</v>
      </c>
      <c r="B791" s="12" t="s">
        <v>12</v>
      </c>
      <c r="C791" s="12" t="s">
        <v>573</v>
      </c>
      <c r="D791" s="13" t="str">
        <f>HYPERLINK("https://www.marklines.com/en/global/757","JSC Moscow Automobile Plant Moskvich, Moscow Plant (former CJSC Renault Russia)")</f>
        <v>JSC Moscow Automobile Plant Moskvich, Moscow Plant (former CJSC Renault Russia)</v>
      </c>
      <c r="E791" s="12" t="s">
        <v>45</v>
      </c>
      <c r="F791" s="12" t="s">
        <v>17</v>
      </c>
      <c r="G791" s="12" t="s">
        <v>13</v>
      </c>
      <c r="H791" s="12"/>
      <c r="I791" s="14">
        <v>45317</v>
      </c>
      <c r="J791" s="12" t="s">
        <v>967</v>
      </c>
    </row>
    <row r="792" spans="1:10" s="15" customFormat="1" x14ac:dyDescent="0.15">
      <c r="A792" s="11">
        <v>45327</v>
      </c>
      <c r="B792" s="12" t="s">
        <v>27</v>
      </c>
      <c r="C792" s="12" t="s">
        <v>968</v>
      </c>
      <c r="D792" s="13" t="str">
        <f>HYPERLINK("https://www.marklines.com/en/global/2285","BMW (UK), Oxford Plant")</f>
        <v>BMW (UK), Oxford Plant</v>
      </c>
      <c r="E792" s="12" t="s">
        <v>969</v>
      </c>
      <c r="F792" s="12" t="s">
        <v>16</v>
      </c>
      <c r="G792" s="12" t="s">
        <v>233</v>
      </c>
      <c r="H792" s="12"/>
      <c r="I792" s="14">
        <v>45327</v>
      </c>
      <c r="J792" s="12" t="s">
        <v>970</v>
      </c>
    </row>
    <row r="793" spans="1:10" s="15" customFormat="1" x14ac:dyDescent="0.15">
      <c r="A793" s="11">
        <v>45327</v>
      </c>
      <c r="B793" s="12" t="s">
        <v>915</v>
      </c>
      <c r="C793" s="12" t="s">
        <v>915</v>
      </c>
      <c r="D793" s="13" t="str">
        <f>HYPERLINK("https://www.marklines.com/en/global/671","ZAO AvtoTOR, Kaliningrad Plant")</f>
        <v>ZAO AvtoTOR, Kaliningrad Plant</v>
      </c>
      <c r="E793" s="12" t="s">
        <v>717</v>
      </c>
      <c r="F793" s="12" t="s">
        <v>17</v>
      </c>
      <c r="G793" s="12" t="s">
        <v>13</v>
      </c>
      <c r="H793" s="12"/>
      <c r="I793" s="14">
        <v>45324</v>
      </c>
      <c r="J793" s="12" t="s">
        <v>971</v>
      </c>
    </row>
    <row r="794" spans="1:10" s="15" customFormat="1" x14ac:dyDescent="0.15">
      <c r="A794" s="11">
        <v>45327</v>
      </c>
      <c r="B794" s="12" t="s">
        <v>51</v>
      </c>
      <c r="C794" s="12" t="s">
        <v>51</v>
      </c>
      <c r="D794" s="13" t="str">
        <f>HYPERLINK("https://www.marklines.com/en/global/9503","Shanghai NIO Automobile Co., Ltd.")</f>
        <v>Shanghai NIO Automobile Co., Ltd.</v>
      </c>
      <c r="E794" s="12" t="s">
        <v>83</v>
      </c>
      <c r="F794" s="12" t="s">
        <v>18</v>
      </c>
      <c r="G794" s="12" t="s">
        <v>24</v>
      </c>
      <c r="H794" s="12" t="s">
        <v>56</v>
      </c>
      <c r="I794" s="14">
        <v>45322</v>
      </c>
      <c r="J794" s="12" t="s">
        <v>972</v>
      </c>
    </row>
    <row r="795" spans="1:10" s="15" customFormat="1" x14ac:dyDescent="0.15">
      <c r="A795" s="11">
        <v>45327</v>
      </c>
      <c r="B795" s="12" t="s">
        <v>51</v>
      </c>
      <c r="C795" s="12" t="s">
        <v>51</v>
      </c>
      <c r="D795" s="13" t="str">
        <f>HYPERLINK("https://www.marklines.com/en/global/9503","Shanghai NIO Automobile Co., Ltd.")</f>
        <v>Shanghai NIO Automobile Co., Ltd.</v>
      </c>
      <c r="E795" s="12" t="s">
        <v>83</v>
      </c>
      <c r="F795" s="12" t="s">
        <v>18</v>
      </c>
      <c r="G795" s="12" t="s">
        <v>24</v>
      </c>
      <c r="H795" s="12" t="s">
        <v>56</v>
      </c>
      <c r="I795" s="14">
        <v>45321</v>
      </c>
      <c r="J795" s="12" t="s">
        <v>973</v>
      </c>
    </row>
    <row r="796" spans="1:10" s="15" customFormat="1" x14ac:dyDescent="0.15">
      <c r="A796" s="11">
        <v>45327</v>
      </c>
      <c r="B796" s="12" t="s">
        <v>12</v>
      </c>
      <c r="C796" s="12" t="s">
        <v>12</v>
      </c>
      <c r="D796" s="13" t="str">
        <f>HYPERLINK("https://www.marklines.com/en/global/10613","Derry New Energy Automobile Co., Ltd. (formerly Henan Derry New Energy Automobile Co., Ltd.)")</f>
        <v>Derry New Energy Automobile Co., Ltd. (formerly Henan Derry New Energy Automobile Co., Ltd.)</v>
      </c>
      <c r="E796" s="12" t="s">
        <v>974</v>
      </c>
      <c r="F796" s="12" t="s">
        <v>18</v>
      </c>
      <c r="G796" s="12" t="s">
        <v>24</v>
      </c>
      <c r="H796" s="12" t="s">
        <v>401</v>
      </c>
      <c r="I796" s="14">
        <v>45321</v>
      </c>
      <c r="J796" s="12" t="s">
        <v>975</v>
      </c>
    </row>
    <row r="797" spans="1:10" s="15" customFormat="1" x14ac:dyDescent="0.15">
      <c r="A797" s="11">
        <v>45326</v>
      </c>
      <c r="B797" s="12" t="s">
        <v>248</v>
      </c>
      <c r="C797" s="12" t="s">
        <v>248</v>
      </c>
      <c r="D797" s="13" t="str">
        <f>HYPERLINK("https://www.marklines.com/en/global/3609","SAIC Motor Corporation Limited")</f>
        <v>SAIC Motor Corporation Limited</v>
      </c>
      <c r="E797" s="12" t="s">
        <v>976</v>
      </c>
      <c r="F797" s="12" t="s">
        <v>18</v>
      </c>
      <c r="G797" s="12" t="s">
        <v>24</v>
      </c>
      <c r="H797" s="12" t="s">
        <v>56</v>
      </c>
      <c r="I797" s="14">
        <v>45045</v>
      </c>
      <c r="J797" s="12" t="s">
        <v>977</v>
      </c>
    </row>
    <row r="798" spans="1:10" s="15" customFormat="1" x14ac:dyDescent="0.15">
      <c r="A798" s="11">
        <v>45326</v>
      </c>
      <c r="B798" s="12" t="s">
        <v>248</v>
      </c>
      <c r="C798" s="12" t="s">
        <v>248</v>
      </c>
      <c r="D798" s="13" t="str">
        <f>HYPERLINK("https://www.marklines.com/en/global/3609","SAIC Motor Corporation Limited")</f>
        <v>SAIC Motor Corporation Limited</v>
      </c>
      <c r="E798" s="12" t="s">
        <v>976</v>
      </c>
      <c r="F798" s="12" t="s">
        <v>18</v>
      </c>
      <c r="G798" s="12" t="s">
        <v>24</v>
      </c>
      <c r="H798" s="12" t="s">
        <v>56</v>
      </c>
      <c r="I798" s="14">
        <v>45045</v>
      </c>
      <c r="J798" s="12" t="s">
        <v>978</v>
      </c>
    </row>
    <row r="799" spans="1:10" s="15" customFormat="1" x14ac:dyDescent="0.15">
      <c r="A799" s="11">
        <v>45326</v>
      </c>
      <c r="B799" s="12" t="s">
        <v>248</v>
      </c>
      <c r="C799" s="12" t="s">
        <v>248</v>
      </c>
      <c r="D799" s="13" t="str">
        <f>HYPERLINK("https://www.marklines.com/en/global/3611","SAIC Motor Passenger Vehicle Co., Ltd. Lingang Plant")</f>
        <v>SAIC Motor Passenger Vehicle Co., Ltd. Lingang Plant</v>
      </c>
      <c r="E799" s="12" t="s">
        <v>712</v>
      </c>
      <c r="F799" s="12" t="s">
        <v>18</v>
      </c>
      <c r="G799" s="12" t="s">
        <v>24</v>
      </c>
      <c r="H799" s="12" t="s">
        <v>56</v>
      </c>
      <c r="I799" s="14">
        <v>45045</v>
      </c>
      <c r="J799" s="12" t="s">
        <v>978</v>
      </c>
    </row>
    <row r="800" spans="1:10" s="15" customFormat="1" x14ac:dyDescent="0.15">
      <c r="A800" s="11">
        <v>45326</v>
      </c>
      <c r="B800" s="12" t="s">
        <v>28</v>
      </c>
      <c r="C800" s="12" t="s">
        <v>35</v>
      </c>
      <c r="D800" s="13" t="str">
        <f>HYPERLINK("https://www.marklines.com/en/global/3615","SAIC Volkswagen Automotive Co., Ltd.")</f>
        <v>SAIC Volkswagen Automotive Co., Ltd.</v>
      </c>
      <c r="E800" s="12" t="s">
        <v>116</v>
      </c>
      <c r="F800" s="12" t="s">
        <v>18</v>
      </c>
      <c r="G800" s="12" t="s">
        <v>24</v>
      </c>
      <c r="H800" s="12" t="s">
        <v>56</v>
      </c>
      <c r="I800" s="14">
        <v>45045</v>
      </c>
      <c r="J800" s="12" t="s">
        <v>979</v>
      </c>
    </row>
    <row r="801" spans="1:10" s="15" customFormat="1" x14ac:dyDescent="0.15">
      <c r="A801" s="11">
        <v>45326</v>
      </c>
      <c r="B801" s="12" t="s">
        <v>248</v>
      </c>
      <c r="C801" s="12" t="s">
        <v>248</v>
      </c>
      <c r="D801" s="13" t="str">
        <f>HYPERLINK("https://www.marklines.com/en/global/3615","SAIC Volkswagen Automotive Co., Ltd.")</f>
        <v>SAIC Volkswagen Automotive Co., Ltd.</v>
      </c>
      <c r="E801" s="12" t="s">
        <v>116</v>
      </c>
      <c r="F801" s="12" t="s">
        <v>18</v>
      </c>
      <c r="G801" s="12" t="s">
        <v>24</v>
      </c>
      <c r="H801" s="12" t="s">
        <v>56</v>
      </c>
      <c r="I801" s="14">
        <v>45045</v>
      </c>
      <c r="J801" s="12" t="s">
        <v>979</v>
      </c>
    </row>
    <row r="802" spans="1:10" s="15" customFormat="1" x14ac:dyDescent="0.15">
      <c r="A802" s="11">
        <v>45325</v>
      </c>
      <c r="B802" s="12" t="s">
        <v>21</v>
      </c>
      <c r="C802" s="12" t="s">
        <v>21</v>
      </c>
      <c r="D802" s="13" t="str">
        <f>HYPERLINK("https://www.marklines.com/en/global/10376","Ford Motor, Rouge Electric Vehicle Center")</f>
        <v>Ford Motor, Rouge Electric Vehicle Center</v>
      </c>
      <c r="E802" s="12" t="s">
        <v>625</v>
      </c>
      <c r="F802" s="12" t="s">
        <v>15</v>
      </c>
      <c r="G802" s="12" t="s">
        <v>11</v>
      </c>
      <c r="H802" s="12" t="s">
        <v>505</v>
      </c>
      <c r="I802" s="14">
        <v>45324</v>
      </c>
      <c r="J802" s="12" t="s">
        <v>980</v>
      </c>
    </row>
    <row r="803" spans="1:10" s="15" customFormat="1" x14ac:dyDescent="0.15">
      <c r="A803" s="11">
        <v>45325</v>
      </c>
      <c r="B803" s="12" t="s">
        <v>21</v>
      </c>
      <c r="C803" s="12" t="s">
        <v>21</v>
      </c>
      <c r="D803" s="13" t="str">
        <f>HYPERLINK("https://www.marklines.com/en/global/2559","Ford Motor, Dearborn Truck Plant")</f>
        <v>Ford Motor, Dearborn Truck Plant</v>
      </c>
      <c r="E803" s="12" t="s">
        <v>981</v>
      </c>
      <c r="F803" s="12" t="s">
        <v>15</v>
      </c>
      <c r="G803" s="12" t="s">
        <v>11</v>
      </c>
      <c r="H803" s="12" t="s">
        <v>505</v>
      </c>
      <c r="I803" s="14">
        <v>45324</v>
      </c>
      <c r="J803" s="12" t="s">
        <v>980</v>
      </c>
    </row>
    <row r="804" spans="1:10" s="15" customFormat="1" x14ac:dyDescent="0.15">
      <c r="A804" s="11">
        <v>45325</v>
      </c>
      <c r="B804" s="12" t="s">
        <v>21</v>
      </c>
      <c r="C804" s="12" t="s">
        <v>21</v>
      </c>
      <c r="D804" s="13" t="str">
        <f>HYPERLINK("https://www.marklines.com/en/global/2599","Ford Motor, Kansas City Assembly Plant")</f>
        <v>Ford Motor, Kansas City Assembly Plant</v>
      </c>
      <c r="E804" s="12" t="s">
        <v>982</v>
      </c>
      <c r="F804" s="12" t="s">
        <v>15</v>
      </c>
      <c r="G804" s="12" t="s">
        <v>11</v>
      </c>
      <c r="H804" s="12" t="s">
        <v>983</v>
      </c>
      <c r="I804" s="14">
        <v>45324</v>
      </c>
      <c r="J804" s="12" t="s">
        <v>980</v>
      </c>
    </row>
    <row r="805" spans="1:10" s="15" customFormat="1" x14ac:dyDescent="0.15">
      <c r="A805" s="11">
        <v>45325</v>
      </c>
      <c r="B805" s="12" t="s">
        <v>65</v>
      </c>
      <c r="C805" s="12" t="s">
        <v>65</v>
      </c>
      <c r="D805" s="13" t="str">
        <f>HYPERLINK("https://www.marklines.com/en/global/3807","Zhejiang Geely Holding Group Co., Ltd.")</f>
        <v>Zhejiang Geely Holding Group Co., Ltd.</v>
      </c>
      <c r="E805" s="12" t="s">
        <v>229</v>
      </c>
      <c r="F805" s="12" t="s">
        <v>18</v>
      </c>
      <c r="G805" s="12" t="s">
        <v>24</v>
      </c>
      <c r="H805" s="12" t="s">
        <v>61</v>
      </c>
      <c r="I805" s="14">
        <v>45323</v>
      </c>
      <c r="J805" s="12" t="s">
        <v>984</v>
      </c>
    </row>
    <row r="806" spans="1:10" s="15" customFormat="1" x14ac:dyDescent="0.15">
      <c r="A806" s="11">
        <v>45325</v>
      </c>
      <c r="B806" s="12" t="s">
        <v>65</v>
      </c>
      <c r="C806" s="12" t="s">
        <v>312</v>
      </c>
      <c r="D806" s="13" t="str">
        <f>HYPERLINK("https://www.marklines.com/en/global/2727","Volvo Car Corporation (Volvo Personvagnar AB)")</f>
        <v>Volvo Car Corporation (Volvo Personvagnar AB)</v>
      </c>
      <c r="E806" s="12" t="s">
        <v>313</v>
      </c>
      <c r="F806" s="12" t="s">
        <v>16</v>
      </c>
      <c r="G806" s="12" t="s">
        <v>314</v>
      </c>
      <c r="H806" s="12"/>
      <c r="I806" s="14">
        <v>45323</v>
      </c>
      <c r="J806" s="12" t="s">
        <v>984</v>
      </c>
    </row>
    <row r="807" spans="1:10" s="15" customFormat="1" x14ac:dyDescent="0.15">
      <c r="A807" s="11">
        <v>45325</v>
      </c>
      <c r="B807" s="12" t="s">
        <v>65</v>
      </c>
      <c r="C807" s="12" t="s">
        <v>316</v>
      </c>
      <c r="D807" s="13" t="str">
        <f>HYPERLINK("https://www.marklines.com/en/global/2729","Volvo Cars, Torslanda, Goteborg Plant")</f>
        <v>Volvo Cars, Torslanda, Goteborg Plant</v>
      </c>
      <c r="E807" s="12" t="s">
        <v>985</v>
      </c>
      <c r="F807" s="12" t="s">
        <v>16</v>
      </c>
      <c r="G807" s="12" t="s">
        <v>314</v>
      </c>
      <c r="H807" s="12"/>
      <c r="I807" s="14">
        <v>45323</v>
      </c>
      <c r="J807" s="12" t="s">
        <v>984</v>
      </c>
    </row>
    <row r="808" spans="1:10" s="15" customFormat="1" x14ac:dyDescent="0.15">
      <c r="A808" s="11">
        <v>45325</v>
      </c>
      <c r="B808" s="12" t="s">
        <v>65</v>
      </c>
      <c r="C808" s="12" t="s">
        <v>316</v>
      </c>
      <c r="D808" s="13" t="str">
        <f>HYPERLINK("https://www.marklines.com/en/global/1512","Volvo Cars N.V., Ghent Plant")</f>
        <v>Volvo Cars N.V., Ghent Plant</v>
      </c>
      <c r="E808" s="12" t="s">
        <v>436</v>
      </c>
      <c r="F808" s="12" t="s">
        <v>16</v>
      </c>
      <c r="G808" s="12" t="s">
        <v>437</v>
      </c>
      <c r="H808" s="12"/>
      <c r="I808" s="14">
        <v>45323</v>
      </c>
      <c r="J808" s="12" t="s">
        <v>984</v>
      </c>
    </row>
    <row r="809" spans="1:10" s="15" customFormat="1" x14ac:dyDescent="0.15">
      <c r="A809" s="11">
        <v>45325</v>
      </c>
      <c r="B809" s="12" t="s">
        <v>65</v>
      </c>
      <c r="C809" s="12" t="s">
        <v>316</v>
      </c>
      <c r="D809" s="13" t="str">
        <f>HYPERLINK("https://www.marklines.com/en/global/10761","Polestar Holding AB")</f>
        <v>Polestar Holding AB</v>
      </c>
      <c r="E809" s="12" t="s">
        <v>317</v>
      </c>
      <c r="F809" s="12" t="s">
        <v>16</v>
      </c>
      <c r="G809" s="12" t="s">
        <v>314</v>
      </c>
      <c r="H809" s="12"/>
      <c r="I809" s="14">
        <v>45323</v>
      </c>
      <c r="J809" s="12" t="s">
        <v>984</v>
      </c>
    </row>
    <row r="810" spans="1:10" s="15" customFormat="1" x14ac:dyDescent="0.15">
      <c r="A810" s="11">
        <v>45325</v>
      </c>
      <c r="B810" s="12" t="s">
        <v>582</v>
      </c>
      <c r="C810" s="12" t="s">
        <v>582</v>
      </c>
      <c r="D810" s="13" t="str">
        <f>HYPERLINK("https://www.marklines.com/en/global/10471","Proterra, Los Angeles electric bus manufacturing facility ")</f>
        <v xml:space="preserve">Proterra, Los Angeles electric bus manufacturing facility </v>
      </c>
      <c r="E810" s="12" t="s">
        <v>986</v>
      </c>
      <c r="F810" s="12" t="s">
        <v>15</v>
      </c>
      <c r="G810" s="12" t="s">
        <v>11</v>
      </c>
      <c r="H810" s="12" t="s">
        <v>49</v>
      </c>
      <c r="I810" s="14">
        <v>45323</v>
      </c>
      <c r="J810" s="12" t="s">
        <v>987</v>
      </c>
    </row>
    <row r="811" spans="1:10" s="15" customFormat="1" x14ac:dyDescent="0.15">
      <c r="A811" s="11">
        <v>45325</v>
      </c>
      <c r="B811" s="12" t="s">
        <v>582</v>
      </c>
      <c r="C811" s="12" t="s">
        <v>582</v>
      </c>
      <c r="D811" s="13" t="str">
        <f>HYPERLINK("https://www.marklines.com/en/global/10462","Proterra, Greenville electric bus manufacturing facility ")</f>
        <v xml:space="preserve">Proterra, Greenville electric bus manufacturing facility </v>
      </c>
      <c r="E811" s="12" t="s">
        <v>988</v>
      </c>
      <c r="F811" s="12" t="s">
        <v>15</v>
      </c>
      <c r="G811" s="12" t="s">
        <v>11</v>
      </c>
      <c r="H811" s="12" t="s">
        <v>627</v>
      </c>
      <c r="I811" s="14">
        <v>45323</v>
      </c>
      <c r="J811" s="12" t="s">
        <v>987</v>
      </c>
    </row>
    <row r="812" spans="1:10" s="15" customFormat="1" x14ac:dyDescent="0.15">
      <c r="A812" s="11">
        <v>45325</v>
      </c>
      <c r="B812" s="12" t="s">
        <v>12</v>
      </c>
      <c r="C812" s="12" t="s">
        <v>989</v>
      </c>
      <c r="D812" s="13" t="str">
        <f>HYPERLINK("https://www.marklines.com/en/global/10471","Proterra, Los Angeles electric bus manufacturing facility ")</f>
        <v xml:space="preserve">Proterra, Los Angeles electric bus manufacturing facility </v>
      </c>
      <c r="E812" s="12" t="s">
        <v>986</v>
      </c>
      <c r="F812" s="12" t="s">
        <v>15</v>
      </c>
      <c r="G812" s="12" t="s">
        <v>11</v>
      </c>
      <c r="H812" s="12" t="s">
        <v>49</v>
      </c>
      <c r="I812" s="14">
        <v>45323</v>
      </c>
      <c r="J812" s="12" t="s">
        <v>987</v>
      </c>
    </row>
    <row r="813" spans="1:10" s="15" customFormat="1" x14ac:dyDescent="0.15">
      <c r="A813" s="11">
        <v>45325</v>
      </c>
      <c r="B813" s="12" t="s">
        <v>12</v>
      </c>
      <c r="C813" s="12" t="s">
        <v>989</v>
      </c>
      <c r="D813" s="13" t="str">
        <f>HYPERLINK("https://www.marklines.com/en/global/10462","Proterra, Greenville electric bus manufacturing facility ")</f>
        <v xml:space="preserve">Proterra, Greenville electric bus manufacturing facility </v>
      </c>
      <c r="E813" s="12" t="s">
        <v>988</v>
      </c>
      <c r="F813" s="12" t="s">
        <v>15</v>
      </c>
      <c r="G813" s="12" t="s">
        <v>11</v>
      </c>
      <c r="H813" s="12" t="s">
        <v>627</v>
      </c>
      <c r="I813" s="14">
        <v>45323</v>
      </c>
      <c r="J813" s="12" t="s">
        <v>987</v>
      </c>
    </row>
    <row r="814" spans="1:10" s="15" customFormat="1" x14ac:dyDescent="0.15">
      <c r="A814" s="11">
        <v>45324</v>
      </c>
      <c r="B814" s="12" t="s">
        <v>21</v>
      </c>
      <c r="C814" s="12" t="s">
        <v>21</v>
      </c>
      <c r="D814" s="13" t="str">
        <f>HYPERLINK("https://www.marklines.com/en/global/2595","Ford Motor, Chicago Assembly Plant")</f>
        <v>Ford Motor, Chicago Assembly Plant</v>
      </c>
      <c r="E814" s="12" t="s">
        <v>634</v>
      </c>
      <c r="F814" s="12" t="s">
        <v>15</v>
      </c>
      <c r="G814" s="12" t="s">
        <v>11</v>
      </c>
      <c r="H814" s="12" t="s">
        <v>33</v>
      </c>
      <c r="I814" s="14">
        <v>45323</v>
      </c>
      <c r="J814" s="12" t="s">
        <v>635</v>
      </c>
    </row>
    <row r="815" spans="1:10" s="15" customFormat="1" x14ac:dyDescent="0.15">
      <c r="A815" s="11">
        <v>45324</v>
      </c>
      <c r="B815" s="12" t="s">
        <v>27</v>
      </c>
      <c r="C815" s="12" t="s">
        <v>27</v>
      </c>
      <c r="D815" s="13" t="str">
        <f>HYPERLINK("https://www.marklines.com/en/global/1801","BMW Motoren GmbH, Steyr Plant")</f>
        <v>BMW Motoren GmbH, Steyr Plant</v>
      </c>
      <c r="E815" s="12" t="s">
        <v>636</v>
      </c>
      <c r="F815" s="12" t="s">
        <v>16</v>
      </c>
      <c r="G815" s="12" t="s">
        <v>637</v>
      </c>
      <c r="H815" s="12"/>
      <c r="I815" s="14">
        <v>45323</v>
      </c>
      <c r="J815" s="12" t="s">
        <v>638</v>
      </c>
    </row>
    <row r="816" spans="1:10" s="15" customFormat="1" x14ac:dyDescent="0.15">
      <c r="A816" s="11">
        <v>45324</v>
      </c>
      <c r="B816" s="12" t="s">
        <v>639</v>
      </c>
      <c r="C816" s="12" t="s">
        <v>640</v>
      </c>
      <c r="D816" s="13" t="str">
        <f>HYPERLINK("https://www.marklines.com/en/global/997","Proton, Tanjung Malim Plant")</f>
        <v>Proton, Tanjung Malim Plant</v>
      </c>
      <c r="E816" s="12" t="s">
        <v>641</v>
      </c>
      <c r="F816" s="12" t="s">
        <v>29</v>
      </c>
      <c r="G816" s="12" t="s">
        <v>75</v>
      </c>
      <c r="H816" s="12"/>
      <c r="I816" s="14">
        <v>45323</v>
      </c>
      <c r="J816" s="12" t="s">
        <v>642</v>
      </c>
    </row>
    <row r="817" spans="1:10" s="15" customFormat="1" x14ac:dyDescent="0.15">
      <c r="A817" s="11">
        <v>45324</v>
      </c>
      <c r="B817" s="12" t="s">
        <v>248</v>
      </c>
      <c r="C817" s="12" t="s">
        <v>643</v>
      </c>
      <c r="D817" s="13" t="str">
        <f>HYPERLINK("https://www.marklines.com/en/global/3687","SAIC GM Wuling Automobile Co., Ltd. Qingdao Branch (SGMW Qingdao Branch)")</f>
        <v>SAIC GM Wuling Automobile Co., Ltd. Qingdao Branch (SGMW Qingdao Branch)</v>
      </c>
      <c r="E817" s="12" t="s">
        <v>644</v>
      </c>
      <c r="F817" s="12" t="s">
        <v>18</v>
      </c>
      <c r="G817" s="12" t="s">
        <v>24</v>
      </c>
      <c r="H817" s="12" t="s">
        <v>62</v>
      </c>
      <c r="I817" s="14">
        <v>45322</v>
      </c>
      <c r="J817" s="12" t="s">
        <v>645</v>
      </c>
    </row>
    <row r="818" spans="1:10" s="15" customFormat="1" x14ac:dyDescent="0.15">
      <c r="A818" s="11">
        <v>45324</v>
      </c>
      <c r="B818" s="12" t="s">
        <v>350</v>
      </c>
      <c r="C818" s="12" t="s">
        <v>646</v>
      </c>
      <c r="D818" s="13" t="str">
        <f>HYPERLINK("https://www.marklines.com/en/global/867","General Motors Mexico, Ramos Arizpe Plant")</f>
        <v>General Motors Mexico, Ramos Arizpe Plant</v>
      </c>
      <c r="E818" s="12" t="s">
        <v>632</v>
      </c>
      <c r="F818" s="12" t="s">
        <v>15</v>
      </c>
      <c r="G818" s="12" t="s">
        <v>218</v>
      </c>
      <c r="H818" s="12"/>
      <c r="I818" s="14">
        <v>45322</v>
      </c>
      <c r="J818" s="12" t="s">
        <v>647</v>
      </c>
    </row>
    <row r="819" spans="1:10" s="15" customFormat="1" x14ac:dyDescent="0.15">
      <c r="A819" s="11">
        <v>45324</v>
      </c>
      <c r="B819" s="12" t="s">
        <v>30</v>
      </c>
      <c r="C819" s="12" t="s">
        <v>648</v>
      </c>
      <c r="D819" s="13" t="str">
        <f>HYPERLINK("https://www.marklines.com/en/global/9836","Great Wall Motor Co., Ltd. Xushui Branch")</f>
        <v>Great Wall Motor Co., Ltd. Xushui Branch</v>
      </c>
      <c r="E819" s="12" t="s">
        <v>649</v>
      </c>
      <c r="F819" s="12" t="s">
        <v>18</v>
      </c>
      <c r="G819" s="12" t="s">
        <v>24</v>
      </c>
      <c r="H819" s="12" t="s">
        <v>76</v>
      </c>
      <c r="I819" s="14">
        <v>45321</v>
      </c>
      <c r="J819" s="12" t="s">
        <v>650</v>
      </c>
    </row>
    <row r="820" spans="1:10" s="15" customFormat="1" x14ac:dyDescent="0.15">
      <c r="A820" s="11">
        <v>45324</v>
      </c>
      <c r="B820" s="12" t="s">
        <v>30</v>
      </c>
      <c r="C820" s="12" t="s">
        <v>30</v>
      </c>
      <c r="D820" s="13" t="str">
        <f>HYPERLINK("https://www.marklines.com/en/global/3533","Great Wall Motor Company Limited (GWM)")</f>
        <v>Great Wall Motor Company Limited (GWM)</v>
      </c>
      <c r="E820" s="12" t="s">
        <v>442</v>
      </c>
      <c r="F820" s="12" t="s">
        <v>18</v>
      </c>
      <c r="G820" s="12" t="s">
        <v>24</v>
      </c>
      <c r="H820" s="12" t="s">
        <v>443</v>
      </c>
      <c r="I820" s="14">
        <v>45321</v>
      </c>
      <c r="J820" s="12" t="s">
        <v>651</v>
      </c>
    </row>
    <row r="821" spans="1:10" s="15" customFormat="1" x14ac:dyDescent="0.15">
      <c r="A821" s="11">
        <v>45324</v>
      </c>
      <c r="B821" s="12" t="s">
        <v>571</v>
      </c>
      <c r="C821" s="12" t="s">
        <v>652</v>
      </c>
      <c r="D821" s="13" t="str">
        <f>HYPERLINK("https://www.marklines.com/en/global/9824","GAC Aion New Energy Automobile Co., Ltd.")</f>
        <v>GAC Aion New Energy Automobile Co., Ltd.</v>
      </c>
      <c r="E821" s="12" t="s">
        <v>653</v>
      </c>
      <c r="F821" s="12" t="s">
        <v>18</v>
      </c>
      <c r="G821" s="12" t="s">
        <v>24</v>
      </c>
      <c r="H821" s="12" t="s">
        <v>63</v>
      </c>
      <c r="I821" s="14">
        <v>45321</v>
      </c>
      <c r="J821" s="12" t="s">
        <v>654</v>
      </c>
    </row>
    <row r="822" spans="1:10" s="15" customFormat="1" x14ac:dyDescent="0.15">
      <c r="A822" s="11">
        <v>45324</v>
      </c>
      <c r="B822" s="12" t="s">
        <v>571</v>
      </c>
      <c r="C822" s="12" t="s">
        <v>652</v>
      </c>
      <c r="D822" s="13" t="str">
        <f>HYPERLINK("https://www.marklines.com/en/global/10659","Ruipai Power Technology Co., Ltd.")</f>
        <v>Ruipai Power Technology Co., Ltd.</v>
      </c>
      <c r="E822" s="12" t="s">
        <v>655</v>
      </c>
      <c r="F822" s="12" t="s">
        <v>18</v>
      </c>
      <c r="G822" s="12" t="s">
        <v>24</v>
      </c>
      <c r="H822" s="12" t="s">
        <v>63</v>
      </c>
      <c r="I822" s="14">
        <v>45321</v>
      </c>
      <c r="J822" s="12" t="s">
        <v>654</v>
      </c>
    </row>
    <row r="823" spans="1:10" s="15" customFormat="1" x14ac:dyDescent="0.15">
      <c r="A823" s="11">
        <v>45324</v>
      </c>
      <c r="B823" s="12" t="s">
        <v>19</v>
      </c>
      <c r="C823" s="12" t="s">
        <v>19</v>
      </c>
      <c r="D823" s="13" t="str">
        <f>HYPERLINK("https://www.marklines.com/en/global/1287","Toyota Kirloskar Motor India (TKM), Bangalore Plant")</f>
        <v>Toyota Kirloskar Motor India (TKM), Bangalore Plant</v>
      </c>
      <c r="E823" s="12" t="s">
        <v>656</v>
      </c>
      <c r="F823" s="12" t="s">
        <v>22</v>
      </c>
      <c r="G823" s="12" t="s">
        <v>23</v>
      </c>
      <c r="H823" s="12" t="s">
        <v>657</v>
      </c>
      <c r="I823" s="14">
        <v>45320</v>
      </c>
      <c r="J823" s="12" t="s">
        <v>658</v>
      </c>
    </row>
    <row r="824" spans="1:10" s="15" customFormat="1" x14ac:dyDescent="0.15">
      <c r="A824" s="11">
        <v>45324</v>
      </c>
      <c r="B824" s="12" t="s">
        <v>65</v>
      </c>
      <c r="C824" s="12" t="s">
        <v>659</v>
      </c>
      <c r="D824" s="13" t="str">
        <f>HYPERLINK("https://www.marklines.com/en/global/3895","Hanma Technology Group Co.,Ltd.  (formerly Hualing Xingma Automobile (Group) Co., Ltd.)")</f>
        <v>Hanma Technology Group Co.,Ltd.  (formerly Hualing Xingma Automobile (Group) Co., Ltd.)</v>
      </c>
      <c r="E824" s="12" t="s">
        <v>660</v>
      </c>
      <c r="F824" s="12" t="s">
        <v>18</v>
      </c>
      <c r="G824" s="12" t="s">
        <v>24</v>
      </c>
      <c r="H824" s="12" t="s">
        <v>55</v>
      </c>
      <c r="I824" s="14">
        <v>45318</v>
      </c>
      <c r="J824" s="12" t="s">
        <v>661</v>
      </c>
    </row>
    <row r="825" spans="1:10" s="15" customFormat="1" x14ac:dyDescent="0.15">
      <c r="A825" s="11">
        <v>45324</v>
      </c>
      <c r="B825" s="12" t="s">
        <v>57</v>
      </c>
      <c r="C825" s="12" t="s">
        <v>57</v>
      </c>
      <c r="D825" s="13" t="str">
        <f>HYPERLINK("https://www.marklines.com/en/global/9500","BYD Co., Ltd.")</f>
        <v>BYD Co., Ltd.</v>
      </c>
      <c r="E825" s="12" t="s">
        <v>120</v>
      </c>
      <c r="F825" s="12" t="s">
        <v>18</v>
      </c>
      <c r="G825" s="12" t="s">
        <v>24</v>
      </c>
      <c r="H825" s="12" t="s">
        <v>63</v>
      </c>
      <c r="I825" s="14">
        <v>45014</v>
      </c>
      <c r="J825" s="12" t="s">
        <v>662</v>
      </c>
    </row>
    <row r="826" spans="1:10" s="15" customFormat="1" x14ac:dyDescent="0.15">
      <c r="A826" s="11">
        <v>45324</v>
      </c>
      <c r="B826" s="12" t="s">
        <v>57</v>
      </c>
      <c r="C826" s="12" t="s">
        <v>57</v>
      </c>
      <c r="D826" s="13" t="str">
        <f>HYPERLINK("https://www.marklines.com/en/global/9500","BYD Co., Ltd.")</f>
        <v>BYD Co., Ltd.</v>
      </c>
      <c r="E826" s="12" t="s">
        <v>120</v>
      </c>
      <c r="F826" s="12" t="s">
        <v>18</v>
      </c>
      <c r="G826" s="12" t="s">
        <v>24</v>
      </c>
      <c r="H826" s="12" t="s">
        <v>63</v>
      </c>
      <c r="I826" s="14">
        <v>45014</v>
      </c>
      <c r="J826" s="12" t="s">
        <v>663</v>
      </c>
    </row>
    <row r="827" spans="1:10" s="15" customFormat="1" x14ac:dyDescent="0.15">
      <c r="A827" s="11">
        <v>45324</v>
      </c>
      <c r="B827" s="12" t="s">
        <v>57</v>
      </c>
      <c r="C827" s="12" t="s">
        <v>57</v>
      </c>
      <c r="D827" s="13" t="str">
        <f>HYPERLINK("https://www.marklines.com/en/global/9500","BYD Co., Ltd.")</f>
        <v>BYD Co., Ltd.</v>
      </c>
      <c r="E827" s="12" t="s">
        <v>120</v>
      </c>
      <c r="F827" s="12" t="s">
        <v>18</v>
      </c>
      <c r="G827" s="12" t="s">
        <v>24</v>
      </c>
      <c r="H827" s="12" t="s">
        <v>63</v>
      </c>
      <c r="I827" s="14">
        <v>45014</v>
      </c>
      <c r="J827" s="12" t="s">
        <v>664</v>
      </c>
    </row>
    <row r="828" spans="1:10" s="15" customFormat="1" x14ac:dyDescent="0.15">
      <c r="A828" s="11">
        <v>45324</v>
      </c>
      <c r="B828" s="12" t="s">
        <v>57</v>
      </c>
      <c r="C828" s="12" t="s">
        <v>665</v>
      </c>
      <c r="D828" s="13" t="str">
        <f>HYPERLINK("https://www.marklines.com/en/global/4307","Shenzhen DENZA New Energy Automotive Co., Ltd.")</f>
        <v>Shenzhen DENZA New Energy Automotive Co., Ltd.</v>
      </c>
      <c r="E828" s="12" t="s">
        <v>666</v>
      </c>
      <c r="F828" s="12" t="s">
        <v>18</v>
      </c>
      <c r="G828" s="12" t="s">
        <v>24</v>
      </c>
      <c r="H828" s="12" t="s">
        <v>63</v>
      </c>
      <c r="I828" s="14">
        <v>44911</v>
      </c>
      <c r="J828" s="12" t="s">
        <v>667</v>
      </c>
    </row>
    <row r="829" spans="1:10" s="15" customFormat="1" x14ac:dyDescent="0.15">
      <c r="A829" s="11">
        <v>45324</v>
      </c>
      <c r="B829" s="12" t="s">
        <v>57</v>
      </c>
      <c r="C829" s="12" t="s">
        <v>665</v>
      </c>
      <c r="D829" s="13" t="str">
        <f>HYPERLINK("https://www.marklines.com/en/global/4125","BYD Automobile Industry Co., Ltd., Shenzhen Plant")</f>
        <v>BYD Automobile Industry Co., Ltd., Shenzhen Plant</v>
      </c>
      <c r="E829" s="12" t="s">
        <v>395</v>
      </c>
      <c r="F829" s="12" t="s">
        <v>18</v>
      </c>
      <c r="G829" s="12" t="s">
        <v>24</v>
      </c>
      <c r="H829" s="12" t="s">
        <v>63</v>
      </c>
      <c r="I829" s="14">
        <v>44911</v>
      </c>
      <c r="J829" s="12" t="s">
        <v>667</v>
      </c>
    </row>
    <row r="830" spans="1:10" s="15" customFormat="1" x14ac:dyDescent="0.15">
      <c r="A830" s="11">
        <v>45323</v>
      </c>
      <c r="B830" s="12" t="s">
        <v>298</v>
      </c>
      <c r="C830" s="12" t="s">
        <v>299</v>
      </c>
      <c r="D830" s="13" t="str">
        <f>HYPERLINK("https://www.marklines.com/en/global/2033","Mitsubishi Motors (Thailand) Co., Ltd. (MMTh), Laemchabang Plant")</f>
        <v>Mitsubishi Motors (Thailand) Co., Ltd. (MMTh), Laemchabang Plant</v>
      </c>
      <c r="E830" s="12" t="s">
        <v>300</v>
      </c>
      <c r="F830" s="12" t="s">
        <v>29</v>
      </c>
      <c r="G830" s="12" t="s">
        <v>301</v>
      </c>
      <c r="H830" s="12" t="s">
        <v>302</v>
      </c>
      <c r="I830" s="14">
        <v>45323</v>
      </c>
      <c r="J830" s="12" t="s">
        <v>668</v>
      </c>
    </row>
    <row r="831" spans="1:10" s="15" customFormat="1" x14ac:dyDescent="0.15">
      <c r="A831" s="11">
        <v>45323</v>
      </c>
      <c r="B831" s="12" t="s">
        <v>57</v>
      </c>
      <c r="C831" s="12" t="s">
        <v>57</v>
      </c>
      <c r="D831" s="13" t="str">
        <f>HYPERLINK("https://www.marklines.com/en/global/10785","BYD Auto Factory, Szeged Plant (tentative name)")</f>
        <v>BYD Auto Factory, Szeged Plant (tentative name)</v>
      </c>
      <c r="E831" s="12" t="s">
        <v>669</v>
      </c>
      <c r="F831" s="12" t="s">
        <v>17</v>
      </c>
      <c r="G831" s="12" t="s">
        <v>417</v>
      </c>
      <c r="H831" s="12"/>
      <c r="I831" s="14">
        <v>45322</v>
      </c>
      <c r="J831" s="12" t="s">
        <v>670</v>
      </c>
    </row>
    <row r="832" spans="1:10" s="15" customFormat="1" x14ac:dyDescent="0.15">
      <c r="A832" s="11">
        <v>45323</v>
      </c>
      <c r="B832" s="12" t="s">
        <v>28</v>
      </c>
      <c r="C832" s="12" t="s">
        <v>43</v>
      </c>
      <c r="D832" s="13" t="str">
        <f>HYPERLINK("https://www.marklines.com/en/global/2201","Audi AG, Audi Sport GmbH, Neckarsulm Plant")</f>
        <v>Audi AG, Audi Sport GmbH, Neckarsulm Plant</v>
      </c>
      <c r="E832" s="12" t="s">
        <v>671</v>
      </c>
      <c r="F832" s="12" t="s">
        <v>16</v>
      </c>
      <c r="G832" s="12" t="s">
        <v>208</v>
      </c>
      <c r="H832" s="12"/>
      <c r="I832" s="14">
        <v>45322</v>
      </c>
      <c r="J832" s="12" t="s">
        <v>672</v>
      </c>
    </row>
    <row r="833" spans="1:10" s="15" customFormat="1" x14ac:dyDescent="0.15">
      <c r="A833" s="11">
        <v>45323</v>
      </c>
      <c r="B833" s="12" t="s">
        <v>28</v>
      </c>
      <c r="C833" s="12" t="s">
        <v>43</v>
      </c>
      <c r="D833" s="13" t="str">
        <f>HYPERLINK("https://www.marklines.com/en/global/2199","Audi AG, Ingolstadt Plant")</f>
        <v>Audi AG, Ingolstadt Plant</v>
      </c>
      <c r="E833" s="12" t="s">
        <v>673</v>
      </c>
      <c r="F833" s="12" t="s">
        <v>16</v>
      </c>
      <c r="G833" s="12" t="s">
        <v>208</v>
      </c>
      <c r="H833" s="12"/>
      <c r="I833" s="14">
        <v>45322</v>
      </c>
      <c r="J833" s="12" t="s">
        <v>672</v>
      </c>
    </row>
    <row r="834" spans="1:10" s="15" customFormat="1" x14ac:dyDescent="0.15">
      <c r="A834" s="11">
        <v>45323</v>
      </c>
      <c r="B834" s="12" t="s">
        <v>28</v>
      </c>
      <c r="C834" s="12" t="s">
        <v>43</v>
      </c>
      <c r="D834" s="13" t="str">
        <f>HYPERLINK("https://www.marklines.com/en/global/8739","Audi Mexico S.A. de C.V., San José Chiapa Plant")</f>
        <v>Audi Mexico S.A. de C.V., San José Chiapa Plant</v>
      </c>
      <c r="E834" s="12" t="s">
        <v>551</v>
      </c>
      <c r="F834" s="12" t="s">
        <v>15</v>
      </c>
      <c r="G834" s="12" t="s">
        <v>218</v>
      </c>
      <c r="H834" s="12"/>
      <c r="I834" s="14">
        <v>45322</v>
      </c>
      <c r="J834" s="12" t="s">
        <v>672</v>
      </c>
    </row>
    <row r="835" spans="1:10" s="15" customFormat="1" x14ac:dyDescent="0.15">
      <c r="A835" s="11">
        <v>45323</v>
      </c>
      <c r="B835" s="12" t="s">
        <v>674</v>
      </c>
      <c r="C835" s="12" t="s">
        <v>674</v>
      </c>
      <c r="D835" s="13" t="str">
        <f>HYPERLINK("https://www.marklines.com/en/global/1809","Magna Steyr Fahrzeugtechnik AG &amp; Co KG, Graz Plant")</f>
        <v>Magna Steyr Fahrzeugtechnik AG &amp; Co KG, Graz Plant</v>
      </c>
      <c r="E835" s="12" t="s">
        <v>675</v>
      </c>
      <c r="F835" s="12" t="s">
        <v>16</v>
      </c>
      <c r="G835" s="12" t="s">
        <v>637</v>
      </c>
      <c r="H835" s="12"/>
      <c r="I835" s="14">
        <v>45322</v>
      </c>
      <c r="J835" s="12" t="s">
        <v>676</v>
      </c>
    </row>
    <row r="836" spans="1:10" s="15" customFormat="1" x14ac:dyDescent="0.15">
      <c r="A836" s="11">
        <v>45323</v>
      </c>
      <c r="B836" s="12" t="s">
        <v>350</v>
      </c>
      <c r="C836" s="12" t="s">
        <v>646</v>
      </c>
      <c r="D836" s="13" t="str">
        <f>HYPERLINK("https://www.marklines.com/en/global/2459","General Motors, Factory ZERO (Detroit-Hamtramck Plant) ")</f>
        <v xml:space="preserve">General Motors, Factory ZERO (Detroit-Hamtramck Plant) </v>
      </c>
      <c r="E836" s="12" t="s">
        <v>677</v>
      </c>
      <c r="F836" s="12" t="s">
        <v>15</v>
      </c>
      <c r="G836" s="12" t="s">
        <v>11</v>
      </c>
      <c r="H836" s="12" t="s">
        <v>505</v>
      </c>
      <c r="I836" s="14">
        <v>45322</v>
      </c>
      <c r="J836" s="12" t="s">
        <v>678</v>
      </c>
    </row>
    <row r="837" spans="1:10" s="15" customFormat="1" x14ac:dyDescent="0.15">
      <c r="A837" s="11">
        <v>45323</v>
      </c>
      <c r="B837" s="12" t="s">
        <v>350</v>
      </c>
      <c r="C837" s="12" t="s">
        <v>629</v>
      </c>
      <c r="D837" s="13" t="str">
        <f>HYPERLINK("https://www.marklines.com/en/global/2459","General Motors, Factory ZERO (Detroit-Hamtramck Plant) ")</f>
        <v xml:space="preserve">General Motors, Factory ZERO (Detroit-Hamtramck Plant) </v>
      </c>
      <c r="E837" s="12" t="s">
        <v>677</v>
      </c>
      <c r="F837" s="12" t="s">
        <v>15</v>
      </c>
      <c r="G837" s="12" t="s">
        <v>11</v>
      </c>
      <c r="H837" s="12" t="s">
        <v>505</v>
      </c>
      <c r="I837" s="14">
        <v>45322</v>
      </c>
      <c r="J837" s="12" t="s">
        <v>678</v>
      </c>
    </row>
    <row r="838" spans="1:10" s="15" customFormat="1" x14ac:dyDescent="0.15">
      <c r="A838" s="11">
        <v>45323</v>
      </c>
      <c r="B838" s="12" t="s">
        <v>350</v>
      </c>
      <c r="C838" s="12" t="s">
        <v>679</v>
      </c>
      <c r="D838" s="13" t="str">
        <f>HYPERLINK("https://www.marklines.com/en/global/2459","General Motors, Factory ZERO (Detroit-Hamtramck Plant) ")</f>
        <v xml:space="preserve">General Motors, Factory ZERO (Detroit-Hamtramck Plant) </v>
      </c>
      <c r="E838" s="12" t="s">
        <v>677</v>
      </c>
      <c r="F838" s="12" t="s">
        <v>15</v>
      </c>
      <c r="G838" s="12" t="s">
        <v>11</v>
      </c>
      <c r="H838" s="12" t="s">
        <v>505</v>
      </c>
      <c r="I838" s="14">
        <v>45322</v>
      </c>
      <c r="J838" s="12" t="s">
        <v>678</v>
      </c>
    </row>
    <row r="839" spans="1:10" s="15" customFormat="1" x14ac:dyDescent="0.15">
      <c r="A839" s="11">
        <v>45323</v>
      </c>
      <c r="B839" s="12" t="s">
        <v>19</v>
      </c>
      <c r="C839" s="12" t="s">
        <v>19</v>
      </c>
      <c r="D839" s="13" t="str">
        <f>HYPERLINK("https://www.marklines.com/en/global/547","Daihatsu Motor Kyushu, Oita (Nakatsu) Plant")</f>
        <v>Daihatsu Motor Kyushu, Oita (Nakatsu) Plant</v>
      </c>
      <c r="E839" s="12" t="s">
        <v>520</v>
      </c>
      <c r="F839" s="12" t="s">
        <v>18</v>
      </c>
      <c r="G839" s="12" t="s">
        <v>20</v>
      </c>
      <c r="H839" s="12" t="s">
        <v>521</v>
      </c>
      <c r="I839" s="14">
        <v>45321</v>
      </c>
      <c r="J839" s="12" t="s">
        <v>680</v>
      </c>
    </row>
    <row r="840" spans="1:10" s="15" customFormat="1" x14ac:dyDescent="0.15">
      <c r="A840" s="11">
        <v>45323</v>
      </c>
      <c r="B840" s="12" t="s">
        <v>19</v>
      </c>
      <c r="C840" s="12" t="s">
        <v>512</v>
      </c>
      <c r="D840" s="13" t="str">
        <f>HYPERLINK("https://www.marklines.com/en/global/547","Daihatsu Motor Kyushu, Oita (Nakatsu) Plant")</f>
        <v>Daihatsu Motor Kyushu, Oita (Nakatsu) Plant</v>
      </c>
      <c r="E840" s="12" t="s">
        <v>520</v>
      </c>
      <c r="F840" s="12" t="s">
        <v>18</v>
      </c>
      <c r="G840" s="12" t="s">
        <v>20</v>
      </c>
      <c r="H840" s="12" t="s">
        <v>521</v>
      </c>
      <c r="I840" s="14">
        <v>45321</v>
      </c>
      <c r="J840" s="12" t="s">
        <v>680</v>
      </c>
    </row>
    <row r="841" spans="1:10" s="15" customFormat="1" x14ac:dyDescent="0.15">
      <c r="A841" s="11">
        <v>45323</v>
      </c>
      <c r="B841" s="12" t="s">
        <v>21</v>
      </c>
      <c r="C841" s="12" t="s">
        <v>21</v>
      </c>
      <c r="D841" s="13" t="str">
        <f>HYPERLINK("https://www.marklines.com/en/global/1711","Volkswagen Poznań Sp. z o.o., Poznań (Antoninek) Plant")</f>
        <v>Volkswagen Poznań Sp. z o.o., Poznań (Antoninek) Plant</v>
      </c>
      <c r="E841" s="12" t="s">
        <v>681</v>
      </c>
      <c r="F841" s="12" t="s">
        <v>17</v>
      </c>
      <c r="G841" s="12" t="s">
        <v>26</v>
      </c>
      <c r="H841" s="12"/>
      <c r="I841" s="14">
        <v>45321</v>
      </c>
      <c r="J841" s="12" t="s">
        <v>682</v>
      </c>
    </row>
    <row r="842" spans="1:10" s="15" customFormat="1" x14ac:dyDescent="0.15">
      <c r="A842" s="11">
        <v>45323</v>
      </c>
      <c r="B842" s="12" t="s">
        <v>28</v>
      </c>
      <c r="C842" s="12" t="s">
        <v>439</v>
      </c>
      <c r="D842" s="13" t="str">
        <f>HYPERLINK("https://www.marklines.com/en/global/1357","Automobili Lamborghini S.p.A., Sant'Agata Bolognese Plant")</f>
        <v>Automobili Lamborghini S.p.A., Sant'Agata Bolognese Plant</v>
      </c>
      <c r="E842" s="12" t="s">
        <v>440</v>
      </c>
      <c r="F842" s="12" t="s">
        <v>16</v>
      </c>
      <c r="G842" s="12" t="s">
        <v>37</v>
      </c>
      <c r="H842" s="12"/>
      <c r="I842" s="14">
        <v>45321</v>
      </c>
      <c r="J842" s="12" t="s">
        <v>683</v>
      </c>
    </row>
    <row r="843" spans="1:10" s="15" customFormat="1" x14ac:dyDescent="0.15">
      <c r="A843" s="11">
        <v>45323</v>
      </c>
      <c r="B843" s="12" t="s">
        <v>19</v>
      </c>
      <c r="C843" s="12" t="s">
        <v>684</v>
      </c>
      <c r="D843" s="13" t="str">
        <f>HYPERLINK("https://www.marklines.com/en/global/567","Hino Motors, Hamura Plant")</f>
        <v>Hino Motors, Hamura Plant</v>
      </c>
      <c r="E843" s="12" t="s">
        <v>685</v>
      </c>
      <c r="F843" s="12" t="s">
        <v>18</v>
      </c>
      <c r="G843" s="12" t="s">
        <v>20</v>
      </c>
      <c r="H843" s="12" t="s">
        <v>686</v>
      </c>
      <c r="I843" s="14">
        <v>45320</v>
      </c>
      <c r="J843" s="12" t="s">
        <v>687</v>
      </c>
    </row>
    <row r="844" spans="1:10" s="15" customFormat="1" x14ac:dyDescent="0.15">
      <c r="A844" s="11">
        <v>45323</v>
      </c>
      <c r="B844" s="12" t="s">
        <v>19</v>
      </c>
      <c r="C844" s="12" t="s">
        <v>19</v>
      </c>
      <c r="D844" s="13" t="str">
        <f>HYPERLINK("https://www.marklines.com/en/global/409","Toyota Auto Body, Fujimatsu Plant")</f>
        <v>Toyota Auto Body, Fujimatsu Plant</v>
      </c>
      <c r="E844" s="12" t="s">
        <v>200</v>
      </c>
      <c r="F844" s="12" t="s">
        <v>18</v>
      </c>
      <c r="G844" s="12" t="s">
        <v>20</v>
      </c>
      <c r="H844" s="12" t="s">
        <v>189</v>
      </c>
      <c r="I844" s="14">
        <v>45320</v>
      </c>
      <c r="J844" s="12" t="s">
        <v>688</v>
      </c>
    </row>
    <row r="845" spans="1:10" s="15" customFormat="1" x14ac:dyDescent="0.15">
      <c r="A845" s="11">
        <v>45323</v>
      </c>
      <c r="B845" s="12" t="s">
        <v>19</v>
      </c>
      <c r="C845" s="12" t="s">
        <v>19</v>
      </c>
      <c r="D845" s="13" t="str">
        <f>HYPERLINK("https://www.marklines.com/en/global/411","Toyota Auto Body, Yoshiwara Plant")</f>
        <v>Toyota Auto Body, Yoshiwara Plant</v>
      </c>
      <c r="E845" s="12" t="s">
        <v>201</v>
      </c>
      <c r="F845" s="12" t="s">
        <v>18</v>
      </c>
      <c r="G845" s="12" t="s">
        <v>20</v>
      </c>
      <c r="H845" s="12" t="s">
        <v>189</v>
      </c>
      <c r="I845" s="14">
        <v>45320</v>
      </c>
      <c r="J845" s="12" t="s">
        <v>688</v>
      </c>
    </row>
    <row r="846" spans="1:10" s="15" customFormat="1" x14ac:dyDescent="0.15">
      <c r="A846" s="11">
        <v>45323</v>
      </c>
      <c r="B846" s="12" t="s">
        <v>19</v>
      </c>
      <c r="C846" s="12" t="s">
        <v>19</v>
      </c>
      <c r="D846" s="13" t="str">
        <f>HYPERLINK("https://www.marklines.com/en/global/413","Toyota Auto Body, Inabe Plant")</f>
        <v>Toyota Auto Body, Inabe Plant</v>
      </c>
      <c r="E846" s="12" t="s">
        <v>202</v>
      </c>
      <c r="F846" s="12" t="s">
        <v>18</v>
      </c>
      <c r="G846" s="12" t="s">
        <v>20</v>
      </c>
      <c r="H846" s="12" t="s">
        <v>203</v>
      </c>
      <c r="I846" s="14">
        <v>45320</v>
      </c>
      <c r="J846" s="12" t="s">
        <v>688</v>
      </c>
    </row>
    <row r="847" spans="1:10" s="15" customFormat="1" x14ac:dyDescent="0.15">
      <c r="A847" s="11">
        <v>45323</v>
      </c>
      <c r="B847" s="12" t="s">
        <v>19</v>
      </c>
      <c r="C847" s="12" t="s">
        <v>19</v>
      </c>
      <c r="D847" s="13" t="str">
        <f>HYPERLINK("https://www.marklines.com/en/global/417","Gifu Auto Body Co., Ltd., Honsha Plant")</f>
        <v>Gifu Auto Body Co., Ltd., Honsha Plant</v>
      </c>
      <c r="E847" s="12" t="s">
        <v>204</v>
      </c>
      <c r="F847" s="12" t="s">
        <v>18</v>
      </c>
      <c r="G847" s="12" t="s">
        <v>20</v>
      </c>
      <c r="H847" s="12" t="s">
        <v>205</v>
      </c>
      <c r="I847" s="14">
        <v>45320</v>
      </c>
      <c r="J847" s="12" t="s">
        <v>688</v>
      </c>
    </row>
    <row r="848" spans="1:10" s="15" customFormat="1" x14ac:dyDescent="0.15">
      <c r="A848" s="11">
        <v>45323</v>
      </c>
      <c r="B848" s="12" t="s">
        <v>19</v>
      </c>
      <c r="C848" s="12" t="s">
        <v>19</v>
      </c>
      <c r="D848" s="13" t="str">
        <f>HYPERLINK("https://www.marklines.com/en/global/2095","Toyota Auto Works Co., Ltd. (TAW), Samutprakarn Plant")</f>
        <v>Toyota Auto Works Co., Ltd. (TAW), Samutprakarn Plant</v>
      </c>
      <c r="E848" s="12" t="s">
        <v>689</v>
      </c>
      <c r="F848" s="12" t="s">
        <v>29</v>
      </c>
      <c r="G848" s="12" t="s">
        <v>301</v>
      </c>
      <c r="H848" s="12" t="s">
        <v>690</v>
      </c>
      <c r="I848" s="14">
        <v>45320</v>
      </c>
      <c r="J848" s="12" t="s">
        <v>691</v>
      </c>
    </row>
    <row r="849" spans="1:10" s="15" customFormat="1" x14ac:dyDescent="0.15">
      <c r="A849" s="11">
        <v>45323</v>
      </c>
      <c r="B849" s="12" t="s">
        <v>19</v>
      </c>
      <c r="C849" s="12" t="s">
        <v>19</v>
      </c>
      <c r="D849" s="13" t="str">
        <f>HYPERLINK("https://www.marklines.com/en/global/651","Toyota South Africa Motors (Pty) Ltd. (TSAM), Prospecton Plant")</f>
        <v>Toyota South Africa Motors (Pty) Ltd. (TSAM), Prospecton Plant</v>
      </c>
      <c r="E849" s="12" t="s">
        <v>692</v>
      </c>
      <c r="F849" s="12" t="s">
        <v>471</v>
      </c>
      <c r="G849" s="12" t="s">
        <v>693</v>
      </c>
      <c r="H849" s="12"/>
      <c r="I849" s="14">
        <v>45320</v>
      </c>
      <c r="J849" s="12" t="s">
        <v>691</v>
      </c>
    </row>
    <row r="850" spans="1:10" s="15" customFormat="1" x14ac:dyDescent="0.15">
      <c r="A850" s="11">
        <v>45323</v>
      </c>
      <c r="B850" s="12" t="s">
        <v>19</v>
      </c>
      <c r="C850" s="12" t="s">
        <v>19</v>
      </c>
      <c r="D850" s="13" t="str">
        <f>HYPERLINK("https://www.marklines.com/en/global/2091","Toyota Motor Thailand (TMT), Ban Pho Plant")</f>
        <v>Toyota Motor Thailand (TMT), Ban Pho Plant</v>
      </c>
      <c r="E850" s="12" t="s">
        <v>694</v>
      </c>
      <c r="F850" s="12" t="s">
        <v>29</v>
      </c>
      <c r="G850" s="12" t="s">
        <v>301</v>
      </c>
      <c r="H850" s="12" t="s">
        <v>695</v>
      </c>
      <c r="I850" s="14">
        <v>45320</v>
      </c>
      <c r="J850" s="12" t="s">
        <v>691</v>
      </c>
    </row>
    <row r="851" spans="1:10" s="15" customFormat="1" x14ac:dyDescent="0.15">
      <c r="A851" s="11">
        <v>45323</v>
      </c>
      <c r="B851" s="12" t="s">
        <v>19</v>
      </c>
      <c r="C851" s="12" t="s">
        <v>19</v>
      </c>
      <c r="D851" s="13" t="str">
        <f>HYPERLINK("https://www.marklines.com/en/global/1287","Toyota Kirloskar Motor India (TKM), Bangalore Plant")</f>
        <v>Toyota Kirloskar Motor India (TKM), Bangalore Plant</v>
      </c>
      <c r="E851" s="12" t="s">
        <v>656</v>
      </c>
      <c r="F851" s="12" t="s">
        <v>22</v>
      </c>
      <c r="G851" s="12" t="s">
        <v>23</v>
      </c>
      <c r="H851" s="12" t="s">
        <v>657</v>
      </c>
      <c r="I851" s="14">
        <v>45320</v>
      </c>
      <c r="J851" s="12" t="s">
        <v>691</v>
      </c>
    </row>
    <row r="852" spans="1:10" s="15" customFormat="1" x14ac:dyDescent="0.15">
      <c r="A852" s="11">
        <v>45323</v>
      </c>
      <c r="B852" s="12" t="s">
        <v>19</v>
      </c>
      <c r="C852" s="12" t="s">
        <v>19</v>
      </c>
      <c r="D852" s="13" t="str">
        <f>HYPERLINK("https://www.marklines.com/en/global/363","PT. Toyota Motor Manufacturing Indonesia (TMMIN), Karawang Plant")</f>
        <v>PT. Toyota Motor Manufacturing Indonesia (TMMIN), Karawang Plant</v>
      </c>
      <c r="E852" s="12" t="s">
        <v>345</v>
      </c>
      <c r="F852" s="12" t="s">
        <v>29</v>
      </c>
      <c r="G852" s="12" t="s">
        <v>343</v>
      </c>
      <c r="H852" s="12"/>
      <c r="I852" s="14">
        <v>45320</v>
      </c>
      <c r="J852" s="12" t="s">
        <v>691</v>
      </c>
    </row>
    <row r="853" spans="1:10" s="15" customFormat="1" x14ac:dyDescent="0.15">
      <c r="A853" s="11">
        <v>45323</v>
      </c>
      <c r="B853" s="12" t="s">
        <v>19</v>
      </c>
      <c r="C853" s="12" t="s">
        <v>19</v>
      </c>
      <c r="D853" s="13" t="str">
        <f>HYPERLINK("https://www.marklines.com/en/global/411","Toyota Auto Body, Yoshiwara Plant")</f>
        <v>Toyota Auto Body, Yoshiwara Plant</v>
      </c>
      <c r="E853" s="12" t="s">
        <v>201</v>
      </c>
      <c r="F853" s="12" t="s">
        <v>18</v>
      </c>
      <c r="G853" s="12" t="s">
        <v>20</v>
      </c>
      <c r="H853" s="12" t="s">
        <v>189</v>
      </c>
      <c r="I853" s="14">
        <v>45320</v>
      </c>
      <c r="J853" s="12" t="s">
        <v>691</v>
      </c>
    </row>
    <row r="854" spans="1:10" s="15" customFormat="1" x14ac:dyDescent="0.15">
      <c r="A854" s="11">
        <v>45323</v>
      </c>
      <c r="B854" s="12" t="s">
        <v>19</v>
      </c>
      <c r="C854" s="12" t="s">
        <v>19</v>
      </c>
      <c r="D854" s="13" t="str">
        <f>HYPERLINK("https://www.marklines.com/en/global/413","Toyota Auto Body, Inabe Plant")</f>
        <v>Toyota Auto Body, Inabe Plant</v>
      </c>
      <c r="E854" s="12" t="s">
        <v>202</v>
      </c>
      <c r="F854" s="12" t="s">
        <v>18</v>
      </c>
      <c r="G854" s="12" t="s">
        <v>20</v>
      </c>
      <c r="H854" s="12" t="s">
        <v>203</v>
      </c>
      <c r="I854" s="14">
        <v>45320</v>
      </c>
      <c r="J854" s="12" t="s">
        <v>691</v>
      </c>
    </row>
    <row r="855" spans="1:10" s="15" customFormat="1" x14ac:dyDescent="0.15">
      <c r="A855" s="11">
        <v>45323</v>
      </c>
      <c r="B855" s="12" t="s">
        <v>19</v>
      </c>
      <c r="C855" s="12" t="s">
        <v>19</v>
      </c>
      <c r="D855" s="13" t="str">
        <f>HYPERLINK("https://www.marklines.com/en/global/417","Gifu Auto Body Co., Ltd., Honsha Plant")</f>
        <v>Gifu Auto Body Co., Ltd., Honsha Plant</v>
      </c>
      <c r="E855" s="12" t="s">
        <v>204</v>
      </c>
      <c r="F855" s="12" t="s">
        <v>18</v>
      </c>
      <c r="G855" s="12" t="s">
        <v>20</v>
      </c>
      <c r="H855" s="12" t="s">
        <v>205</v>
      </c>
      <c r="I855" s="14">
        <v>45320</v>
      </c>
      <c r="J855" s="12" t="s">
        <v>691</v>
      </c>
    </row>
    <row r="856" spans="1:10" s="15" customFormat="1" x14ac:dyDescent="0.15">
      <c r="A856" s="11">
        <v>45323</v>
      </c>
      <c r="B856" s="12" t="s">
        <v>19</v>
      </c>
      <c r="C856" s="12" t="s">
        <v>19</v>
      </c>
      <c r="D856" s="13" t="str">
        <f>HYPERLINK("https://www.marklines.com/en/global/381","Toyota Motor, Tahara Plant")</f>
        <v>Toyota Motor, Tahara Plant</v>
      </c>
      <c r="E856" s="12" t="s">
        <v>192</v>
      </c>
      <c r="F856" s="12" t="s">
        <v>18</v>
      </c>
      <c r="G856" s="12" t="s">
        <v>20</v>
      </c>
      <c r="H856" s="12" t="s">
        <v>189</v>
      </c>
      <c r="I856" s="14">
        <v>45320</v>
      </c>
      <c r="J856" s="12" t="s">
        <v>691</v>
      </c>
    </row>
    <row r="857" spans="1:10" s="15" customFormat="1" x14ac:dyDescent="0.15">
      <c r="A857" s="11">
        <v>45323</v>
      </c>
      <c r="B857" s="12" t="s">
        <v>19</v>
      </c>
      <c r="C857" s="12" t="s">
        <v>19</v>
      </c>
      <c r="D857" s="13" t="str">
        <f>HYPERLINK("https://www.marklines.com/en/global/567","Hino Motors, Hamura Plant")</f>
        <v>Hino Motors, Hamura Plant</v>
      </c>
      <c r="E857" s="12" t="s">
        <v>685</v>
      </c>
      <c r="F857" s="12" t="s">
        <v>18</v>
      </c>
      <c r="G857" s="12" t="s">
        <v>20</v>
      </c>
      <c r="H857" s="12" t="s">
        <v>686</v>
      </c>
      <c r="I857" s="14">
        <v>45320</v>
      </c>
      <c r="J857" s="12" t="s">
        <v>691</v>
      </c>
    </row>
    <row r="858" spans="1:10" s="15" customFormat="1" x14ac:dyDescent="0.15">
      <c r="A858" s="11">
        <v>45323</v>
      </c>
      <c r="B858" s="12" t="s">
        <v>268</v>
      </c>
      <c r="C858" s="12" t="s">
        <v>268</v>
      </c>
      <c r="D858" s="13" t="str">
        <f>HYPERLINK("https://www.marklines.com/en/global/3865","Anhui Jianghuai Automobile Group Corp., Ltd. (JAC)")</f>
        <v>Anhui Jianghuai Automobile Group Corp., Ltd. (JAC)</v>
      </c>
      <c r="E858" s="12" t="s">
        <v>370</v>
      </c>
      <c r="F858" s="12" t="s">
        <v>18</v>
      </c>
      <c r="G858" s="12" t="s">
        <v>24</v>
      </c>
      <c r="H858" s="12" t="s">
        <v>55</v>
      </c>
      <c r="I858" s="14">
        <v>45320</v>
      </c>
      <c r="J858" s="12" t="s">
        <v>696</v>
      </c>
    </row>
    <row r="859" spans="1:10" s="15" customFormat="1" x14ac:dyDescent="0.15">
      <c r="A859" s="11">
        <v>45323</v>
      </c>
      <c r="B859" s="12" t="s">
        <v>12</v>
      </c>
      <c r="C859" s="12" t="s">
        <v>697</v>
      </c>
      <c r="D859" s="13" t="str">
        <f>HYPERLINK("https://www.marklines.com/en/global/1414","BMC Otomotiv Sanayi ve Ticaret A.Ş., Izmir Plant")</f>
        <v>BMC Otomotiv Sanayi ve Ticaret A.Ş., Izmir Plant</v>
      </c>
      <c r="E859" s="12" t="s">
        <v>698</v>
      </c>
      <c r="F859" s="12" t="s">
        <v>181</v>
      </c>
      <c r="G859" s="12" t="s">
        <v>182</v>
      </c>
      <c r="H859" s="12"/>
      <c r="I859" s="14">
        <v>45320</v>
      </c>
      <c r="J859" s="12" t="s">
        <v>696</v>
      </c>
    </row>
    <row r="860" spans="1:10" s="15" customFormat="1" x14ac:dyDescent="0.15">
      <c r="A860" s="11">
        <v>45323</v>
      </c>
      <c r="B860" s="12" t="s">
        <v>65</v>
      </c>
      <c r="C860" s="12" t="s">
        <v>65</v>
      </c>
      <c r="D860" s="13" t="str">
        <f>HYPERLINK("https://www.marklines.com/en/global/3807","Zhejiang Geely Holding Group Co., Ltd.")</f>
        <v>Zhejiang Geely Holding Group Co., Ltd.</v>
      </c>
      <c r="E860" s="12" t="s">
        <v>229</v>
      </c>
      <c r="F860" s="12" t="s">
        <v>18</v>
      </c>
      <c r="G860" s="12" t="s">
        <v>24</v>
      </c>
      <c r="H860" s="12" t="s">
        <v>61</v>
      </c>
      <c r="I860" s="14">
        <v>45320</v>
      </c>
      <c r="J860" s="12" t="s">
        <v>699</v>
      </c>
    </row>
    <row r="861" spans="1:10" s="15" customFormat="1" x14ac:dyDescent="0.15">
      <c r="A861" s="11">
        <v>45323</v>
      </c>
      <c r="B861" s="12" t="s">
        <v>237</v>
      </c>
      <c r="C861" s="12" t="s">
        <v>237</v>
      </c>
      <c r="D861" s="13" t="str">
        <f>HYPERLINK("https://www.marklines.com/en/global/3971","Dongfeng Motor Corporation ")</f>
        <v xml:space="preserve">Dongfeng Motor Corporation </v>
      </c>
      <c r="E861" s="12" t="s">
        <v>238</v>
      </c>
      <c r="F861" s="12" t="s">
        <v>18</v>
      </c>
      <c r="G861" s="12" t="s">
        <v>24</v>
      </c>
      <c r="H861" s="12" t="s">
        <v>76</v>
      </c>
      <c r="I861" s="14">
        <v>45320</v>
      </c>
      <c r="J861" s="12" t="s">
        <v>700</v>
      </c>
    </row>
    <row r="862" spans="1:10" s="15" customFormat="1" x14ac:dyDescent="0.15">
      <c r="A862" s="11">
        <v>45323</v>
      </c>
      <c r="B862" s="12" t="s">
        <v>571</v>
      </c>
      <c r="C862" s="12" t="s">
        <v>652</v>
      </c>
      <c r="D862" s="13" t="str">
        <f>HYPERLINK("https://www.marklines.com/en/global/9824","GAC Aion New Energy Automobile Co., Ltd.")</f>
        <v>GAC Aion New Energy Automobile Co., Ltd.</v>
      </c>
      <c r="E862" s="12" t="s">
        <v>653</v>
      </c>
      <c r="F862" s="12" t="s">
        <v>18</v>
      </c>
      <c r="G862" s="12" t="s">
        <v>24</v>
      </c>
      <c r="H862" s="12" t="s">
        <v>63</v>
      </c>
      <c r="I862" s="14">
        <v>45319</v>
      </c>
      <c r="J862" s="12" t="s">
        <v>701</v>
      </c>
    </row>
    <row r="863" spans="1:10" s="15" customFormat="1" x14ac:dyDescent="0.15">
      <c r="A863" s="11">
        <v>45323</v>
      </c>
      <c r="B863" s="12" t="s">
        <v>224</v>
      </c>
      <c r="C863" s="12" t="s">
        <v>225</v>
      </c>
      <c r="D863" s="13" t="str">
        <f>HYPERLINK("https://www.marklines.com/en/global/581","Mitsubishi Fuso Truck and Bus, Kawasaki Plant")</f>
        <v>Mitsubishi Fuso Truck and Bus, Kawasaki Plant</v>
      </c>
      <c r="E863" s="12" t="s">
        <v>702</v>
      </c>
      <c r="F863" s="12" t="s">
        <v>18</v>
      </c>
      <c r="G863" s="12" t="s">
        <v>20</v>
      </c>
      <c r="H863" s="12" t="s">
        <v>283</v>
      </c>
      <c r="I863" s="14">
        <v>45317</v>
      </c>
      <c r="J863" s="12" t="s">
        <v>703</v>
      </c>
    </row>
    <row r="864" spans="1:10" s="15" customFormat="1" x14ac:dyDescent="0.15">
      <c r="A864" s="11">
        <v>45323</v>
      </c>
      <c r="B864" s="12" t="s">
        <v>84</v>
      </c>
      <c r="C864" s="12" t="s">
        <v>84</v>
      </c>
      <c r="D864" s="13" t="str">
        <f>HYPERLINK("https://www.marklines.com/en/global/9486","Zhaoqing Xiaopeng New Energy Investment Co., Ltd. (Formerly : Guangzhou Xiaopeng Motors Technology Co., Ltd.  Zhaoqing Plant)")</f>
        <v>Zhaoqing Xiaopeng New Energy Investment Co., Ltd. (Formerly : Guangzhou Xiaopeng Motors Technology Co., Ltd.  Zhaoqing Plant)</v>
      </c>
      <c r="E864" s="12" t="s">
        <v>704</v>
      </c>
      <c r="F864" s="12" t="s">
        <v>18</v>
      </c>
      <c r="G864" s="12" t="s">
        <v>24</v>
      </c>
      <c r="H864" s="12" t="s">
        <v>71</v>
      </c>
      <c r="I864" s="14">
        <v>45317</v>
      </c>
      <c r="J864" s="12" t="s">
        <v>705</v>
      </c>
    </row>
    <row r="865" spans="1:10" s="15" customFormat="1" x14ac:dyDescent="0.15">
      <c r="A865" s="11">
        <v>45323</v>
      </c>
      <c r="B865" s="12" t="s">
        <v>252</v>
      </c>
      <c r="C865" s="12" t="s">
        <v>252</v>
      </c>
      <c r="D865" s="13" t="str">
        <f>HYPERLINK("https://www.marklines.com/en/global/2425","Renault Korea Motors (formerly Renault Samsung), Busan Plant")</f>
        <v>Renault Korea Motors (formerly Renault Samsung), Busan Plant</v>
      </c>
      <c r="E865" s="12" t="s">
        <v>706</v>
      </c>
      <c r="F865" s="12" t="s">
        <v>18</v>
      </c>
      <c r="G865" s="12" t="s">
        <v>404</v>
      </c>
      <c r="H865" s="12"/>
      <c r="I865" s="14">
        <v>45316</v>
      </c>
      <c r="J865" s="12" t="s">
        <v>707</v>
      </c>
    </row>
    <row r="866" spans="1:10" s="15" customFormat="1" x14ac:dyDescent="0.15">
      <c r="A866" s="11">
        <v>45323</v>
      </c>
      <c r="B866" s="12" t="s">
        <v>65</v>
      </c>
      <c r="C866" s="12" t="s">
        <v>65</v>
      </c>
      <c r="D866" s="13" t="str">
        <f>HYPERLINK("https://www.marklines.com/en/global/2425","Renault Korea Motors (formerly Renault Samsung), Busan Plant")</f>
        <v>Renault Korea Motors (formerly Renault Samsung), Busan Plant</v>
      </c>
      <c r="E866" s="12" t="s">
        <v>706</v>
      </c>
      <c r="F866" s="12" t="s">
        <v>18</v>
      </c>
      <c r="G866" s="12" t="s">
        <v>404</v>
      </c>
      <c r="H866" s="12"/>
      <c r="I866" s="14">
        <v>45316</v>
      </c>
      <c r="J866" s="12" t="s">
        <v>707</v>
      </c>
    </row>
    <row r="867" spans="1:10" s="15" customFormat="1" x14ac:dyDescent="0.15">
      <c r="A867" s="11">
        <v>45323</v>
      </c>
      <c r="B867" s="12" t="s">
        <v>34</v>
      </c>
      <c r="C867" s="12" t="s">
        <v>359</v>
      </c>
      <c r="D867" s="13" t="str">
        <f>HYPERLINK("https://www.marklines.com/en/global/2445","Kia, Gwangmyeong Plant (AutoLand Gwangmyeong)")</f>
        <v>Kia, Gwangmyeong Plant (AutoLand Gwangmyeong)</v>
      </c>
      <c r="E867" s="12" t="s">
        <v>616</v>
      </c>
      <c r="F867" s="12" t="s">
        <v>18</v>
      </c>
      <c r="G867" s="12" t="s">
        <v>404</v>
      </c>
      <c r="H867" s="12"/>
      <c r="I867" s="14">
        <v>45315</v>
      </c>
      <c r="J867" s="12" t="s">
        <v>708</v>
      </c>
    </row>
    <row r="868" spans="1:10" s="15" customFormat="1" x14ac:dyDescent="0.15">
      <c r="A868" s="11">
        <v>45323</v>
      </c>
      <c r="B868" s="12" t="s">
        <v>248</v>
      </c>
      <c r="C868" s="12" t="s">
        <v>249</v>
      </c>
      <c r="D868" s="13" t="str">
        <f>HYPERLINK("https://www.marklines.com/en/global/9814","SAIC Motor Corporation Limited Passenger Vehicle Fujian Branch")</f>
        <v>SAIC Motor Corporation Limited Passenger Vehicle Fujian Branch</v>
      </c>
      <c r="E868" s="12" t="s">
        <v>709</v>
      </c>
      <c r="F868" s="12" t="s">
        <v>18</v>
      </c>
      <c r="G868" s="12" t="s">
        <v>24</v>
      </c>
      <c r="H868" s="12" t="s">
        <v>710</v>
      </c>
      <c r="I868" s="14">
        <v>45045</v>
      </c>
      <c r="J868" s="12" t="s">
        <v>711</v>
      </c>
    </row>
    <row r="869" spans="1:10" s="15" customFormat="1" x14ac:dyDescent="0.15">
      <c r="A869" s="11">
        <v>45323</v>
      </c>
      <c r="B869" s="12" t="s">
        <v>248</v>
      </c>
      <c r="C869" s="12" t="s">
        <v>249</v>
      </c>
      <c r="D869" s="13" t="str">
        <f>HYPERLINK("https://www.marklines.com/en/global/3611","SAIC Motor Passenger Vehicle Co., Ltd. Lingang Plant")</f>
        <v>SAIC Motor Passenger Vehicle Co., Ltd. Lingang Plant</v>
      </c>
      <c r="E869" s="12" t="s">
        <v>712</v>
      </c>
      <c r="F869" s="12" t="s">
        <v>18</v>
      </c>
      <c r="G869" s="12" t="s">
        <v>24</v>
      </c>
      <c r="H869" s="12" t="s">
        <v>56</v>
      </c>
      <c r="I869" s="14">
        <v>45045</v>
      </c>
      <c r="J869" s="12" t="s">
        <v>711</v>
      </c>
    </row>
    <row r="870" spans="1:10" s="15" customFormat="1" x14ac:dyDescent="0.15">
      <c r="A870" s="11">
        <v>45323</v>
      </c>
      <c r="B870" s="12" t="s">
        <v>248</v>
      </c>
      <c r="C870" s="12" t="s">
        <v>643</v>
      </c>
      <c r="D870" s="13" t="str">
        <f>HYPERLINK("https://www.marklines.com/en/global/4153","SAIC-GM-Wuling Automobile Co., Ltd. (SGMW)　")</f>
        <v>SAIC-GM-Wuling Automobile Co., Ltd. (SGMW)　</v>
      </c>
      <c r="E870" s="12" t="s">
        <v>713</v>
      </c>
      <c r="F870" s="12" t="s">
        <v>18</v>
      </c>
      <c r="G870" s="12" t="s">
        <v>24</v>
      </c>
      <c r="H870" s="12" t="s">
        <v>326</v>
      </c>
      <c r="I870" s="14">
        <v>45045</v>
      </c>
      <c r="J870" s="12" t="s">
        <v>714</v>
      </c>
    </row>
    <row r="871" spans="1:10" s="15" customFormat="1" x14ac:dyDescent="0.15">
      <c r="A871" s="11">
        <v>45322</v>
      </c>
      <c r="B871" s="12" t="s">
        <v>39</v>
      </c>
      <c r="C871" s="12" t="s">
        <v>39</v>
      </c>
      <c r="D871" s="13" t="str">
        <f>HYPERLINK("https://www.marklines.com/en/global/749","Avtozavod Saint Petersburg (former Nissan Manufacturing Rus OOO, Kamenka (St. Petersburg) Plant)")</f>
        <v>Avtozavod Saint Petersburg (former Nissan Manufacturing Rus OOO, Kamenka (St. Petersburg) Plant)</v>
      </c>
      <c r="E871" s="12" t="s">
        <v>100</v>
      </c>
      <c r="F871" s="12" t="s">
        <v>17</v>
      </c>
      <c r="G871" s="12" t="s">
        <v>13</v>
      </c>
      <c r="H871" s="12"/>
      <c r="I871" s="14">
        <v>45321</v>
      </c>
      <c r="J871" s="12" t="s">
        <v>715</v>
      </c>
    </row>
    <row r="872" spans="1:10" s="15" customFormat="1" x14ac:dyDescent="0.15">
      <c r="A872" s="11">
        <v>45322</v>
      </c>
      <c r="B872" s="12" t="s">
        <v>48</v>
      </c>
      <c r="C872" s="12" t="s">
        <v>716</v>
      </c>
      <c r="D872" s="13" t="str">
        <f>HYPERLINK("https://www.marklines.com/en/global/671","ZAO AvtoTOR, Kaliningrad Plant")</f>
        <v>ZAO AvtoTOR, Kaliningrad Plant</v>
      </c>
      <c r="E872" s="12" t="s">
        <v>717</v>
      </c>
      <c r="F872" s="12" t="s">
        <v>17</v>
      </c>
      <c r="G872" s="12" t="s">
        <v>13</v>
      </c>
      <c r="H872" s="12"/>
      <c r="I872" s="14">
        <v>45321</v>
      </c>
      <c r="J872" s="12" t="s">
        <v>718</v>
      </c>
    </row>
    <row r="873" spans="1:10" s="15" customFormat="1" x14ac:dyDescent="0.15">
      <c r="A873" s="11">
        <v>45322</v>
      </c>
      <c r="B873" s="12" t="s">
        <v>12</v>
      </c>
      <c r="C873" s="12" t="s">
        <v>719</v>
      </c>
      <c r="D873" s="13" t="str">
        <f>HYPERLINK("https://www.marklines.com/en/global/10552","Arrival UK LTD., Bicester Plant")</f>
        <v>Arrival UK LTD., Bicester Plant</v>
      </c>
      <c r="E873" s="12" t="s">
        <v>720</v>
      </c>
      <c r="F873" s="12" t="s">
        <v>16</v>
      </c>
      <c r="G873" s="12" t="s">
        <v>233</v>
      </c>
      <c r="H873" s="12"/>
      <c r="I873" s="14">
        <v>45320</v>
      </c>
      <c r="J873" s="12" t="s">
        <v>721</v>
      </c>
    </row>
    <row r="874" spans="1:10" s="15" customFormat="1" x14ac:dyDescent="0.15">
      <c r="A874" s="11">
        <v>45322</v>
      </c>
      <c r="B874" s="12" t="s">
        <v>722</v>
      </c>
      <c r="C874" s="12" t="s">
        <v>722</v>
      </c>
      <c r="D874" s="13" t="str">
        <f>HYPERLINK("https://www.marklines.com/en/global/4271","Shaanxi Automobile Group Co., Ltd.")</f>
        <v>Shaanxi Automobile Group Co., Ltd.</v>
      </c>
      <c r="E874" s="12" t="s">
        <v>723</v>
      </c>
      <c r="F874" s="12" t="s">
        <v>18</v>
      </c>
      <c r="G874" s="12" t="s">
        <v>24</v>
      </c>
      <c r="H874" s="12" t="s">
        <v>724</v>
      </c>
      <c r="I874" s="14">
        <v>45319</v>
      </c>
      <c r="J874" s="12" t="s">
        <v>725</v>
      </c>
    </row>
    <row r="875" spans="1:10" s="15" customFormat="1" x14ac:dyDescent="0.15">
      <c r="A875" s="11">
        <v>45322</v>
      </c>
      <c r="B875" s="12" t="s">
        <v>65</v>
      </c>
      <c r="C875" s="12" t="s">
        <v>328</v>
      </c>
      <c r="D875" s="13" t="str">
        <f>HYPERLINK("https://www.marklines.com/en/global/10797","Zhejiang Geely Farizon New Energy Commercial Vehicle Group Co., Ltd. ")</f>
        <v xml:space="preserve">Zhejiang Geely Farizon New Energy Commercial Vehicle Group Co., Ltd. </v>
      </c>
      <c r="E875" s="12" t="s">
        <v>726</v>
      </c>
      <c r="F875" s="12" t="s">
        <v>18</v>
      </c>
      <c r="G875" s="12" t="s">
        <v>24</v>
      </c>
      <c r="H875" s="12" t="s">
        <v>61</v>
      </c>
      <c r="I875" s="14">
        <v>45319</v>
      </c>
      <c r="J875" s="12" t="s">
        <v>727</v>
      </c>
    </row>
    <row r="876" spans="1:10" s="15" customFormat="1" x14ac:dyDescent="0.15">
      <c r="A876" s="11">
        <v>45322</v>
      </c>
      <c r="B876" s="12" t="s">
        <v>58</v>
      </c>
      <c r="C876" s="12" t="s">
        <v>69</v>
      </c>
      <c r="D876" s="13" t="str">
        <f>HYPERLINK("https://www.marklines.com/en/global/3425","Beiqi Foton Motor Co., Ltd.")</f>
        <v>Beiqi Foton Motor Co., Ltd.</v>
      </c>
      <c r="E876" s="12" t="s">
        <v>70</v>
      </c>
      <c r="F876" s="12" t="s">
        <v>18</v>
      </c>
      <c r="G876" s="12" t="s">
        <v>24</v>
      </c>
      <c r="H876" s="12" t="s">
        <v>71</v>
      </c>
      <c r="I876" s="14">
        <v>45318</v>
      </c>
      <c r="J876" s="12" t="s">
        <v>728</v>
      </c>
    </row>
    <row r="877" spans="1:10" s="15" customFormat="1" x14ac:dyDescent="0.15">
      <c r="A877" s="11">
        <v>45322</v>
      </c>
      <c r="B877" s="12" t="s">
        <v>19</v>
      </c>
      <c r="C877" s="12" t="s">
        <v>19</v>
      </c>
      <c r="D877" s="13" t="str">
        <f>HYPERLINK("https://www.marklines.com/en/global/267","PT. Astra Daihatsu Motor (ADM), Sunter (Jakarta) Plant")</f>
        <v>PT. Astra Daihatsu Motor (ADM), Sunter (Jakarta) Plant</v>
      </c>
      <c r="E877" s="12" t="s">
        <v>602</v>
      </c>
      <c r="F877" s="12" t="s">
        <v>29</v>
      </c>
      <c r="G877" s="12" t="s">
        <v>343</v>
      </c>
      <c r="H877" s="12"/>
      <c r="I877" s="14">
        <v>45317</v>
      </c>
      <c r="J877" s="12" t="s">
        <v>729</v>
      </c>
    </row>
    <row r="878" spans="1:10" s="15" customFormat="1" x14ac:dyDescent="0.15">
      <c r="A878" s="11">
        <v>45322</v>
      </c>
      <c r="B878" s="12" t="s">
        <v>19</v>
      </c>
      <c r="C878" s="12" t="s">
        <v>512</v>
      </c>
      <c r="D878" s="13" t="str">
        <f>HYPERLINK("https://www.marklines.com/en/global/267","PT. Astra Daihatsu Motor (ADM), Sunter (Jakarta) Plant")</f>
        <v>PT. Astra Daihatsu Motor (ADM), Sunter (Jakarta) Plant</v>
      </c>
      <c r="E878" s="12" t="s">
        <v>602</v>
      </c>
      <c r="F878" s="12" t="s">
        <v>29</v>
      </c>
      <c r="G878" s="12" t="s">
        <v>343</v>
      </c>
      <c r="H878" s="12"/>
      <c r="I878" s="14">
        <v>45317</v>
      </c>
      <c r="J878" s="12" t="s">
        <v>729</v>
      </c>
    </row>
    <row r="879" spans="1:10" s="15" customFormat="1" x14ac:dyDescent="0.15">
      <c r="A879" s="11">
        <v>45322</v>
      </c>
      <c r="B879" s="12" t="s">
        <v>78</v>
      </c>
      <c r="C879" s="12" t="s">
        <v>78</v>
      </c>
      <c r="D879" s="13" t="str">
        <f>HYPERLINK("https://www.marklines.com/en/global/267","PT. Astra Daihatsu Motor (ADM), Sunter (Jakarta) Plant")</f>
        <v>PT. Astra Daihatsu Motor (ADM), Sunter (Jakarta) Plant</v>
      </c>
      <c r="E879" s="12" t="s">
        <v>602</v>
      </c>
      <c r="F879" s="12" t="s">
        <v>29</v>
      </c>
      <c r="G879" s="12" t="s">
        <v>343</v>
      </c>
      <c r="H879" s="12"/>
      <c r="I879" s="14">
        <v>45317</v>
      </c>
      <c r="J879" s="12" t="s">
        <v>729</v>
      </c>
    </row>
    <row r="880" spans="1:10" s="15" customFormat="1" x14ac:dyDescent="0.15">
      <c r="A880" s="11">
        <v>45322</v>
      </c>
      <c r="B880" s="12" t="s">
        <v>68</v>
      </c>
      <c r="C880" s="12" t="s">
        <v>68</v>
      </c>
      <c r="D880" s="13" t="str">
        <f>HYPERLINK("https://www.marklines.com/en/global/9872","Chery Holding Group Co., Ltd. (formerly Chery Holding Co., Ltd.)")</f>
        <v>Chery Holding Group Co., Ltd. (formerly Chery Holding Co., Ltd.)</v>
      </c>
      <c r="E880" s="12" t="s">
        <v>730</v>
      </c>
      <c r="F880" s="12" t="s">
        <v>18</v>
      </c>
      <c r="G880" s="12" t="s">
        <v>24</v>
      </c>
      <c r="H880" s="12" t="s">
        <v>55</v>
      </c>
      <c r="I880" s="14">
        <v>45317</v>
      </c>
      <c r="J880" s="12" t="s">
        <v>731</v>
      </c>
    </row>
    <row r="881" spans="1:10" s="15" customFormat="1" x14ac:dyDescent="0.15">
      <c r="A881" s="11">
        <v>45322</v>
      </c>
      <c r="B881" s="12" t="s">
        <v>28</v>
      </c>
      <c r="C881" s="12" t="s">
        <v>43</v>
      </c>
      <c r="D881" s="13" t="str">
        <f>HYPERLINK("https://www.marklines.com/en/global/10485","Audi FAW New Energy Vehicle Co., Ltd.")</f>
        <v>Audi FAW New Energy Vehicle Co., Ltd.</v>
      </c>
      <c r="E881" s="12" t="s">
        <v>732</v>
      </c>
      <c r="F881" s="12" t="s">
        <v>18</v>
      </c>
      <c r="G881" s="12" t="s">
        <v>24</v>
      </c>
      <c r="H881" s="12" t="s">
        <v>392</v>
      </c>
      <c r="I881" s="14">
        <v>45317</v>
      </c>
      <c r="J881" s="12" t="s">
        <v>733</v>
      </c>
    </row>
    <row r="882" spans="1:10" s="15" customFormat="1" x14ac:dyDescent="0.15">
      <c r="A882" s="11">
        <v>45322</v>
      </c>
      <c r="B882" s="12" t="s">
        <v>65</v>
      </c>
      <c r="C882" s="12" t="s">
        <v>65</v>
      </c>
      <c r="D882" s="13" t="str">
        <f>HYPERLINK("https://www.marklines.com/en/global/3807","Zhejiang Geely Holding Group Co., Ltd.")</f>
        <v>Zhejiang Geely Holding Group Co., Ltd.</v>
      </c>
      <c r="E882" s="12" t="s">
        <v>229</v>
      </c>
      <c r="F882" s="12" t="s">
        <v>18</v>
      </c>
      <c r="G882" s="12" t="s">
        <v>24</v>
      </c>
      <c r="H882" s="12" t="s">
        <v>61</v>
      </c>
      <c r="I882" s="14">
        <v>45317</v>
      </c>
      <c r="J882" s="12" t="s">
        <v>734</v>
      </c>
    </row>
    <row r="883" spans="1:10" s="15" customFormat="1" x14ac:dyDescent="0.15">
      <c r="A883" s="11">
        <v>45322</v>
      </c>
      <c r="B883" s="12" t="s">
        <v>65</v>
      </c>
      <c r="C883" s="12" t="s">
        <v>328</v>
      </c>
      <c r="D883" s="13" t="str">
        <f>HYPERLINK("https://www.marklines.com/en/global/10797","Zhejiang Geely Farizon New Energy Commercial Vehicle Group Co., Ltd. ")</f>
        <v xml:space="preserve">Zhejiang Geely Farizon New Energy Commercial Vehicle Group Co., Ltd. </v>
      </c>
      <c r="E883" s="12" t="s">
        <v>726</v>
      </c>
      <c r="F883" s="12" t="s">
        <v>18</v>
      </c>
      <c r="G883" s="12" t="s">
        <v>24</v>
      </c>
      <c r="H883" s="12" t="s">
        <v>61</v>
      </c>
      <c r="I883" s="14">
        <v>45317</v>
      </c>
      <c r="J883" s="12" t="s">
        <v>734</v>
      </c>
    </row>
    <row r="884" spans="1:10" s="15" customFormat="1" x14ac:dyDescent="0.15">
      <c r="A884" s="11">
        <v>45322</v>
      </c>
      <c r="B884" s="12" t="s">
        <v>19</v>
      </c>
      <c r="C884" s="12" t="s">
        <v>19</v>
      </c>
      <c r="D884" s="13" t="str">
        <f>HYPERLINK("https://www.marklines.com/en/global/420","Toyota Motor East Japan, Miyagi Ohira Plant")</f>
        <v>Toyota Motor East Japan, Miyagi Ohira Plant</v>
      </c>
      <c r="E884" s="12" t="s">
        <v>194</v>
      </c>
      <c r="F884" s="12" t="s">
        <v>18</v>
      </c>
      <c r="G884" s="12" t="s">
        <v>20</v>
      </c>
      <c r="H884" s="12" t="s">
        <v>195</v>
      </c>
      <c r="I884" s="14">
        <v>45316</v>
      </c>
      <c r="J884" s="12" t="s">
        <v>735</v>
      </c>
    </row>
    <row r="885" spans="1:10" s="15" customFormat="1" x14ac:dyDescent="0.15">
      <c r="A885" s="11">
        <v>45322</v>
      </c>
      <c r="B885" s="12" t="s">
        <v>19</v>
      </c>
      <c r="C885" s="12" t="s">
        <v>19</v>
      </c>
      <c r="D885" s="13" t="str">
        <f>HYPERLINK("https://www.marklines.com/en/global/424","Toyota Motor East Japan, Iwate Plant")</f>
        <v>Toyota Motor East Japan, Iwate Plant</v>
      </c>
      <c r="E885" s="12" t="s">
        <v>196</v>
      </c>
      <c r="F885" s="12" t="s">
        <v>18</v>
      </c>
      <c r="G885" s="12" t="s">
        <v>20</v>
      </c>
      <c r="H885" s="12" t="s">
        <v>197</v>
      </c>
      <c r="I885" s="14">
        <v>45316</v>
      </c>
      <c r="J885" s="12" t="s">
        <v>735</v>
      </c>
    </row>
    <row r="886" spans="1:10" s="15" customFormat="1" x14ac:dyDescent="0.15">
      <c r="A886" s="11">
        <v>45322</v>
      </c>
      <c r="B886" s="12" t="s">
        <v>28</v>
      </c>
      <c r="C886" s="12" t="s">
        <v>353</v>
      </c>
      <c r="D886" s="13" t="str">
        <f>HYPERLINK("https://www.marklines.com/en/global/10605","Mobility Asia Smart Technology Co., Ltd.")</f>
        <v>Mobility Asia Smart Technology Co., Ltd.</v>
      </c>
      <c r="E886" s="12" t="s">
        <v>736</v>
      </c>
      <c r="F886" s="12" t="s">
        <v>18</v>
      </c>
      <c r="G886" s="12" t="s">
        <v>24</v>
      </c>
      <c r="H886" s="12" t="s">
        <v>71</v>
      </c>
      <c r="I886" s="14">
        <v>45316</v>
      </c>
      <c r="J886" s="12" t="s">
        <v>737</v>
      </c>
    </row>
    <row r="887" spans="1:10" s="15" customFormat="1" x14ac:dyDescent="0.15">
      <c r="A887" s="11">
        <v>45322</v>
      </c>
      <c r="B887" s="12" t="s">
        <v>28</v>
      </c>
      <c r="C887" s="12" t="s">
        <v>353</v>
      </c>
      <c r="D887" s="13" t="str">
        <f>HYPERLINK("https://www.marklines.com/en/global/10714","Volkswagen (China) Technology Co., Ltd. (VCTC)")</f>
        <v>Volkswagen (China) Technology Co., Ltd. (VCTC)</v>
      </c>
      <c r="E887" s="12" t="s">
        <v>738</v>
      </c>
      <c r="F887" s="12" t="s">
        <v>18</v>
      </c>
      <c r="G887" s="12" t="s">
        <v>24</v>
      </c>
      <c r="H887" s="12" t="s">
        <v>55</v>
      </c>
      <c r="I887" s="14">
        <v>45316</v>
      </c>
      <c r="J887" s="12" t="s">
        <v>737</v>
      </c>
    </row>
    <row r="888" spans="1:10" s="15" customFormat="1" x14ac:dyDescent="0.15">
      <c r="A888" s="11">
        <v>45322</v>
      </c>
      <c r="B888" s="12" t="s">
        <v>28</v>
      </c>
      <c r="C888" s="12" t="s">
        <v>353</v>
      </c>
      <c r="D888" s="13" t="str">
        <f>HYPERLINK("https://www.marklines.com/en/global/3481","Volkswagen (China) Investment Co., Ltd. ")</f>
        <v xml:space="preserve">Volkswagen (China) Investment Co., Ltd. </v>
      </c>
      <c r="E888" s="12" t="s">
        <v>739</v>
      </c>
      <c r="F888" s="12" t="s">
        <v>18</v>
      </c>
      <c r="G888" s="12" t="s">
        <v>24</v>
      </c>
      <c r="H888" s="12" t="s">
        <v>71</v>
      </c>
      <c r="I888" s="14">
        <v>45316</v>
      </c>
      <c r="J888" s="12" t="s">
        <v>737</v>
      </c>
    </row>
    <row r="889" spans="1:10" s="15" customFormat="1" x14ac:dyDescent="0.15">
      <c r="A889" s="11">
        <v>45322</v>
      </c>
      <c r="B889" s="12" t="s">
        <v>237</v>
      </c>
      <c r="C889" s="12" t="s">
        <v>740</v>
      </c>
      <c r="D889" s="13" t="str">
        <f>HYPERLINK("https://www.marklines.com/en/global/10795","VOYAH Automobile Technology Co., Ltd.")</f>
        <v>VOYAH Automobile Technology Co., Ltd.</v>
      </c>
      <c r="E889" s="12" t="s">
        <v>741</v>
      </c>
      <c r="F889" s="12" t="s">
        <v>18</v>
      </c>
      <c r="G889" s="12" t="s">
        <v>24</v>
      </c>
      <c r="H889" s="12" t="s">
        <v>76</v>
      </c>
      <c r="I889" s="14">
        <v>45316</v>
      </c>
      <c r="J889" s="12" t="s">
        <v>742</v>
      </c>
    </row>
    <row r="890" spans="1:10" s="15" customFormat="1" x14ac:dyDescent="0.15">
      <c r="A890" s="11">
        <v>45322</v>
      </c>
      <c r="B890" s="12" t="s">
        <v>237</v>
      </c>
      <c r="C890" s="12" t="s">
        <v>740</v>
      </c>
      <c r="D890" s="13" t="str">
        <f>HYPERLINK("https://www.marklines.com/en/global/9165","Dongfeng Motor (Wuhan) Co., Ltd. (formerly Dongfeng Renault Automotive  Co., Ltd.) ")</f>
        <v xml:space="preserve">Dongfeng Motor (Wuhan) Co., Ltd. (formerly Dongfeng Renault Automotive  Co., Ltd.) </v>
      </c>
      <c r="E890" s="12" t="s">
        <v>743</v>
      </c>
      <c r="F890" s="12" t="s">
        <v>18</v>
      </c>
      <c r="G890" s="12" t="s">
        <v>24</v>
      </c>
      <c r="H890" s="12" t="s">
        <v>76</v>
      </c>
      <c r="I890" s="14">
        <v>45316</v>
      </c>
      <c r="J890" s="12" t="s">
        <v>742</v>
      </c>
    </row>
    <row r="891" spans="1:10" s="15" customFormat="1" x14ac:dyDescent="0.15">
      <c r="A891" s="11">
        <v>45322</v>
      </c>
      <c r="B891" s="12" t="s">
        <v>237</v>
      </c>
      <c r="C891" s="12" t="s">
        <v>744</v>
      </c>
      <c r="D891" s="13" t="str">
        <f>HYPERLINK("https://www.marklines.com/en/global/10504","Dongfeng Motor Group Co., Ltd. Mengshi Automobile Technology Company (formerly Dongfeng Motor Group Co., Ltd. High-end EV Off-road Vehicle Plant)")</f>
        <v>Dongfeng Motor Group Co., Ltd. Mengshi Automobile Technology Company (formerly Dongfeng Motor Group Co., Ltd. High-end EV Off-road Vehicle Plant)</v>
      </c>
      <c r="E891" s="12" t="s">
        <v>745</v>
      </c>
      <c r="F891" s="12" t="s">
        <v>18</v>
      </c>
      <c r="G891" s="12" t="s">
        <v>24</v>
      </c>
      <c r="H891" s="12" t="s">
        <v>76</v>
      </c>
      <c r="I891" s="14">
        <v>45316</v>
      </c>
      <c r="J891" s="12" t="s">
        <v>742</v>
      </c>
    </row>
    <row r="892" spans="1:10" s="15" customFormat="1" x14ac:dyDescent="0.15">
      <c r="A892" s="11">
        <v>45322</v>
      </c>
      <c r="B892" s="12" t="s">
        <v>237</v>
      </c>
      <c r="C892" s="12" t="s">
        <v>744</v>
      </c>
      <c r="D892" s="13" t="str">
        <f>HYPERLINK("https://www.marklines.com/en/global/4017","Dongfeng Off-road Vehicle Co., Ltd. ")</f>
        <v xml:space="preserve">Dongfeng Off-road Vehicle Co., Ltd. </v>
      </c>
      <c r="E892" s="12" t="s">
        <v>746</v>
      </c>
      <c r="F892" s="12" t="s">
        <v>18</v>
      </c>
      <c r="G892" s="12" t="s">
        <v>24</v>
      </c>
      <c r="H892" s="12" t="s">
        <v>76</v>
      </c>
      <c r="I892" s="14">
        <v>45316</v>
      </c>
      <c r="J892" s="12" t="s">
        <v>742</v>
      </c>
    </row>
    <row r="893" spans="1:10" s="15" customFormat="1" x14ac:dyDescent="0.15">
      <c r="A893" s="11">
        <v>45322</v>
      </c>
      <c r="B893" s="12" t="s">
        <v>19</v>
      </c>
      <c r="C893" s="12" t="s">
        <v>19</v>
      </c>
      <c r="D893" s="13" t="str">
        <f>HYPERLINK("https://www.marklines.com/en/global/547","Daihatsu Motor Kyushu, Oita (Nakatsu) Plant")</f>
        <v>Daihatsu Motor Kyushu, Oita (Nakatsu) Plant</v>
      </c>
      <c r="E893" s="12" t="s">
        <v>520</v>
      </c>
      <c r="F893" s="12" t="s">
        <v>18</v>
      </c>
      <c r="G893" s="12" t="s">
        <v>20</v>
      </c>
      <c r="H893" s="12" t="s">
        <v>521</v>
      </c>
      <c r="I893" s="14">
        <v>45315</v>
      </c>
      <c r="J893" s="12" t="s">
        <v>747</v>
      </c>
    </row>
    <row r="894" spans="1:10" s="15" customFormat="1" x14ac:dyDescent="0.15">
      <c r="A894" s="11">
        <v>45322</v>
      </c>
      <c r="B894" s="12" t="s">
        <v>19</v>
      </c>
      <c r="C894" s="12" t="s">
        <v>512</v>
      </c>
      <c r="D894" s="13" t="str">
        <f>HYPERLINK("https://www.marklines.com/en/global/547","Daihatsu Motor Kyushu, Oita (Nakatsu) Plant")</f>
        <v>Daihatsu Motor Kyushu, Oita (Nakatsu) Plant</v>
      </c>
      <c r="E894" s="12" t="s">
        <v>520</v>
      </c>
      <c r="F894" s="12" t="s">
        <v>18</v>
      </c>
      <c r="G894" s="12" t="s">
        <v>20</v>
      </c>
      <c r="H894" s="12" t="s">
        <v>521</v>
      </c>
      <c r="I894" s="14">
        <v>45315</v>
      </c>
      <c r="J894" s="12" t="s">
        <v>747</v>
      </c>
    </row>
    <row r="895" spans="1:10" s="15" customFormat="1" x14ac:dyDescent="0.15">
      <c r="A895" s="11">
        <v>45322</v>
      </c>
      <c r="B895" s="12" t="s">
        <v>281</v>
      </c>
      <c r="C895" s="12" t="s">
        <v>748</v>
      </c>
      <c r="D895" s="13" t="str">
        <f>HYPERLINK("https://www.marklines.com/en/global/553","Isuzu Motors, Fujisawa Plant")</f>
        <v>Isuzu Motors, Fujisawa Plant</v>
      </c>
      <c r="E895" s="12" t="s">
        <v>282</v>
      </c>
      <c r="F895" s="12" t="s">
        <v>18</v>
      </c>
      <c r="G895" s="12" t="s">
        <v>20</v>
      </c>
      <c r="H895" s="12" t="s">
        <v>283</v>
      </c>
      <c r="I895" s="14">
        <v>45315</v>
      </c>
      <c r="J895" s="12" t="s">
        <v>749</v>
      </c>
    </row>
    <row r="896" spans="1:10" s="15" customFormat="1" x14ac:dyDescent="0.15">
      <c r="A896" s="11">
        <v>45322</v>
      </c>
      <c r="B896" s="12" t="s">
        <v>459</v>
      </c>
      <c r="C896" s="12" t="s">
        <v>459</v>
      </c>
      <c r="D896" s="13" t="str">
        <f>HYPERLINK("https://www.marklines.com/en/global/10703","Mullen Automotive, Advanced Manufacturing Engineering Center (AMEC)")</f>
        <v>Mullen Automotive, Advanced Manufacturing Engineering Center (AMEC)</v>
      </c>
      <c r="E896" s="12" t="s">
        <v>460</v>
      </c>
      <c r="F896" s="12" t="s">
        <v>15</v>
      </c>
      <c r="G896" s="12" t="s">
        <v>11</v>
      </c>
      <c r="H896" s="12" t="s">
        <v>452</v>
      </c>
      <c r="I896" s="14">
        <v>45313</v>
      </c>
      <c r="J896" s="12" t="s">
        <v>750</v>
      </c>
    </row>
    <row r="897" spans="1:10" s="15" customFormat="1" x14ac:dyDescent="0.15">
      <c r="A897" s="11">
        <v>45322</v>
      </c>
      <c r="B897" s="12" t="s">
        <v>248</v>
      </c>
      <c r="C897" s="12" t="s">
        <v>249</v>
      </c>
      <c r="D897" s="13" t="str">
        <f>HYPERLINK("https://www.marklines.com/en/global/9481","SAIC Motor Corporation Limited Passenger Vehicle Zhengzhou Branch")</f>
        <v>SAIC Motor Corporation Limited Passenger Vehicle Zhengzhou Branch</v>
      </c>
      <c r="E897" s="12" t="s">
        <v>751</v>
      </c>
      <c r="F897" s="12" t="s">
        <v>18</v>
      </c>
      <c r="G897" s="12" t="s">
        <v>24</v>
      </c>
      <c r="H897" s="12" t="s">
        <v>401</v>
      </c>
      <c r="I897" s="14">
        <v>45045</v>
      </c>
      <c r="J897" s="12" t="s">
        <v>752</v>
      </c>
    </row>
    <row r="898" spans="1:10" s="15" customFormat="1" x14ac:dyDescent="0.15">
      <c r="A898" s="11">
        <v>45322</v>
      </c>
      <c r="B898" s="12" t="s">
        <v>248</v>
      </c>
      <c r="C898" s="12" t="s">
        <v>249</v>
      </c>
      <c r="D898" s="13" t="str">
        <f>HYPERLINK("https://www.marklines.com/en/global/9814","SAIC Motor Corporation Limited Passenger Vehicle Fujian Branch")</f>
        <v>SAIC Motor Corporation Limited Passenger Vehicle Fujian Branch</v>
      </c>
      <c r="E898" s="12" t="s">
        <v>709</v>
      </c>
      <c r="F898" s="12" t="s">
        <v>18</v>
      </c>
      <c r="G898" s="12" t="s">
        <v>24</v>
      </c>
      <c r="H898" s="12" t="s">
        <v>710</v>
      </c>
      <c r="I898" s="14">
        <v>45045</v>
      </c>
      <c r="J898" s="12" t="s">
        <v>752</v>
      </c>
    </row>
    <row r="899" spans="1:10" s="15" customFormat="1" x14ac:dyDescent="0.15">
      <c r="A899" s="11">
        <v>45322</v>
      </c>
      <c r="B899" s="12" t="s">
        <v>57</v>
      </c>
      <c r="C899" s="12" t="s">
        <v>57</v>
      </c>
      <c r="D899" s="13" t="str">
        <f>HYPERLINK("https://www.marklines.com/en/global/9500","BYD Co., Ltd.")</f>
        <v>BYD Co., Ltd.</v>
      </c>
      <c r="E899" s="12" t="s">
        <v>120</v>
      </c>
      <c r="F899" s="12" t="s">
        <v>18</v>
      </c>
      <c r="G899" s="12" t="s">
        <v>24</v>
      </c>
      <c r="H899" s="12" t="s">
        <v>63</v>
      </c>
      <c r="I899" s="14">
        <v>45014</v>
      </c>
      <c r="J899" s="12" t="s">
        <v>753</v>
      </c>
    </row>
    <row r="900" spans="1:10" s="15" customFormat="1" x14ac:dyDescent="0.15">
      <c r="A900" s="11">
        <v>45322</v>
      </c>
      <c r="B900" s="12" t="s">
        <v>57</v>
      </c>
      <c r="C900" s="12" t="s">
        <v>57</v>
      </c>
      <c r="D900" s="13" t="str">
        <f>HYPERLINK("https://www.marklines.com/en/global/9500","BYD Co., Ltd.")</f>
        <v>BYD Co., Ltd.</v>
      </c>
      <c r="E900" s="12" t="s">
        <v>120</v>
      </c>
      <c r="F900" s="12" t="s">
        <v>18</v>
      </c>
      <c r="G900" s="12" t="s">
        <v>24</v>
      </c>
      <c r="H900" s="12" t="s">
        <v>63</v>
      </c>
      <c r="I900" s="14">
        <v>45014</v>
      </c>
      <c r="J900" s="12" t="s">
        <v>754</v>
      </c>
    </row>
    <row r="901" spans="1:10" s="15" customFormat="1" x14ac:dyDescent="0.15">
      <c r="A901" s="11">
        <v>45322</v>
      </c>
      <c r="B901" s="12" t="s">
        <v>57</v>
      </c>
      <c r="C901" s="12" t="s">
        <v>57</v>
      </c>
      <c r="D901" s="13" t="str">
        <f>HYPERLINK("https://www.marklines.com/en/global/4125","BYD Automobile Industry Co., Ltd., Shenzhen Plant")</f>
        <v>BYD Automobile Industry Co., Ltd., Shenzhen Plant</v>
      </c>
      <c r="E901" s="12" t="s">
        <v>395</v>
      </c>
      <c r="F901" s="12" t="s">
        <v>18</v>
      </c>
      <c r="G901" s="12" t="s">
        <v>24</v>
      </c>
      <c r="H901" s="12" t="s">
        <v>63</v>
      </c>
      <c r="I901" s="14">
        <v>45014</v>
      </c>
      <c r="J901" s="12" t="s">
        <v>754</v>
      </c>
    </row>
    <row r="902" spans="1:10" s="15" customFormat="1" x14ac:dyDescent="0.15">
      <c r="A902" s="11">
        <v>45322</v>
      </c>
      <c r="B902" s="12" t="s">
        <v>57</v>
      </c>
      <c r="C902" s="12" t="s">
        <v>57</v>
      </c>
      <c r="D902" s="13" t="str">
        <f>HYPERLINK("https://www.marklines.com/en/global/9500","BYD Co., Ltd.")</f>
        <v>BYD Co., Ltd.</v>
      </c>
      <c r="E902" s="12" t="s">
        <v>120</v>
      </c>
      <c r="F902" s="12" t="s">
        <v>18</v>
      </c>
      <c r="G902" s="12" t="s">
        <v>24</v>
      </c>
      <c r="H902" s="12" t="s">
        <v>63</v>
      </c>
      <c r="I902" s="14">
        <v>45014</v>
      </c>
      <c r="J902" s="12" t="s">
        <v>755</v>
      </c>
    </row>
    <row r="903" spans="1:10" s="15" customFormat="1" x14ac:dyDescent="0.15">
      <c r="A903" s="11">
        <v>45322</v>
      </c>
      <c r="B903" s="12" t="s">
        <v>57</v>
      </c>
      <c r="C903" s="12" t="s">
        <v>57</v>
      </c>
      <c r="D903" s="13" t="str">
        <f>HYPERLINK("https://www.marklines.com/en/global/9500","BYD Co., Ltd.")</f>
        <v>BYD Co., Ltd.</v>
      </c>
      <c r="E903" s="12" t="s">
        <v>120</v>
      </c>
      <c r="F903" s="12" t="s">
        <v>18</v>
      </c>
      <c r="G903" s="12" t="s">
        <v>24</v>
      </c>
      <c r="H903" s="12" t="s">
        <v>63</v>
      </c>
      <c r="I903" s="14">
        <v>45014</v>
      </c>
      <c r="J903" s="12" t="s">
        <v>756</v>
      </c>
    </row>
    <row r="904" spans="1:10" s="15" customFormat="1" x14ac:dyDescent="0.15">
      <c r="A904" s="11">
        <v>45321</v>
      </c>
      <c r="B904" s="12" t="s">
        <v>19</v>
      </c>
      <c r="C904" s="12" t="s">
        <v>19</v>
      </c>
      <c r="D904" s="13" t="str">
        <f>HYPERLINK("https://www.marklines.com/en/global/2095","Toyota Auto Works Co., Ltd. (TAW), Samutprakarn Plant")</f>
        <v>Toyota Auto Works Co., Ltd. (TAW), Samutprakarn Plant</v>
      </c>
      <c r="E904" s="12" t="s">
        <v>689</v>
      </c>
      <c r="F904" s="12" t="s">
        <v>29</v>
      </c>
      <c r="G904" s="12" t="s">
        <v>301</v>
      </c>
      <c r="H904" s="12" t="s">
        <v>690</v>
      </c>
      <c r="I904" s="14">
        <v>45320</v>
      </c>
      <c r="J904" s="12" t="s">
        <v>757</v>
      </c>
    </row>
    <row r="905" spans="1:10" s="15" customFormat="1" x14ac:dyDescent="0.15">
      <c r="A905" s="11">
        <v>45321</v>
      </c>
      <c r="B905" s="12" t="s">
        <v>19</v>
      </c>
      <c r="C905" s="12" t="s">
        <v>19</v>
      </c>
      <c r="D905" s="13" t="str">
        <f>HYPERLINK("https://www.marklines.com/en/global/2091","Toyota Motor Thailand (TMT), Ban Pho Plant")</f>
        <v>Toyota Motor Thailand (TMT), Ban Pho Plant</v>
      </c>
      <c r="E905" s="12" t="s">
        <v>694</v>
      </c>
      <c r="F905" s="12" t="s">
        <v>29</v>
      </c>
      <c r="G905" s="12" t="s">
        <v>301</v>
      </c>
      <c r="H905" s="12" t="s">
        <v>695</v>
      </c>
      <c r="I905" s="14">
        <v>45320</v>
      </c>
      <c r="J905" s="12" t="s">
        <v>757</v>
      </c>
    </row>
    <row r="906" spans="1:10" s="15" customFormat="1" x14ac:dyDescent="0.15">
      <c r="A906" s="11">
        <v>45321</v>
      </c>
      <c r="B906" s="12" t="s">
        <v>19</v>
      </c>
      <c r="C906" s="12" t="s">
        <v>19</v>
      </c>
      <c r="D906" s="13" t="str">
        <f>HYPERLINK("https://www.marklines.com/en/global/2087","Toyota Motor Thailand (TMT), Samrong (Samutprakarn) Plant")</f>
        <v>Toyota Motor Thailand (TMT), Samrong (Samutprakarn) Plant</v>
      </c>
      <c r="E906" s="12" t="s">
        <v>758</v>
      </c>
      <c r="F906" s="12" t="s">
        <v>29</v>
      </c>
      <c r="G906" s="12" t="s">
        <v>301</v>
      </c>
      <c r="H906" s="12" t="s">
        <v>690</v>
      </c>
      <c r="I906" s="14">
        <v>45320</v>
      </c>
      <c r="J906" s="12" t="s">
        <v>757</v>
      </c>
    </row>
    <row r="907" spans="1:10" s="15" customFormat="1" x14ac:dyDescent="0.15">
      <c r="A907" s="11">
        <v>45321</v>
      </c>
      <c r="B907" s="12" t="s">
        <v>19</v>
      </c>
      <c r="C907" s="12" t="s">
        <v>19</v>
      </c>
      <c r="D907" s="13" t="str">
        <f>HYPERLINK("https://www.marklines.com/en/global/363","PT. Toyota Motor Manufacturing Indonesia (TMMIN), Karawang Plant")</f>
        <v>PT. Toyota Motor Manufacturing Indonesia (TMMIN), Karawang Plant</v>
      </c>
      <c r="E907" s="12" t="s">
        <v>345</v>
      </c>
      <c r="F907" s="12" t="s">
        <v>29</v>
      </c>
      <c r="G907" s="12" t="s">
        <v>343</v>
      </c>
      <c r="H907" s="12"/>
      <c r="I907" s="14">
        <v>45320</v>
      </c>
      <c r="J907" s="12" t="s">
        <v>759</v>
      </c>
    </row>
    <row r="908" spans="1:10" s="15" customFormat="1" x14ac:dyDescent="0.15">
      <c r="A908" s="11">
        <v>45321</v>
      </c>
      <c r="B908" s="12" t="s">
        <v>21</v>
      </c>
      <c r="C908" s="12" t="s">
        <v>21</v>
      </c>
      <c r="D908" s="13" t="str">
        <f>HYPERLINK("https://www.marklines.com/en/global/2617","Ford Motor Canada, Oakville Assembly Plant")</f>
        <v>Ford Motor Canada, Oakville Assembly Plant</v>
      </c>
      <c r="E908" s="12" t="s">
        <v>760</v>
      </c>
      <c r="F908" s="12" t="s">
        <v>15</v>
      </c>
      <c r="G908" s="12" t="s">
        <v>260</v>
      </c>
      <c r="H908" s="12"/>
      <c r="I908" s="14">
        <v>45320</v>
      </c>
      <c r="J908" s="12" t="s">
        <v>761</v>
      </c>
    </row>
    <row r="909" spans="1:10" s="15" customFormat="1" x14ac:dyDescent="0.15">
      <c r="A909" s="11">
        <v>45321</v>
      </c>
      <c r="B909" s="12" t="s">
        <v>34</v>
      </c>
      <c r="C909" s="12" t="s">
        <v>34</v>
      </c>
      <c r="D909" s="13" t="str">
        <f>HYPERLINK("https://www.marklines.com/en/global/10587","Hyundai Motor Group Metaplant America (HMGMA) LLC")</f>
        <v>Hyundai Motor Group Metaplant America (HMGMA) LLC</v>
      </c>
      <c r="E909" s="12" t="s">
        <v>762</v>
      </c>
      <c r="F909" s="12" t="s">
        <v>15</v>
      </c>
      <c r="G909" s="12" t="s">
        <v>11</v>
      </c>
      <c r="H909" s="12" t="s">
        <v>361</v>
      </c>
      <c r="I909" s="14">
        <v>45320</v>
      </c>
      <c r="J909" s="12" t="s">
        <v>763</v>
      </c>
    </row>
    <row r="910" spans="1:10" s="15" customFormat="1" x14ac:dyDescent="0.15">
      <c r="A910" s="11">
        <v>45321</v>
      </c>
      <c r="B910" s="12" t="s">
        <v>350</v>
      </c>
      <c r="C910" s="12" t="s">
        <v>350</v>
      </c>
      <c r="D910" s="13" t="str">
        <f>HYPERLINK("https://www.marklines.com/en/global/10564","Ultium Cells LLC, Lansing Plant")</f>
        <v>Ultium Cells LLC, Lansing Plant</v>
      </c>
      <c r="E910" s="12" t="s">
        <v>764</v>
      </c>
      <c r="F910" s="12" t="s">
        <v>15</v>
      </c>
      <c r="G910" s="12" t="s">
        <v>11</v>
      </c>
      <c r="H910" s="12" t="s">
        <v>505</v>
      </c>
      <c r="I910" s="14">
        <v>45320</v>
      </c>
      <c r="J910" s="12" t="s">
        <v>765</v>
      </c>
    </row>
    <row r="911" spans="1:10" s="15" customFormat="1" x14ac:dyDescent="0.15">
      <c r="A911" s="11">
        <v>45321</v>
      </c>
      <c r="B911" s="12" t="s">
        <v>57</v>
      </c>
      <c r="C911" s="12" t="s">
        <v>57</v>
      </c>
      <c r="D911" s="13" t="str">
        <f>HYPERLINK("https://www.marklines.com/en/global/9497","BYD Uzbekistan Factory (formerly Uzbekistan Peugeot Citroen Automotive LLC.)")</f>
        <v>BYD Uzbekistan Factory (formerly Uzbekistan Peugeot Citroen Automotive LLC.)</v>
      </c>
      <c r="E911" s="12" t="s">
        <v>766</v>
      </c>
      <c r="F911" s="12" t="s">
        <v>17</v>
      </c>
      <c r="G911" s="12" t="s">
        <v>767</v>
      </c>
      <c r="H911" s="12"/>
      <c r="I911" s="14">
        <v>45317</v>
      </c>
      <c r="J911" s="12" t="s">
        <v>768</v>
      </c>
    </row>
    <row r="912" spans="1:10" s="15" customFormat="1" x14ac:dyDescent="0.15">
      <c r="A912" s="11">
        <v>45321</v>
      </c>
      <c r="B912" s="12" t="s">
        <v>12</v>
      </c>
      <c r="C912" s="12" t="s">
        <v>769</v>
      </c>
      <c r="D912" s="13" t="str">
        <f>HYPERLINK("https://www.marklines.com/en/global/9497","BYD Uzbekistan Factory (formerly Uzbekistan Peugeot Citroen Automotive LLC.)")</f>
        <v>BYD Uzbekistan Factory (formerly Uzbekistan Peugeot Citroen Automotive LLC.)</v>
      </c>
      <c r="E912" s="12" t="s">
        <v>766</v>
      </c>
      <c r="F912" s="12" t="s">
        <v>17</v>
      </c>
      <c r="G912" s="12" t="s">
        <v>767</v>
      </c>
      <c r="H912" s="12"/>
      <c r="I912" s="14">
        <v>45317</v>
      </c>
      <c r="J912" s="12" t="s">
        <v>768</v>
      </c>
    </row>
    <row r="913" spans="1:10" s="15" customFormat="1" x14ac:dyDescent="0.15">
      <c r="A913" s="11">
        <v>45321</v>
      </c>
      <c r="B913" s="12" t="s">
        <v>50</v>
      </c>
      <c r="C913" s="12" t="s">
        <v>50</v>
      </c>
      <c r="D913" s="13" t="str">
        <f>HYPERLINK("https://www.marklines.com/en/global/10665","Tesla Gigafactory 2, Buffalo")</f>
        <v>Tesla Gigafactory 2, Buffalo</v>
      </c>
      <c r="E913" s="12" t="s">
        <v>770</v>
      </c>
      <c r="F913" s="12" t="s">
        <v>15</v>
      </c>
      <c r="G913" s="12" t="s">
        <v>11</v>
      </c>
      <c r="H913" s="12" t="s">
        <v>771</v>
      </c>
      <c r="I913" s="14">
        <v>45317</v>
      </c>
      <c r="J913" s="12" t="s">
        <v>772</v>
      </c>
    </row>
    <row r="914" spans="1:10" s="15" customFormat="1" x14ac:dyDescent="0.15">
      <c r="A914" s="11">
        <v>45321</v>
      </c>
      <c r="B914" s="12" t="s">
        <v>248</v>
      </c>
      <c r="C914" s="12" t="s">
        <v>643</v>
      </c>
      <c r="D914" s="13" t="str">
        <f>HYPERLINK("https://www.marklines.com/en/global/4149","Guangxi Automobile Group Co., Ltd.")</f>
        <v>Guangxi Automobile Group Co., Ltd.</v>
      </c>
      <c r="E914" s="12" t="s">
        <v>773</v>
      </c>
      <c r="F914" s="12" t="s">
        <v>18</v>
      </c>
      <c r="G914" s="12" t="s">
        <v>24</v>
      </c>
      <c r="H914" s="12" t="s">
        <v>326</v>
      </c>
      <c r="I914" s="14">
        <v>45316</v>
      </c>
      <c r="J914" s="12" t="s">
        <v>774</v>
      </c>
    </row>
    <row r="915" spans="1:10" s="15" customFormat="1" x14ac:dyDescent="0.15">
      <c r="A915" s="11">
        <v>45321</v>
      </c>
      <c r="B915" s="12" t="s">
        <v>65</v>
      </c>
      <c r="C915" s="12" t="s">
        <v>775</v>
      </c>
      <c r="D915" s="13" t="str">
        <f>HYPERLINK("https://www.marklines.com/en/global/9815","Zhejiang LEVC Automobile Co., Ltd. (formerly Zhejiang Englon Automobile Co., Ltd.)")</f>
        <v>Zhejiang LEVC Automobile Co., Ltd. (formerly Zhejiang Englon Automobile Co., Ltd.)</v>
      </c>
      <c r="E915" s="12" t="s">
        <v>776</v>
      </c>
      <c r="F915" s="12" t="s">
        <v>18</v>
      </c>
      <c r="G915" s="12" t="s">
        <v>24</v>
      </c>
      <c r="H915" s="12" t="s">
        <v>61</v>
      </c>
      <c r="I915" s="14">
        <v>45316</v>
      </c>
      <c r="J915" s="12" t="s">
        <v>777</v>
      </c>
    </row>
    <row r="916" spans="1:10" s="15" customFormat="1" x14ac:dyDescent="0.15">
      <c r="A916" s="11">
        <v>45321</v>
      </c>
      <c r="B916" s="12" t="s">
        <v>27</v>
      </c>
      <c r="C916" s="12" t="s">
        <v>27</v>
      </c>
      <c r="D916" s="13" t="str">
        <f>HYPERLINK("https://www.marklines.com/en/global/3375","BMW Brilliance Automotive Limited (BBA), Dadong Plant")</f>
        <v>BMW Brilliance Automotive Limited (BBA), Dadong Plant</v>
      </c>
      <c r="E916" s="12" t="s">
        <v>118</v>
      </c>
      <c r="F916" s="12" t="s">
        <v>18</v>
      </c>
      <c r="G916" s="12" t="s">
        <v>24</v>
      </c>
      <c r="H916" s="12" t="s">
        <v>73</v>
      </c>
      <c r="I916" s="14">
        <v>45316</v>
      </c>
      <c r="J916" s="12" t="s">
        <v>778</v>
      </c>
    </row>
    <row r="917" spans="1:10" s="15" customFormat="1" x14ac:dyDescent="0.15">
      <c r="A917" s="11">
        <v>45321</v>
      </c>
      <c r="B917" s="12" t="s">
        <v>350</v>
      </c>
      <c r="C917" s="12" t="s">
        <v>646</v>
      </c>
      <c r="D917" s="13" t="str">
        <f>HYPERLINK("https://www.marklines.com/en/global/2479","General Motors, Orion Assembly Plant")</f>
        <v>General Motors, Orion Assembly Plant</v>
      </c>
      <c r="E917" s="12" t="s">
        <v>779</v>
      </c>
      <c r="F917" s="12" t="s">
        <v>15</v>
      </c>
      <c r="G917" s="12" t="s">
        <v>11</v>
      </c>
      <c r="H917" s="12" t="s">
        <v>505</v>
      </c>
      <c r="I917" s="14">
        <v>45316</v>
      </c>
      <c r="J917" s="12" t="s">
        <v>780</v>
      </c>
    </row>
    <row r="918" spans="1:10" s="15" customFormat="1" x14ac:dyDescent="0.15">
      <c r="A918" s="11">
        <v>45321</v>
      </c>
      <c r="B918" s="12" t="s">
        <v>350</v>
      </c>
      <c r="C918" s="12" t="s">
        <v>679</v>
      </c>
      <c r="D918" s="13" t="str">
        <f>HYPERLINK("https://www.marklines.com/en/global/2479","General Motors, Orion Assembly Plant")</f>
        <v>General Motors, Orion Assembly Plant</v>
      </c>
      <c r="E918" s="12" t="s">
        <v>779</v>
      </c>
      <c r="F918" s="12" t="s">
        <v>15</v>
      </c>
      <c r="G918" s="12" t="s">
        <v>11</v>
      </c>
      <c r="H918" s="12" t="s">
        <v>505</v>
      </c>
      <c r="I918" s="14">
        <v>45316</v>
      </c>
      <c r="J918" s="12" t="s">
        <v>780</v>
      </c>
    </row>
    <row r="919" spans="1:10" s="15" customFormat="1" x14ac:dyDescent="0.15">
      <c r="A919" s="11">
        <v>45321</v>
      </c>
      <c r="B919" s="12" t="s">
        <v>19</v>
      </c>
      <c r="C919" s="12" t="s">
        <v>684</v>
      </c>
      <c r="D919" s="13" t="str">
        <f>HYPERLINK("https://www.marklines.com/en/global/4105","GAC Hino Motors Co., Ltd.")</f>
        <v>GAC Hino Motors Co., Ltd.</v>
      </c>
      <c r="E919" s="12" t="s">
        <v>781</v>
      </c>
      <c r="F919" s="12" t="s">
        <v>18</v>
      </c>
      <c r="G919" s="12" t="s">
        <v>24</v>
      </c>
      <c r="H919" s="12" t="s">
        <v>63</v>
      </c>
      <c r="I919" s="14">
        <v>45315</v>
      </c>
      <c r="J919" s="12" t="s">
        <v>782</v>
      </c>
    </row>
    <row r="920" spans="1:10" s="15" customFormat="1" x14ac:dyDescent="0.15">
      <c r="A920" s="11">
        <v>45321</v>
      </c>
      <c r="B920" s="12" t="s">
        <v>571</v>
      </c>
      <c r="C920" s="12" t="s">
        <v>571</v>
      </c>
      <c r="D920" s="13" t="str">
        <f>HYPERLINK("https://www.marklines.com/en/global/4105","GAC Hino Motors Co., Ltd.")</f>
        <v>GAC Hino Motors Co., Ltd.</v>
      </c>
      <c r="E920" s="12" t="s">
        <v>781</v>
      </c>
      <c r="F920" s="12" t="s">
        <v>18</v>
      </c>
      <c r="G920" s="12" t="s">
        <v>24</v>
      </c>
      <c r="H920" s="12" t="s">
        <v>63</v>
      </c>
      <c r="I920" s="14">
        <v>45315</v>
      </c>
      <c r="J920" s="12" t="s">
        <v>782</v>
      </c>
    </row>
    <row r="921" spans="1:10" s="15" customFormat="1" x14ac:dyDescent="0.15">
      <c r="A921" s="11">
        <v>45321</v>
      </c>
      <c r="B921" s="12" t="s">
        <v>102</v>
      </c>
      <c r="C921" s="12" t="s">
        <v>102</v>
      </c>
      <c r="D921" s="13" t="str">
        <f>HYPERLINK("https://www.marklines.com/en/global/3929","Fujian Motor Industry Group Co., Ltd.  (FJMG) ")</f>
        <v xml:space="preserve">Fujian Motor Industry Group Co., Ltd.  (FJMG) </v>
      </c>
      <c r="E921" s="12" t="s">
        <v>783</v>
      </c>
      <c r="F921" s="12" t="s">
        <v>18</v>
      </c>
      <c r="G921" s="12" t="s">
        <v>24</v>
      </c>
      <c r="H921" s="12" t="s">
        <v>710</v>
      </c>
      <c r="I921" s="14">
        <v>45315</v>
      </c>
      <c r="J921" s="12" t="s">
        <v>784</v>
      </c>
    </row>
    <row r="922" spans="1:10" s="15" customFormat="1" x14ac:dyDescent="0.15">
      <c r="A922" s="11">
        <v>45321</v>
      </c>
      <c r="B922" s="12" t="s">
        <v>65</v>
      </c>
      <c r="C922" s="12" t="s">
        <v>65</v>
      </c>
      <c r="D922" s="13" t="str">
        <f>HYPERLINK("https://www.marklines.com/en/global/3807","Zhejiang Geely Holding Group Co., Ltd.")</f>
        <v>Zhejiang Geely Holding Group Co., Ltd.</v>
      </c>
      <c r="E922" s="12" t="s">
        <v>229</v>
      </c>
      <c r="F922" s="12" t="s">
        <v>18</v>
      </c>
      <c r="G922" s="12" t="s">
        <v>24</v>
      </c>
      <c r="H922" s="12" t="s">
        <v>61</v>
      </c>
      <c r="I922" s="14">
        <v>45313</v>
      </c>
      <c r="J922" s="12" t="s">
        <v>785</v>
      </c>
    </row>
    <row r="923" spans="1:10" s="15" customFormat="1" x14ac:dyDescent="0.15">
      <c r="A923" s="11">
        <v>45320</v>
      </c>
      <c r="B923" s="12" t="s">
        <v>36</v>
      </c>
      <c r="C923" s="12" t="s">
        <v>558</v>
      </c>
      <c r="D923" s="13" t="str">
        <f>HYPERLINK("https://www.marklines.com/en/global/1392","Stellantis, Peugeot Citroën Automóveis Portugal SA (Mangualde), Mangualde Plant")</f>
        <v>Stellantis, Peugeot Citroën Automóveis Portugal SA (Mangualde), Mangualde Plant</v>
      </c>
      <c r="E923" s="12" t="s">
        <v>786</v>
      </c>
      <c r="F923" s="12" t="s">
        <v>16</v>
      </c>
      <c r="G923" s="12" t="s">
        <v>787</v>
      </c>
      <c r="H923" s="12"/>
      <c r="I923" s="14">
        <v>45317</v>
      </c>
      <c r="J923" s="12" t="s">
        <v>788</v>
      </c>
    </row>
    <row r="924" spans="1:10" s="15" customFormat="1" x14ac:dyDescent="0.15">
      <c r="A924" s="11">
        <v>45320</v>
      </c>
      <c r="B924" s="12" t="s">
        <v>36</v>
      </c>
      <c r="C924" s="12" t="s">
        <v>466</v>
      </c>
      <c r="D924" s="13" t="str">
        <f>HYPERLINK("https://www.marklines.com/en/global/1392","Stellantis, Peugeot Citroën Automóveis Portugal SA (Mangualde), Mangualde Plant")</f>
        <v>Stellantis, Peugeot Citroën Automóveis Portugal SA (Mangualde), Mangualde Plant</v>
      </c>
      <c r="E924" s="12" t="s">
        <v>786</v>
      </c>
      <c r="F924" s="12" t="s">
        <v>16</v>
      </c>
      <c r="G924" s="12" t="s">
        <v>787</v>
      </c>
      <c r="H924" s="12"/>
      <c r="I924" s="14">
        <v>45317</v>
      </c>
      <c r="J924" s="12" t="s">
        <v>788</v>
      </c>
    </row>
    <row r="925" spans="1:10" s="15" customFormat="1" x14ac:dyDescent="0.15">
      <c r="A925" s="11">
        <v>45320</v>
      </c>
      <c r="B925" s="12" t="s">
        <v>36</v>
      </c>
      <c r="C925" s="12" t="s">
        <v>481</v>
      </c>
      <c r="D925" s="13" t="str">
        <f>HYPERLINK("https://www.marklines.com/en/global/1392","Stellantis, Peugeot Citroën Automóveis Portugal SA (Mangualde), Mangualde Plant")</f>
        <v>Stellantis, Peugeot Citroën Automóveis Portugal SA (Mangualde), Mangualde Plant</v>
      </c>
      <c r="E925" s="12" t="s">
        <v>786</v>
      </c>
      <c r="F925" s="12" t="s">
        <v>16</v>
      </c>
      <c r="G925" s="12" t="s">
        <v>787</v>
      </c>
      <c r="H925" s="12"/>
      <c r="I925" s="14">
        <v>45317</v>
      </c>
      <c r="J925" s="12" t="s">
        <v>788</v>
      </c>
    </row>
    <row r="926" spans="1:10" s="15" customFormat="1" x14ac:dyDescent="0.15">
      <c r="A926" s="11">
        <v>45320</v>
      </c>
      <c r="B926" s="12" t="s">
        <v>36</v>
      </c>
      <c r="C926" s="12" t="s">
        <v>38</v>
      </c>
      <c r="D926" s="13" t="str">
        <f>HYPERLINK("https://www.marklines.com/en/global/1392","Stellantis, Peugeot Citroën Automóveis Portugal SA (Mangualde), Mangualde Plant")</f>
        <v>Stellantis, Peugeot Citroën Automóveis Portugal SA (Mangualde), Mangualde Plant</v>
      </c>
      <c r="E926" s="12" t="s">
        <v>786</v>
      </c>
      <c r="F926" s="12" t="s">
        <v>16</v>
      </c>
      <c r="G926" s="12" t="s">
        <v>787</v>
      </c>
      <c r="H926" s="12"/>
      <c r="I926" s="14">
        <v>45317</v>
      </c>
      <c r="J926" s="12" t="s">
        <v>788</v>
      </c>
    </row>
    <row r="927" spans="1:10" s="15" customFormat="1" x14ac:dyDescent="0.15">
      <c r="A927" s="11">
        <v>45320</v>
      </c>
      <c r="B927" s="12" t="s">
        <v>34</v>
      </c>
      <c r="C927" s="12" t="s">
        <v>34</v>
      </c>
      <c r="D927" s="13" t="str">
        <f>HYPERLINK("https://www.marklines.com/en/global/709","former Hyundai Motor Manufacturing Russia (HMMR), Kamenka (St. Petersburg)  Plant")</f>
        <v>former Hyundai Motor Manufacturing Russia (HMMR), Kamenka (St. Petersburg)  Plant</v>
      </c>
      <c r="E927" s="12" t="s">
        <v>98</v>
      </c>
      <c r="F927" s="12" t="s">
        <v>17</v>
      </c>
      <c r="G927" s="12" t="s">
        <v>13</v>
      </c>
      <c r="H927" s="12"/>
      <c r="I927" s="14">
        <v>45317</v>
      </c>
      <c r="J927" s="12" t="s">
        <v>789</v>
      </c>
    </row>
    <row r="928" spans="1:10" s="15" customFormat="1" x14ac:dyDescent="0.15">
      <c r="A928" s="11">
        <v>45320</v>
      </c>
      <c r="B928" s="12" t="s">
        <v>34</v>
      </c>
      <c r="C928" s="12" t="s">
        <v>34</v>
      </c>
      <c r="D928" s="13" t="str">
        <f>HYPERLINK("https://www.marklines.com/en/global/705","former Hyundai Motor Manufacturing Rus-2, Susary (St. Petersburg ) Plant (formerly General Motors Russia)")</f>
        <v>former Hyundai Motor Manufacturing Rus-2, Susary (St. Petersburg ) Plant (formerly General Motors Russia)</v>
      </c>
      <c r="E928" s="12" t="s">
        <v>790</v>
      </c>
      <c r="F928" s="12" t="s">
        <v>17</v>
      </c>
      <c r="G928" s="12" t="s">
        <v>13</v>
      </c>
      <c r="H928" s="12"/>
      <c r="I928" s="14">
        <v>45317</v>
      </c>
      <c r="J928" s="12" t="s">
        <v>789</v>
      </c>
    </row>
    <row r="929" spans="1:10" s="15" customFormat="1" x14ac:dyDescent="0.15">
      <c r="A929" s="11">
        <v>45320</v>
      </c>
      <c r="B929" s="12" t="s">
        <v>86</v>
      </c>
      <c r="C929" s="12" t="s">
        <v>86</v>
      </c>
      <c r="D929" s="13" t="str">
        <f>HYPERLINK("https://www.marklines.com/en/global/10385","Sokolnichesky Carriage Repair and Construction Plant (SVARZ)")</f>
        <v>Sokolnichesky Carriage Repair and Construction Plant (SVARZ)</v>
      </c>
      <c r="E929" s="12" t="s">
        <v>123</v>
      </c>
      <c r="F929" s="12" t="s">
        <v>17</v>
      </c>
      <c r="G929" s="12" t="s">
        <v>13</v>
      </c>
      <c r="H929" s="12"/>
      <c r="I929" s="14">
        <v>45317</v>
      </c>
      <c r="J929" s="12" t="s">
        <v>791</v>
      </c>
    </row>
    <row r="930" spans="1:10" s="15" customFormat="1" x14ac:dyDescent="0.15">
      <c r="A930" s="11">
        <v>45320</v>
      </c>
      <c r="B930" s="12" t="s">
        <v>86</v>
      </c>
      <c r="C930" s="12" t="s">
        <v>86</v>
      </c>
      <c r="D930" s="13" t="str">
        <f>HYPERLINK("https://www.marklines.com/en/global/9057","Neftekamsk Motor Plant OJSC (OAO Neftekamskij avtozavod (NefAZ))")</f>
        <v>Neftekamsk Motor Plant OJSC (OAO Neftekamskij avtozavod (NefAZ))</v>
      </c>
      <c r="E930" s="12" t="s">
        <v>88</v>
      </c>
      <c r="F930" s="12" t="s">
        <v>17</v>
      </c>
      <c r="G930" s="12" t="s">
        <v>13</v>
      </c>
      <c r="H930" s="12"/>
      <c r="I930" s="14">
        <v>45317</v>
      </c>
      <c r="J930" s="12" t="s">
        <v>791</v>
      </c>
    </row>
    <row r="931" spans="1:10" s="15" customFormat="1" x14ac:dyDescent="0.15">
      <c r="A931" s="11">
        <v>45320</v>
      </c>
      <c r="B931" s="12" t="s">
        <v>252</v>
      </c>
      <c r="C931" s="12" t="s">
        <v>252</v>
      </c>
      <c r="D931" s="13" t="str">
        <f>HYPERLINK("https://www.marklines.com/en/global/1941","Renault España, S.A.")</f>
        <v>Renault España, S.A.</v>
      </c>
      <c r="E931" s="12" t="s">
        <v>792</v>
      </c>
      <c r="F931" s="12" t="s">
        <v>16</v>
      </c>
      <c r="G931" s="12" t="s">
        <v>42</v>
      </c>
      <c r="H931" s="12"/>
      <c r="I931" s="14">
        <v>45317</v>
      </c>
      <c r="J931" s="12" t="s">
        <v>793</v>
      </c>
    </row>
    <row r="932" spans="1:10" s="15" customFormat="1" x14ac:dyDescent="0.15">
      <c r="A932" s="11">
        <v>45320</v>
      </c>
      <c r="B932" s="12" t="s">
        <v>252</v>
      </c>
      <c r="C932" s="12" t="s">
        <v>252</v>
      </c>
      <c r="D932" s="13" t="str">
        <f>HYPERLINK("https://www.marklines.com/en/global/1945","Renault Spain, Sevilla Plant")</f>
        <v>Renault Spain, Sevilla Plant</v>
      </c>
      <c r="E932" s="12" t="s">
        <v>794</v>
      </c>
      <c r="F932" s="12" t="s">
        <v>16</v>
      </c>
      <c r="G932" s="12" t="s">
        <v>42</v>
      </c>
      <c r="H932" s="12"/>
      <c r="I932" s="14">
        <v>45317</v>
      </c>
      <c r="J932" s="12" t="s">
        <v>793</v>
      </c>
    </row>
    <row r="933" spans="1:10" s="15" customFormat="1" x14ac:dyDescent="0.15">
      <c r="A933" s="11">
        <v>45320</v>
      </c>
      <c r="B933" s="12" t="s">
        <v>252</v>
      </c>
      <c r="C933" s="12" t="s">
        <v>252</v>
      </c>
      <c r="D933" s="13" t="str">
        <f>HYPERLINK("https://www.marklines.com/en/global/1943","Renault Spain, Palencia Plant")</f>
        <v>Renault Spain, Palencia Plant</v>
      </c>
      <c r="E933" s="12" t="s">
        <v>795</v>
      </c>
      <c r="F933" s="12" t="s">
        <v>16</v>
      </c>
      <c r="G933" s="12" t="s">
        <v>42</v>
      </c>
      <c r="H933" s="12"/>
      <c r="I933" s="14">
        <v>45317</v>
      </c>
      <c r="J933" s="12" t="s">
        <v>793</v>
      </c>
    </row>
    <row r="934" spans="1:10" s="15" customFormat="1" x14ac:dyDescent="0.15">
      <c r="A934" s="11">
        <v>45320</v>
      </c>
      <c r="B934" s="12" t="s">
        <v>252</v>
      </c>
      <c r="C934" s="12" t="s">
        <v>252</v>
      </c>
      <c r="D934" s="13" t="str">
        <f>HYPERLINK("https://www.marklines.com/en/global/10777","HORSE HOLDING (Renault Group)")</f>
        <v>HORSE HOLDING (Renault Group)</v>
      </c>
      <c r="E934" s="12" t="s">
        <v>796</v>
      </c>
      <c r="F934" s="12" t="s">
        <v>16</v>
      </c>
      <c r="G934" s="12" t="s">
        <v>42</v>
      </c>
      <c r="H934" s="12"/>
      <c r="I934" s="14">
        <v>45317</v>
      </c>
      <c r="J934" s="12" t="s">
        <v>793</v>
      </c>
    </row>
    <row r="935" spans="1:10" s="15" customFormat="1" x14ac:dyDescent="0.15">
      <c r="A935" s="11">
        <v>45320</v>
      </c>
      <c r="B935" s="12" t="s">
        <v>252</v>
      </c>
      <c r="C935" s="12" t="s">
        <v>252</v>
      </c>
      <c r="D935" s="13" t="str">
        <f>HYPERLINK("https://www.marklines.com/en/global/1947","Renault Spain, Valladolid Plant")</f>
        <v>Renault Spain, Valladolid Plant</v>
      </c>
      <c r="E935" s="12" t="s">
        <v>797</v>
      </c>
      <c r="F935" s="12" t="s">
        <v>16</v>
      </c>
      <c r="G935" s="12" t="s">
        <v>42</v>
      </c>
      <c r="H935" s="12"/>
      <c r="I935" s="14">
        <v>45317</v>
      </c>
      <c r="J935" s="12" t="s">
        <v>793</v>
      </c>
    </row>
    <row r="936" spans="1:10" s="15" customFormat="1" x14ac:dyDescent="0.15">
      <c r="A936" s="11">
        <v>45320</v>
      </c>
      <c r="B936" s="12" t="s">
        <v>454</v>
      </c>
      <c r="C936" s="12" t="s">
        <v>455</v>
      </c>
      <c r="D936" s="13" t="str">
        <f>HYPERLINK("https://www.marklines.com/en/global/2075","Thonburi Automotive Assembly Plant Co., Ltd., Samutprakarn Plant 2")</f>
        <v>Thonburi Automotive Assembly Plant Co., Ltd., Samutprakarn Plant 2</v>
      </c>
      <c r="E936" s="12" t="s">
        <v>798</v>
      </c>
      <c r="F936" s="12" t="s">
        <v>29</v>
      </c>
      <c r="G936" s="12" t="s">
        <v>301</v>
      </c>
      <c r="H936" s="12" t="s">
        <v>690</v>
      </c>
      <c r="I936" s="14">
        <v>45317</v>
      </c>
      <c r="J936" s="12" t="s">
        <v>799</v>
      </c>
    </row>
    <row r="937" spans="1:10" s="15" customFormat="1" x14ac:dyDescent="0.15">
      <c r="A937" s="11">
        <v>45320</v>
      </c>
      <c r="B937" s="12" t="s">
        <v>28</v>
      </c>
      <c r="C937" s="12" t="s">
        <v>800</v>
      </c>
      <c r="D937" s="13" t="str">
        <f>HYPERLINK("https://www.marklines.com/en/global/2191","Porsche AG, Leipzig Plant")</f>
        <v>Porsche AG, Leipzig Plant</v>
      </c>
      <c r="E937" s="12" t="s">
        <v>801</v>
      </c>
      <c r="F937" s="12" t="s">
        <v>16</v>
      </c>
      <c r="G937" s="12" t="s">
        <v>208</v>
      </c>
      <c r="H937" s="12"/>
      <c r="I937" s="14">
        <v>45317</v>
      </c>
      <c r="J937" s="12" t="s">
        <v>802</v>
      </c>
    </row>
    <row r="938" spans="1:10" s="15" customFormat="1" x14ac:dyDescent="0.15">
      <c r="A938" s="11">
        <v>45320</v>
      </c>
      <c r="B938" s="12" t="s">
        <v>28</v>
      </c>
      <c r="C938" s="12" t="s">
        <v>35</v>
      </c>
      <c r="D938" s="13" t="str">
        <f>HYPERLINK("https://www.marklines.com/en/global/10750","Northvolt Drei, Heide Plant (tentative name）")</f>
        <v>Northvolt Drei, Heide Plant (tentative name）</v>
      </c>
      <c r="E938" s="12" t="s">
        <v>354</v>
      </c>
      <c r="F938" s="12" t="s">
        <v>16</v>
      </c>
      <c r="G938" s="12" t="s">
        <v>208</v>
      </c>
      <c r="H938" s="12"/>
      <c r="I938" s="14">
        <v>45316</v>
      </c>
      <c r="J938" s="12" t="s">
        <v>803</v>
      </c>
    </row>
    <row r="939" spans="1:10" s="15" customFormat="1" x14ac:dyDescent="0.15">
      <c r="A939" s="11">
        <v>45320</v>
      </c>
      <c r="B939" s="12" t="s">
        <v>27</v>
      </c>
      <c r="C939" s="12" t="s">
        <v>27</v>
      </c>
      <c r="D939" s="13" t="str">
        <f>HYPERLINK("https://www.marklines.com/en/global/10750","Northvolt Drei, Heide Plant (tentative name）")</f>
        <v>Northvolt Drei, Heide Plant (tentative name）</v>
      </c>
      <c r="E939" s="12" t="s">
        <v>354</v>
      </c>
      <c r="F939" s="12" t="s">
        <v>16</v>
      </c>
      <c r="G939" s="12" t="s">
        <v>208</v>
      </c>
      <c r="H939" s="12"/>
      <c r="I939" s="14">
        <v>45316</v>
      </c>
      <c r="J939" s="12" t="s">
        <v>803</v>
      </c>
    </row>
    <row r="940" spans="1:10" s="15" customFormat="1" x14ac:dyDescent="0.15">
      <c r="A940" s="11">
        <v>45320</v>
      </c>
      <c r="B940" s="12" t="s">
        <v>350</v>
      </c>
      <c r="C940" s="12" t="s">
        <v>646</v>
      </c>
      <c r="D940" s="13" t="str">
        <f>HYPERLINK("https://www.marklines.com/en/global/9012","UzAuto Motors, Asaka Plant (formerly UzDaewooAuto, GM Uzbekistan)")</f>
        <v>UzAuto Motors, Asaka Plant (formerly UzDaewooAuto, GM Uzbekistan)</v>
      </c>
      <c r="E940" s="12" t="s">
        <v>804</v>
      </c>
      <c r="F940" s="12" t="s">
        <v>17</v>
      </c>
      <c r="G940" s="12" t="s">
        <v>767</v>
      </c>
      <c r="H940" s="12"/>
      <c r="I940" s="14">
        <v>45316</v>
      </c>
      <c r="J940" s="12" t="s">
        <v>805</v>
      </c>
    </row>
    <row r="941" spans="1:10" s="15" customFormat="1" x14ac:dyDescent="0.15">
      <c r="A941" s="11">
        <v>45320</v>
      </c>
      <c r="B941" s="12" t="s">
        <v>12</v>
      </c>
      <c r="C941" s="12" t="s">
        <v>769</v>
      </c>
      <c r="D941" s="13" t="str">
        <f>HYPERLINK("https://www.marklines.com/en/global/9012","UzAuto Motors, Asaka Plant (formerly UzDaewooAuto, GM Uzbekistan)")</f>
        <v>UzAuto Motors, Asaka Plant (formerly UzDaewooAuto, GM Uzbekistan)</v>
      </c>
      <c r="E941" s="12" t="s">
        <v>804</v>
      </c>
      <c r="F941" s="12" t="s">
        <v>17</v>
      </c>
      <c r="G941" s="12" t="s">
        <v>767</v>
      </c>
      <c r="H941" s="12"/>
      <c r="I941" s="14">
        <v>45316</v>
      </c>
      <c r="J941" s="12" t="s">
        <v>805</v>
      </c>
    </row>
    <row r="942" spans="1:10" s="15" customFormat="1" x14ac:dyDescent="0.15">
      <c r="A942" s="11">
        <v>45320</v>
      </c>
      <c r="B942" s="12" t="s">
        <v>36</v>
      </c>
      <c r="C942" s="12" t="s">
        <v>466</v>
      </c>
      <c r="D942" s="13" t="str">
        <f>HYPERLINK("https://www.marklines.com/en/global/139","Stellantis, PSA, Mulhouse Plant")</f>
        <v>Stellantis, PSA, Mulhouse Plant</v>
      </c>
      <c r="E942" s="12" t="s">
        <v>806</v>
      </c>
      <c r="F942" s="12" t="s">
        <v>16</v>
      </c>
      <c r="G942" s="12" t="s">
        <v>285</v>
      </c>
      <c r="H942" s="12"/>
      <c r="I942" s="14">
        <v>45316</v>
      </c>
      <c r="J942" s="12" t="s">
        <v>807</v>
      </c>
    </row>
    <row r="943" spans="1:10" s="15" customFormat="1" x14ac:dyDescent="0.15">
      <c r="A943" s="11">
        <v>45320</v>
      </c>
      <c r="B943" s="12" t="s">
        <v>36</v>
      </c>
      <c r="C943" s="12" t="s">
        <v>808</v>
      </c>
      <c r="D943" s="13" t="str">
        <f>HYPERLINK("https://www.marklines.com/en/global/139","Stellantis, PSA, Mulhouse Plant")</f>
        <v>Stellantis, PSA, Mulhouse Plant</v>
      </c>
      <c r="E943" s="12" t="s">
        <v>806</v>
      </c>
      <c r="F943" s="12" t="s">
        <v>16</v>
      </c>
      <c r="G943" s="12" t="s">
        <v>285</v>
      </c>
      <c r="H943" s="12"/>
      <c r="I943" s="14">
        <v>45316</v>
      </c>
      <c r="J943" s="12" t="s">
        <v>807</v>
      </c>
    </row>
    <row r="944" spans="1:10" s="15" customFormat="1" x14ac:dyDescent="0.15">
      <c r="A944" s="11">
        <v>45320</v>
      </c>
      <c r="B944" s="12" t="s">
        <v>36</v>
      </c>
      <c r="C944" s="12" t="s">
        <v>36</v>
      </c>
      <c r="D944" s="13" t="str">
        <f>HYPERLINK("https://www.marklines.com/en/global/10274","Automotive Cell Company (ACC)")</f>
        <v>Automotive Cell Company (ACC)</v>
      </c>
      <c r="E944" s="12" t="s">
        <v>309</v>
      </c>
      <c r="F944" s="12" t="s">
        <v>16</v>
      </c>
      <c r="G944" s="12" t="s">
        <v>285</v>
      </c>
      <c r="H944" s="12"/>
      <c r="I944" s="14">
        <v>45315</v>
      </c>
      <c r="J944" s="12" t="s">
        <v>809</v>
      </c>
    </row>
    <row r="945" spans="1:10" s="15" customFormat="1" x14ac:dyDescent="0.15">
      <c r="A945" s="11">
        <v>45320</v>
      </c>
      <c r="B945" s="12" t="s">
        <v>248</v>
      </c>
      <c r="C945" s="12" t="s">
        <v>249</v>
      </c>
      <c r="D945" s="13" t="str">
        <f>HYPERLINK("https://www.marklines.com/en/global/1159","MG Motor India Pvt. Ltd., Panchmahal (Halol) Plant (former General Motors India)")</f>
        <v>MG Motor India Pvt. Ltd., Panchmahal (Halol) Plant (former General Motors India)</v>
      </c>
      <c r="E945" s="12" t="s">
        <v>250</v>
      </c>
      <c r="F945" s="12" t="s">
        <v>22</v>
      </c>
      <c r="G945" s="12" t="s">
        <v>23</v>
      </c>
      <c r="H945" s="12" t="s">
        <v>212</v>
      </c>
      <c r="I945" s="14">
        <v>45315</v>
      </c>
      <c r="J945" s="12" t="s">
        <v>810</v>
      </c>
    </row>
    <row r="946" spans="1:10" s="15" customFormat="1" x14ac:dyDescent="0.15">
      <c r="A946" s="11">
        <v>45320</v>
      </c>
      <c r="B946" s="12" t="s">
        <v>12</v>
      </c>
      <c r="C946" s="12" t="s">
        <v>811</v>
      </c>
      <c r="D946" s="13" t="str">
        <f>HYPERLINK("https://www.marklines.com/en/global/2685","National Electric Vehicle Sweden AB (NEVS, Former: Saab Automobile AB) ")</f>
        <v xml:space="preserve">National Electric Vehicle Sweden AB (NEVS, Former: Saab Automobile AB) </v>
      </c>
      <c r="E946" s="12" t="s">
        <v>812</v>
      </c>
      <c r="F946" s="12" t="s">
        <v>16</v>
      </c>
      <c r="G946" s="12" t="s">
        <v>314</v>
      </c>
      <c r="H946" s="12"/>
      <c r="I946" s="14">
        <v>45313</v>
      </c>
      <c r="J946" s="12" t="s">
        <v>813</v>
      </c>
    </row>
    <row r="947" spans="1:10" s="15" customFormat="1" x14ac:dyDescent="0.15">
      <c r="A947" s="11">
        <v>45320</v>
      </c>
      <c r="B947" s="12" t="s">
        <v>12</v>
      </c>
      <c r="C947" s="12" t="s">
        <v>811</v>
      </c>
      <c r="D947" s="13" t="str">
        <f>HYPERLINK("https://www.marklines.com/en/global/2687","National Electric Vehicle Sweden AB (NEVS), Trollhättan Plant (Formerly Saab Automobile AB) ")</f>
        <v xml:space="preserve">National Electric Vehicle Sweden AB (NEVS), Trollhättan Plant (Formerly Saab Automobile AB) </v>
      </c>
      <c r="E947" s="12" t="s">
        <v>814</v>
      </c>
      <c r="F947" s="12" t="s">
        <v>16</v>
      </c>
      <c r="G947" s="12" t="s">
        <v>314</v>
      </c>
      <c r="H947" s="12"/>
      <c r="I947" s="14">
        <v>45313</v>
      </c>
      <c r="J947" s="12" t="s">
        <v>813</v>
      </c>
    </row>
    <row r="948" spans="1:10" s="15" customFormat="1" x14ac:dyDescent="0.15">
      <c r="A948" s="11">
        <v>45320</v>
      </c>
      <c r="B948" s="12" t="s">
        <v>65</v>
      </c>
      <c r="C948" s="12" t="s">
        <v>65</v>
      </c>
      <c r="D948" s="13" t="str">
        <f>HYPERLINK("https://www.marklines.com/en/global/10390","Zhejiang Geely Automobile Co., Ltd. Yuyao Plant ")</f>
        <v xml:space="preserve">Zhejiang Geely Automobile Co., Ltd. Yuyao Plant </v>
      </c>
      <c r="E948" s="12" t="s">
        <v>537</v>
      </c>
      <c r="F948" s="12" t="s">
        <v>18</v>
      </c>
      <c r="G948" s="12" t="s">
        <v>24</v>
      </c>
      <c r="H948" s="12" t="s">
        <v>61</v>
      </c>
      <c r="I948" s="14">
        <v>45037</v>
      </c>
      <c r="J948" s="12" t="s">
        <v>815</v>
      </c>
    </row>
    <row r="949" spans="1:10" s="15" customFormat="1" x14ac:dyDescent="0.15">
      <c r="A949" s="11">
        <v>45320</v>
      </c>
      <c r="B949" s="12" t="s">
        <v>65</v>
      </c>
      <c r="C949" s="12" t="s">
        <v>65</v>
      </c>
      <c r="D949" s="13" t="str">
        <f>HYPERLINK("https://www.marklines.com/en/global/10388","Zhejiang Geely Automobile Co., Ltd. Ningbo Hangzhou Bay Second Branch")</f>
        <v>Zhejiang Geely Automobile Co., Ltd. Ningbo Hangzhou Bay Second Branch</v>
      </c>
      <c r="E949" s="12" t="s">
        <v>539</v>
      </c>
      <c r="F949" s="12" t="s">
        <v>18</v>
      </c>
      <c r="G949" s="12" t="s">
        <v>24</v>
      </c>
      <c r="H949" s="12" t="s">
        <v>61</v>
      </c>
      <c r="I949" s="14">
        <v>45037</v>
      </c>
      <c r="J949" s="12" t="s">
        <v>816</v>
      </c>
    </row>
    <row r="950" spans="1:10" s="15" customFormat="1" x14ac:dyDescent="0.15">
      <c r="A950" s="11">
        <v>45320</v>
      </c>
      <c r="B950" s="12" t="s">
        <v>65</v>
      </c>
      <c r="C950" s="12" t="s">
        <v>96</v>
      </c>
      <c r="D950" s="13" t="str">
        <f>HYPERLINK("https://www.marklines.com/en/global/10387","Zeekr Automobile (Ningbo Hangzhou Bay New Zone) Co., Ltd. (formerly Ningbo Zeekr Intelligent Technology Co., Ltd.")</f>
        <v>Zeekr Automobile (Ningbo Hangzhou Bay New Zone) Co., Ltd. (formerly Ningbo Zeekr Intelligent Technology Co., Ltd.</v>
      </c>
      <c r="E950" s="12" t="s">
        <v>535</v>
      </c>
      <c r="F950" s="12" t="s">
        <v>18</v>
      </c>
      <c r="G950" s="12" t="s">
        <v>24</v>
      </c>
      <c r="H950" s="12" t="s">
        <v>61</v>
      </c>
      <c r="I950" s="14">
        <v>45037</v>
      </c>
      <c r="J950" s="12" t="s">
        <v>816</v>
      </c>
    </row>
    <row r="951" spans="1:10" s="15" customFormat="1" x14ac:dyDescent="0.15">
      <c r="A951" s="11">
        <v>45320</v>
      </c>
      <c r="B951" s="12" t="s">
        <v>65</v>
      </c>
      <c r="C951" s="12" t="s">
        <v>65</v>
      </c>
      <c r="D951" s="13" t="str">
        <f>HYPERLINK("https://www.marklines.com/en/global/3807","Zhejiang Geely Holding Group Co., Ltd.")</f>
        <v>Zhejiang Geely Holding Group Co., Ltd.</v>
      </c>
      <c r="E951" s="12" t="s">
        <v>229</v>
      </c>
      <c r="F951" s="12" t="s">
        <v>18</v>
      </c>
      <c r="G951" s="12" t="s">
        <v>24</v>
      </c>
      <c r="H951" s="12" t="s">
        <v>61</v>
      </c>
      <c r="I951" s="14">
        <v>45037</v>
      </c>
      <c r="J951" s="12" t="s">
        <v>817</v>
      </c>
    </row>
    <row r="952" spans="1:10" s="15" customFormat="1" x14ac:dyDescent="0.15">
      <c r="A952" s="11">
        <v>45320</v>
      </c>
      <c r="B952" s="12" t="s">
        <v>65</v>
      </c>
      <c r="C952" s="12" t="s">
        <v>65</v>
      </c>
      <c r="D952" s="13" t="str">
        <f>HYPERLINK("https://www.marklines.com/en/global/3807","Zhejiang Geely Holding Group Co., Ltd.")</f>
        <v>Zhejiang Geely Holding Group Co., Ltd.</v>
      </c>
      <c r="E952" s="12" t="s">
        <v>229</v>
      </c>
      <c r="F952" s="12" t="s">
        <v>18</v>
      </c>
      <c r="G952" s="12" t="s">
        <v>24</v>
      </c>
      <c r="H952" s="12" t="s">
        <v>61</v>
      </c>
      <c r="I952" s="14">
        <v>45037</v>
      </c>
      <c r="J952" s="12" t="s">
        <v>818</v>
      </c>
    </row>
    <row r="953" spans="1:10" s="15" customFormat="1" x14ac:dyDescent="0.15">
      <c r="A953" s="11">
        <v>45320</v>
      </c>
      <c r="B953" s="12" t="s">
        <v>65</v>
      </c>
      <c r="C953" s="12" t="s">
        <v>65</v>
      </c>
      <c r="D953" s="13" t="str">
        <f>HYPERLINK("https://www.marklines.com/en/global/9568","Xi'an Geely Automobile Co., Ltd.")</f>
        <v>Xi'an Geely Automobile Co., Ltd.</v>
      </c>
      <c r="E953" s="12" t="s">
        <v>819</v>
      </c>
      <c r="F953" s="12" t="s">
        <v>18</v>
      </c>
      <c r="G953" s="12" t="s">
        <v>24</v>
      </c>
      <c r="H953" s="12" t="s">
        <v>724</v>
      </c>
      <c r="I953" s="14">
        <v>45037</v>
      </c>
      <c r="J953" s="12" t="s">
        <v>820</v>
      </c>
    </row>
    <row r="954" spans="1:10" s="15" customFormat="1" x14ac:dyDescent="0.15">
      <c r="A954" s="11">
        <v>45320</v>
      </c>
      <c r="B954" s="12" t="s">
        <v>65</v>
      </c>
      <c r="C954" s="12" t="s">
        <v>65</v>
      </c>
      <c r="D954" s="13" t="str">
        <f>HYPERLINK("https://www.marklines.com/en/global/10388","Zhejiang Geely Automobile Co., Ltd. Ningbo Hangzhou Bay Second Branch")</f>
        <v>Zhejiang Geely Automobile Co., Ltd. Ningbo Hangzhou Bay Second Branch</v>
      </c>
      <c r="E954" s="12" t="s">
        <v>539</v>
      </c>
      <c r="F954" s="12" t="s">
        <v>18</v>
      </c>
      <c r="G954" s="12" t="s">
        <v>24</v>
      </c>
      <c r="H954" s="12" t="s">
        <v>61</v>
      </c>
      <c r="I954" s="14">
        <v>45037</v>
      </c>
      <c r="J954" s="12" t="s">
        <v>821</v>
      </c>
    </row>
    <row r="955" spans="1:10" s="15" customFormat="1" x14ac:dyDescent="0.15">
      <c r="A955" s="11">
        <v>45318</v>
      </c>
      <c r="B955" s="12" t="s">
        <v>14</v>
      </c>
      <c r="C955" s="12" t="s">
        <v>14</v>
      </c>
      <c r="D955" s="13" t="str">
        <f>HYPERLINK("https://www.marklines.com/en/global/3112","Honda of America Manufacturing Inc., Performance Manufacturing Center")</f>
        <v>Honda of America Manufacturing Inc., Performance Manufacturing Center</v>
      </c>
      <c r="E955" s="12" t="s">
        <v>822</v>
      </c>
      <c r="F955" s="12" t="s">
        <v>15</v>
      </c>
      <c r="G955" s="12" t="s">
        <v>11</v>
      </c>
      <c r="H955" s="12" t="s">
        <v>490</v>
      </c>
      <c r="I955" s="14">
        <v>45316</v>
      </c>
      <c r="J955" s="12" t="s">
        <v>823</v>
      </c>
    </row>
    <row r="956" spans="1:10" s="15" customFormat="1" x14ac:dyDescent="0.15">
      <c r="A956" s="11">
        <v>45318</v>
      </c>
      <c r="B956" s="12" t="s">
        <v>14</v>
      </c>
      <c r="C956" s="12" t="s">
        <v>14</v>
      </c>
      <c r="D956" s="13" t="str">
        <f>HYPERLINK("https://www.marklines.com/en/global/2453","GM, Brownstown Battery (formerly GM Subsystem Manufacturing LLC, Brownstown Township Plant)")</f>
        <v>GM, Brownstown Battery (formerly GM Subsystem Manufacturing LLC, Brownstown Township Plant)</v>
      </c>
      <c r="E956" s="12" t="s">
        <v>504</v>
      </c>
      <c r="F956" s="12" t="s">
        <v>15</v>
      </c>
      <c r="G956" s="12" t="s">
        <v>11</v>
      </c>
      <c r="H956" s="12" t="s">
        <v>505</v>
      </c>
      <c r="I956" s="14">
        <v>45316</v>
      </c>
      <c r="J956" s="12" t="s">
        <v>823</v>
      </c>
    </row>
    <row r="957" spans="1:10" s="15" customFormat="1" x14ac:dyDescent="0.15">
      <c r="A957" s="11">
        <v>45318</v>
      </c>
      <c r="B957" s="12" t="s">
        <v>28</v>
      </c>
      <c r="C957" s="12" t="s">
        <v>824</v>
      </c>
      <c r="D957" s="13" t="str">
        <f>HYPERLINK("https://www.marklines.com/en/global/2911","Scania Latin America Ltda., Sao Bernardo do Campo Plant")</f>
        <v>Scania Latin America Ltda., Sao Bernardo do Campo Plant</v>
      </c>
      <c r="E957" s="12" t="s">
        <v>825</v>
      </c>
      <c r="F957" s="12" t="s">
        <v>66</v>
      </c>
      <c r="G957" s="12" t="s">
        <v>67</v>
      </c>
      <c r="H957" s="12"/>
      <c r="I957" s="14">
        <v>45315</v>
      </c>
      <c r="J957" s="12" t="s">
        <v>826</v>
      </c>
    </row>
    <row r="958" spans="1:10" s="15" customFormat="1" x14ac:dyDescent="0.15">
      <c r="A958" s="11">
        <v>45318</v>
      </c>
      <c r="B958" s="12" t="s">
        <v>476</v>
      </c>
      <c r="C958" s="12" t="s">
        <v>476</v>
      </c>
      <c r="D958" s="13" t="str">
        <f>HYPERLINK("https://www.marklines.com/en/global/10762","Lucid Advanced Manufacturing Plant (AMP-2) ")</f>
        <v xml:space="preserve">Lucid Advanced Manufacturing Plant (AMP-2) </v>
      </c>
      <c r="E958" s="12" t="s">
        <v>477</v>
      </c>
      <c r="F958" s="12" t="s">
        <v>181</v>
      </c>
      <c r="G958" s="12" t="s">
        <v>478</v>
      </c>
      <c r="H958" s="12"/>
      <c r="I958" s="14">
        <v>45315</v>
      </c>
      <c r="J958" s="12" t="s">
        <v>827</v>
      </c>
    </row>
    <row r="959" spans="1:10" s="15" customFormat="1" x14ac:dyDescent="0.15">
      <c r="A959" s="11">
        <v>45318</v>
      </c>
      <c r="B959" s="12" t="s">
        <v>476</v>
      </c>
      <c r="C959" s="12" t="s">
        <v>476</v>
      </c>
      <c r="D959" s="13" t="str">
        <f>HYPERLINK("https://www.marklines.com/en/global/9873","Lucid Motors (Lucid Group, Inc.), Casa Grande plant (AMP-1)")</f>
        <v>Lucid Motors (Lucid Group, Inc.), Casa Grande plant (AMP-1)</v>
      </c>
      <c r="E959" s="12" t="s">
        <v>480</v>
      </c>
      <c r="F959" s="12" t="s">
        <v>15</v>
      </c>
      <c r="G959" s="12" t="s">
        <v>11</v>
      </c>
      <c r="H959" s="12" t="s">
        <v>74</v>
      </c>
      <c r="I959" s="14">
        <v>45315</v>
      </c>
      <c r="J959" s="12" t="s">
        <v>827</v>
      </c>
    </row>
    <row r="960" spans="1:10" s="15" customFormat="1" x14ac:dyDescent="0.15">
      <c r="A960" s="11">
        <v>45317</v>
      </c>
      <c r="B960" s="12" t="s">
        <v>501</v>
      </c>
      <c r="C960" s="12" t="s">
        <v>501</v>
      </c>
      <c r="D960" s="13" t="str">
        <f>HYPERLINK("https://www.marklines.com/en/global/10596","Lion Electric, Joliet plant")</f>
        <v>Lion Electric, Joliet plant</v>
      </c>
      <c r="E960" s="12" t="s">
        <v>502</v>
      </c>
      <c r="F960" s="12" t="s">
        <v>15</v>
      </c>
      <c r="G960" s="12" t="s">
        <v>11</v>
      </c>
      <c r="H960" s="12" t="s">
        <v>33</v>
      </c>
      <c r="I960" s="14">
        <v>45317</v>
      </c>
      <c r="J960" s="12" t="s">
        <v>503</v>
      </c>
    </row>
    <row r="961" spans="1:10" s="15" customFormat="1" x14ac:dyDescent="0.15">
      <c r="A961" s="11">
        <v>45317</v>
      </c>
      <c r="B961" s="12" t="s">
        <v>14</v>
      </c>
      <c r="C961" s="12" t="s">
        <v>14</v>
      </c>
      <c r="D961" s="13" t="str">
        <f>HYPERLINK("https://www.marklines.com/en/global/2453","GM, Brownstown Battery (formerly GM Subsystem Manufacturing LLC, Brownstown Township Plant)")</f>
        <v>GM, Brownstown Battery (formerly GM Subsystem Manufacturing LLC, Brownstown Township Plant)</v>
      </c>
      <c r="E961" s="12" t="s">
        <v>504</v>
      </c>
      <c r="F961" s="12" t="s">
        <v>15</v>
      </c>
      <c r="G961" s="12" t="s">
        <v>11</v>
      </c>
      <c r="H961" s="12" t="s">
        <v>505</v>
      </c>
      <c r="I961" s="14">
        <v>45317</v>
      </c>
      <c r="J961" s="12" t="s">
        <v>506</v>
      </c>
    </row>
    <row r="962" spans="1:10" s="15" customFormat="1" x14ac:dyDescent="0.15">
      <c r="A962" s="11">
        <v>45317</v>
      </c>
      <c r="B962" s="12" t="s">
        <v>350</v>
      </c>
      <c r="C962" s="12" t="s">
        <v>350</v>
      </c>
      <c r="D962" s="13" t="str">
        <f>HYPERLINK("https://www.marklines.com/en/global/2453","GM, Brownstown Battery (formerly GM Subsystem Manufacturing LLC, Brownstown Township Plant)")</f>
        <v>GM, Brownstown Battery (formerly GM Subsystem Manufacturing LLC, Brownstown Township Plant)</v>
      </c>
      <c r="E962" s="12" t="s">
        <v>504</v>
      </c>
      <c r="F962" s="12" t="s">
        <v>15</v>
      </c>
      <c r="G962" s="12" t="s">
        <v>11</v>
      </c>
      <c r="H962" s="12" t="s">
        <v>505</v>
      </c>
      <c r="I962" s="14">
        <v>45317</v>
      </c>
      <c r="J962" s="12" t="s">
        <v>506</v>
      </c>
    </row>
    <row r="963" spans="1:10" s="15" customFormat="1" x14ac:dyDescent="0.15">
      <c r="A963" s="11">
        <v>45317</v>
      </c>
      <c r="B963" s="12" t="s">
        <v>50</v>
      </c>
      <c r="C963" s="12" t="s">
        <v>50</v>
      </c>
      <c r="D963" s="13" t="str">
        <f>HYPERLINK("https://www.marklines.com/en/global/9812","Tesla (Shanghai) Co., Ltd.")</f>
        <v>Tesla (Shanghai) Co., Ltd.</v>
      </c>
      <c r="E963" s="12" t="s">
        <v>125</v>
      </c>
      <c r="F963" s="12" t="s">
        <v>18</v>
      </c>
      <c r="G963" s="12" t="s">
        <v>24</v>
      </c>
      <c r="H963" s="12" t="s">
        <v>56</v>
      </c>
      <c r="I963" s="14">
        <v>45315</v>
      </c>
      <c r="J963" s="12" t="s">
        <v>507</v>
      </c>
    </row>
    <row r="964" spans="1:10" s="15" customFormat="1" x14ac:dyDescent="0.15">
      <c r="A964" s="11">
        <v>45317</v>
      </c>
      <c r="B964" s="12" t="s">
        <v>50</v>
      </c>
      <c r="C964" s="12" t="s">
        <v>50</v>
      </c>
      <c r="D964" s="13" t="str">
        <f>HYPERLINK("https://www.marklines.com/en/global/10321","Tesla Gigafactory Texas")</f>
        <v>Tesla Gigafactory Texas</v>
      </c>
      <c r="E964" s="12" t="s">
        <v>508</v>
      </c>
      <c r="F964" s="12" t="s">
        <v>15</v>
      </c>
      <c r="G964" s="12" t="s">
        <v>11</v>
      </c>
      <c r="H964" s="12" t="s">
        <v>509</v>
      </c>
      <c r="I964" s="14">
        <v>45315</v>
      </c>
      <c r="J964" s="12" t="s">
        <v>507</v>
      </c>
    </row>
    <row r="965" spans="1:10" s="15" customFormat="1" x14ac:dyDescent="0.15">
      <c r="A965" s="11">
        <v>45317</v>
      </c>
      <c r="B965" s="12" t="s">
        <v>50</v>
      </c>
      <c r="C965" s="12" t="s">
        <v>50</v>
      </c>
      <c r="D965" s="13" t="str">
        <f>HYPERLINK("https://www.marklines.com/en/global/9895","Tesla Gigafactory Berlin-Brandenburg")</f>
        <v>Tesla Gigafactory Berlin-Brandenburg</v>
      </c>
      <c r="E965" s="12" t="s">
        <v>474</v>
      </c>
      <c r="F965" s="12" t="s">
        <v>16</v>
      </c>
      <c r="G965" s="12" t="s">
        <v>208</v>
      </c>
      <c r="H965" s="12"/>
      <c r="I965" s="14">
        <v>45315</v>
      </c>
      <c r="J965" s="12" t="s">
        <v>507</v>
      </c>
    </row>
    <row r="966" spans="1:10" s="15" customFormat="1" x14ac:dyDescent="0.15">
      <c r="A966" s="11">
        <v>45317</v>
      </c>
      <c r="B966" s="12" t="s">
        <v>50</v>
      </c>
      <c r="C966" s="12" t="s">
        <v>50</v>
      </c>
      <c r="D966" s="13" t="str">
        <f>HYPERLINK("https://www.marklines.com/en/global/4512","Tesla Gigafactory Nevada")</f>
        <v>Tesla Gigafactory Nevada</v>
      </c>
      <c r="E966" s="12" t="s">
        <v>510</v>
      </c>
      <c r="F966" s="12" t="s">
        <v>15</v>
      </c>
      <c r="G966" s="12" t="s">
        <v>11</v>
      </c>
      <c r="H966" s="12" t="s">
        <v>511</v>
      </c>
      <c r="I966" s="14">
        <v>45315</v>
      </c>
      <c r="J966" s="12" t="s">
        <v>507</v>
      </c>
    </row>
    <row r="967" spans="1:10" s="15" customFormat="1" x14ac:dyDescent="0.15">
      <c r="A967" s="11">
        <v>45317</v>
      </c>
      <c r="B967" s="12" t="s">
        <v>50</v>
      </c>
      <c r="C967" s="12" t="s">
        <v>50</v>
      </c>
      <c r="D967" s="13" t="str">
        <f>HYPERLINK("https://www.marklines.com/en/global/10671","Tesla Gigafactory Mexico")</f>
        <v>Tesla Gigafactory Mexico</v>
      </c>
      <c r="E967" s="12" t="s">
        <v>217</v>
      </c>
      <c r="F967" s="12" t="s">
        <v>15</v>
      </c>
      <c r="G967" s="12" t="s">
        <v>218</v>
      </c>
      <c r="H967" s="12"/>
      <c r="I967" s="14">
        <v>45315</v>
      </c>
      <c r="J967" s="12" t="s">
        <v>507</v>
      </c>
    </row>
    <row r="968" spans="1:10" s="15" customFormat="1" x14ac:dyDescent="0.15">
      <c r="A968" s="11">
        <v>45317</v>
      </c>
      <c r="B968" s="12" t="s">
        <v>19</v>
      </c>
      <c r="C968" s="12" t="s">
        <v>512</v>
      </c>
      <c r="D968" s="13" t="str">
        <f>HYPERLINK("https://www.marklines.com/en/global/543","Daihatsu Motor, Shiga (Ryuo) Plant")</f>
        <v>Daihatsu Motor, Shiga (Ryuo) Plant</v>
      </c>
      <c r="E968" s="12" t="s">
        <v>513</v>
      </c>
      <c r="F968" s="12" t="s">
        <v>18</v>
      </c>
      <c r="G968" s="12" t="s">
        <v>20</v>
      </c>
      <c r="H968" s="12" t="s">
        <v>514</v>
      </c>
      <c r="I968" s="14">
        <v>45314</v>
      </c>
      <c r="J968" s="12" t="s">
        <v>515</v>
      </c>
    </row>
    <row r="969" spans="1:10" s="15" customFormat="1" x14ac:dyDescent="0.15">
      <c r="A969" s="11">
        <v>45317</v>
      </c>
      <c r="B969" s="12" t="s">
        <v>19</v>
      </c>
      <c r="C969" s="12" t="s">
        <v>512</v>
      </c>
      <c r="D969" s="13" t="str">
        <f>HYPERLINK("https://www.marklines.com/en/global/539","Daihatsu Motor, Head (Ikeda) Plant")</f>
        <v>Daihatsu Motor, Head (Ikeda) Plant</v>
      </c>
      <c r="E969" s="12" t="s">
        <v>516</v>
      </c>
      <c r="F969" s="12" t="s">
        <v>18</v>
      </c>
      <c r="G969" s="12" t="s">
        <v>20</v>
      </c>
      <c r="H969" s="12" t="s">
        <v>517</v>
      </c>
      <c r="I969" s="14">
        <v>45314</v>
      </c>
      <c r="J969" s="12" t="s">
        <v>515</v>
      </c>
    </row>
    <row r="970" spans="1:10" s="15" customFormat="1" x14ac:dyDescent="0.15">
      <c r="A970" s="11">
        <v>45317</v>
      </c>
      <c r="B970" s="12" t="s">
        <v>19</v>
      </c>
      <c r="C970" s="12" t="s">
        <v>512</v>
      </c>
      <c r="D970" s="13" t="str">
        <f>HYPERLINK("https://www.marklines.com/en/global/541","Daihatsu Motor, Kyoto (Oyamazaki) Plant")</f>
        <v>Daihatsu Motor, Kyoto (Oyamazaki) Plant</v>
      </c>
      <c r="E970" s="12" t="s">
        <v>518</v>
      </c>
      <c r="F970" s="12" t="s">
        <v>18</v>
      </c>
      <c r="G970" s="12" t="s">
        <v>20</v>
      </c>
      <c r="H970" s="12" t="s">
        <v>519</v>
      </c>
      <c r="I970" s="14">
        <v>45314</v>
      </c>
      <c r="J970" s="12" t="s">
        <v>515</v>
      </c>
    </row>
    <row r="971" spans="1:10" s="15" customFormat="1" x14ac:dyDescent="0.15">
      <c r="A971" s="11">
        <v>45317</v>
      </c>
      <c r="B971" s="12" t="s">
        <v>19</v>
      </c>
      <c r="C971" s="12" t="s">
        <v>512</v>
      </c>
      <c r="D971" s="13" t="str">
        <f>HYPERLINK("https://www.marklines.com/en/global/547","Daihatsu Motor Kyushu, Oita (Nakatsu) Plant")</f>
        <v>Daihatsu Motor Kyushu, Oita (Nakatsu) Plant</v>
      </c>
      <c r="E971" s="12" t="s">
        <v>520</v>
      </c>
      <c r="F971" s="12" t="s">
        <v>18</v>
      </c>
      <c r="G971" s="12" t="s">
        <v>20</v>
      </c>
      <c r="H971" s="12" t="s">
        <v>521</v>
      </c>
      <c r="I971" s="14">
        <v>45314</v>
      </c>
      <c r="J971" s="12" t="s">
        <v>515</v>
      </c>
    </row>
    <row r="972" spans="1:10" s="15" customFormat="1" x14ac:dyDescent="0.15">
      <c r="A972" s="11">
        <v>45317</v>
      </c>
      <c r="B972" s="12" t="s">
        <v>281</v>
      </c>
      <c r="C972" s="12" t="s">
        <v>281</v>
      </c>
      <c r="D972" s="13" t="str">
        <f>HYPERLINK("https://www.marklines.com/en/global/595","J-Bus, Utsunomiya Plant")</f>
        <v>J-Bus, Utsunomiya Plant</v>
      </c>
      <c r="E972" s="12" t="s">
        <v>522</v>
      </c>
      <c r="F972" s="12" t="s">
        <v>18</v>
      </c>
      <c r="G972" s="12" t="s">
        <v>20</v>
      </c>
      <c r="H972" s="12" t="s">
        <v>523</v>
      </c>
      <c r="I972" s="14">
        <v>45313</v>
      </c>
      <c r="J972" s="12" t="s">
        <v>524</v>
      </c>
    </row>
    <row r="973" spans="1:10" s="15" customFormat="1" x14ac:dyDescent="0.15">
      <c r="A973" s="11">
        <v>45317</v>
      </c>
      <c r="B973" s="12" t="s">
        <v>281</v>
      </c>
      <c r="C973" s="12" t="s">
        <v>281</v>
      </c>
      <c r="D973" s="13" t="str">
        <f>HYPERLINK("https://www.marklines.com/en/global/553","Isuzu Motors, Fujisawa Plant")</f>
        <v>Isuzu Motors, Fujisawa Plant</v>
      </c>
      <c r="E973" s="12" t="s">
        <v>282</v>
      </c>
      <c r="F973" s="12" t="s">
        <v>18</v>
      </c>
      <c r="G973" s="12" t="s">
        <v>20</v>
      </c>
      <c r="H973" s="12" t="s">
        <v>283</v>
      </c>
      <c r="I973" s="14">
        <v>45313</v>
      </c>
      <c r="J973" s="12" t="s">
        <v>525</v>
      </c>
    </row>
    <row r="974" spans="1:10" s="15" customFormat="1" x14ac:dyDescent="0.15">
      <c r="A974" s="11">
        <v>45317</v>
      </c>
      <c r="B974" s="12" t="s">
        <v>19</v>
      </c>
      <c r="C974" s="12" t="s">
        <v>19</v>
      </c>
      <c r="D974" s="13" t="str">
        <f>HYPERLINK("https://www.marklines.com/en/global/420","Toyota Motor East Japan, Miyagi Ohira Plant")</f>
        <v>Toyota Motor East Japan, Miyagi Ohira Plant</v>
      </c>
      <c r="E974" s="12" t="s">
        <v>194</v>
      </c>
      <c r="F974" s="12" t="s">
        <v>18</v>
      </c>
      <c r="G974" s="12" t="s">
        <v>20</v>
      </c>
      <c r="H974" s="12" t="s">
        <v>195</v>
      </c>
      <c r="I974" s="14">
        <v>45310</v>
      </c>
      <c r="J974" s="12" t="s">
        <v>526</v>
      </c>
    </row>
    <row r="975" spans="1:10" s="15" customFormat="1" x14ac:dyDescent="0.15">
      <c r="A975" s="11">
        <v>45317</v>
      </c>
      <c r="B975" s="12" t="s">
        <v>19</v>
      </c>
      <c r="C975" s="12" t="s">
        <v>19</v>
      </c>
      <c r="D975" s="13" t="str">
        <f>HYPERLINK("https://www.marklines.com/en/global/424","Toyota Motor East Japan, Iwate Plant")</f>
        <v>Toyota Motor East Japan, Iwate Plant</v>
      </c>
      <c r="E975" s="12" t="s">
        <v>196</v>
      </c>
      <c r="F975" s="12" t="s">
        <v>18</v>
      </c>
      <c r="G975" s="12" t="s">
        <v>20</v>
      </c>
      <c r="H975" s="12" t="s">
        <v>197</v>
      </c>
      <c r="I975" s="14">
        <v>45310</v>
      </c>
      <c r="J975" s="12" t="s">
        <v>526</v>
      </c>
    </row>
    <row r="976" spans="1:10" s="15" customFormat="1" x14ac:dyDescent="0.15">
      <c r="A976" s="11">
        <v>45317</v>
      </c>
      <c r="B976" s="12" t="s">
        <v>78</v>
      </c>
      <c r="C976" s="12" t="s">
        <v>78</v>
      </c>
      <c r="D976" s="13" t="str">
        <f>HYPERLINK("https://www.marklines.com/en/global/505","Mazda Motor, Hofu Plant")</f>
        <v>Mazda Motor, Hofu Plant</v>
      </c>
      <c r="E976" s="12" t="s">
        <v>527</v>
      </c>
      <c r="F976" s="12" t="s">
        <v>18</v>
      </c>
      <c r="G976" s="12" t="s">
        <v>20</v>
      </c>
      <c r="H976" s="12" t="s">
        <v>528</v>
      </c>
      <c r="I976" s="14">
        <v>45310</v>
      </c>
      <c r="J976" s="12" t="s">
        <v>529</v>
      </c>
    </row>
    <row r="977" spans="1:10" s="15" customFormat="1" x14ac:dyDescent="0.15">
      <c r="A977" s="11">
        <v>45317</v>
      </c>
      <c r="B977" s="12" t="s">
        <v>65</v>
      </c>
      <c r="C977" s="12" t="s">
        <v>316</v>
      </c>
      <c r="D977" s="13" t="str">
        <f>HYPERLINK("https://www.marklines.com/en/global/10796","Polestar Era Technology (Nanjing) Co., Ltd.")</f>
        <v>Polestar Era Technology (Nanjing) Co., Ltd.</v>
      </c>
      <c r="E977" s="12" t="s">
        <v>530</v>
      </c>
      <c r="F977" s="12" t="s">
        <v>18</v>
      </c>
      <c r="G977" s="12" t="s">
        <v>24</v>
      </c>
      <c r="H977" s="12" t="s">
        <v>531</v>
      </c>
      <c r="I977" s="14">
        <v>45294</v>
      </c>
      <c r="J977" s="12" t="s">
        <v>532</v>
      </c>
    </row>
    <row r="978" spans="1:10" s="15" customFormat="1" x14ac:dyDescent="0.15">
      <c r="A978" s="11">
        <v>45317</v>
      </c>
      <c r="B978" s="12" t="s">
        <v>65</v>
      </c>
      <c r="C978" s="12" t="s">
        <v>533</v>
      </c>
      <c r="D978" s="13" t="str">
        <f>HYPERLINK("https://www.marklines.com/en/global/9811","Zhejiang Geely Automobile Co., Ltd. Hangzhou Branch")</f>
        <v>Zhejiang Geely Automobile Co., Ltd. Hangzhou Branch</v>
      </c>
      <c r="E978" s="12" t="s">
        <v>266</v>
      </c>
      <c r="F978" s="12" t="s">
        <v>18</v>
      </c>
      <c r="G978" s="12" t="s">
        <v>24</v>
      </c>
      <c r="H978" s="12" t="s">
        <v>61</v>
      </c>
      <c r="I978" s="14">
        <v>45037</v>
      </c>
      <c r="J978" s="12" t="s">
        <v>534</v>
      </c>
    </row>
    <row r="979" spans="1:10" s="15" customFormat="1" x14ac:dyDescent="0.15">
      <c r="A979" s="11">
        <v>45317</v>
      </c>
      <c r="B979" s="12" t="s">
        <v>65</v>
      </c>
      <c r="C979" s="12" t="s">
        <v>96</v>
      </c>
      <c r="D979" s="13" t="str">
        <f>HYPERLINK("https://www.marklines.com/en/global/10387","Zeekr Automobile (Ningbo Hangzhou Bay New Zone) Co., Ltd. (formerly Ningbo Zeekr Intelligent Technology Co., Ltd.")</f>
        <v>Zeekr Automobile (Ningbo Hangzhou Bay New Zone) Co., Ltd. (formerly Ningbo Zeekr Intelligent Technology Co., Ltd.</v>
      </c>
      <c r="E979" s="12" t="s">
        <v>535</v>
      </c>
      <c r="F979" s="12" t="s">
        <v>18</v>
      </c>
      <c r="G979" s="12" t="s">
        <v>24</v>
      </c>
      <c r="H979" s="12" t="s">
        <v>61</v>
      </c>
      <c r="I979" s="14">
        <v>45037</v>
      </c>
      <c r="J979" s="12" t="s">
        <v>534</v>
      </c>
    </row>
    <row r="980" spans="1:10" s="15" customFormat="1" x14ac:dyDescent="0.15">
      <c r="A980" s="11">
        <v>45317</v>
      </c>
      <c r="B980" s="12" t="s">
        <v>65</v>
      </c>
      <c r="C980" s="12" t="s">
        <v>96</v>
      </c>
      <c r="D980" s="13" t="str">
        <f>HYPERLINK("https://www.marklines.com/en/global/10391","Zhejiang Geely Automobile Co., Ltd. Meishan Plant")</f>
        <v>Zhejiang Geely Automobile Co., Ltd. Meishan Plant</v>
      </c>
      <c r="E980" s="12" t="s">
        <v>97</v>
      </c>
      <c r="F980" s="12" t="s">
        <v>18</v>
      </c>
      <c r="G980" s="12" t="s">
        <v>24</v>
      </c>
      <c r="H980" s="12" t="s">
        <v>61</v>
      </c>
      <c r="I980" s="14">
        <v>45037</v>
      </c>
      <c r="J980" s="12" t="s">
        <v>534</v>
      </c>
    </row>
    <row r="981" spans="1:10" s="15" customFormat="1" x14ac:dyDescent="0.15">
      <c r="A981" s="11">
        <v>45317</v>
      </c>
      <c r="B981" s="12" t="s">
        <v>65</v>
      </c>
      <c r="C981" s="12" t="s">
        <v>65</v>
      </c>
      <c r="D981" s="13" t="str">
        <f>HYPERLINK("https://www.marklines.com/en/global/3807","Zhejiang Geely Holding Group Co., Ltd.")</f>
        <v>Zhejiang Geely Holding Group Co., Ltd.</v>
      </c>
      <c r="E981" s="12" t="s">
        <v>229</v>
      </c>
      <c r="F981" s="12" t="s">
        <v>18</v>
      </c>
      <c r="G981" s="12" t="s">
        <v>24</v>
      </c>
      <c r="H981" s="12" t="s">
        <v>61</v>
      </c>
      <c r="I981" s="14">
        <v>45037</v>
      </c>
      <c r="J981" s="12" t="s">
        <v>536</v>
      </c>
    </row>
    <row r="982" spans="1:10" s="15" customFormat="1" x14ac:dyDescent="0.15">
      <c r="A982" s="11">
        <v>45317</v>
      </c>
      <c r="B982" s="12" t="s">
        <v>65</v>
      </c>
      <c r="C982" s="12" t="s">
        <v>65</v>
      </c>
      <c r="D982" s="13" t="str">
        <f>HYPERLINK("https://www.marklines.com/en/global/10390","Zhejiang Geely Automobile Co., Ltd. Yuyao Plant ")</f>
        <v xml:space="preserve">Zhejiang Geely Automobile Co., Ltd. Yuyao Plant </v>
      </c>
      <c r="E982" s="12" t="s">
        <v>537</v>
      </c>
      <c r="F982" s="12" t="s">
        <v>18</v>
      </c>
      <c r="G982" s="12" t="s">
        <v>24</v>
      </c>
      <c r="H982" s="12" t="s">
        <v>61</v>
      </c>
      <c r="I982" s="14">
        <v>45037</v>
      </c>
      <c r="J982" s="12" t="s">
        <v>538</v>
      </c>
    </row>
    <row r="983" spans="1:10" s="15" customFormat="1" x14ac:dyDescent="0.15">
      <c r="A983" s="11">
        <v>45317</v>
      </c>
      <c r="B983" s="12" t="s">
        <v>65</v>
      </c>
      <c r="C983" s="12" t="s">
        <v>65</v>
      </c>
      <c r="D983" s="13" t="str">
        <f>HYPERLINK("https://www.marklines.com/en/global/10388","Zhejiang Geely Automobile Co., Ltd. Ningbo Hangzhou Bay Second Branch")</f>
        <v>Zhejiang Geely Automobile Co., Ltd. Ningbo Hangzhou Bay Second Branch</v>
      </c>
      <c r="E983" s="12" t="s">
        <v>539</v>
      </c>
      <c r="F983" s="12" t="s">
        <v>18</v>
      </c>
      <c r="G983" s="12" t="s">
        <v>24</v>
      </c>
      <c r="H983" s="12" t="s">
        <v>61</v>
      </c>
      <c r="I983" s="14">
        <v>45037</v>
      </c>
      <c r="J983" s="12" t="s">
        <v>538</v>
      </c>
    </row>
    <row r="984" spans="1:10" s="15" customFormat="1" x14ac:dyDescent="0.15">
      <c r="A984" s="11">
        <v>45317</v>
      </c>
      <c r="B984" s="12" t="s">
        <v>65</v>
      </c>
      <c r="C984" s="12" t="s">
        <v>96</v>
      </c>
      <c r="D984" s="13" t="str">
        <f>HYPERLINK("https://www.marklines.com/en/global/10387","Zeekr Automobile (Ningbo Hangzhou Bay New Zone) Co., Ltd. (formerly Ningbo Zeekr Intelligent Technology Co., Ltd.")</f>
        <v>Zeekr Automobile (Ningbo Hangzhou Bay New Zone) Co., Ltd. (formerly Ningbo Zeekr Intelligent Technology Co., Ltd.</v>
      </c>
      <c r="E984" s="12" t="s">
        <v>535</v>
      </c>
      <c r="F984" s="12" t="s">
        <v>18</v>
      </c>
      <c r="G984" s="12" t="s">
        <v>24</v>
      </c>
      <c r="H984" s="12" t="s">
        <v>61</v>
      </c>
      <c r="I984" s="14">
        <v>45037</v>
      </c>
      <c r="J984" s="12" t="s">
        <v>538</v>
      </c>
    </row>
    <row r="985" spans="1:10" s="15" customFormat="1" x14ac:dyDescent="0.15">
      <c r="A985" s="11">
        <v>45317</v>
      </c>
      <c r="B985" s="12" t="s">
        <v>65</v>
      </c>
      <c r="C985" s="12" t="s">
        <v>65</v>
      </c>
      <c r="D985" s="13" t="str">
        <f>HYPERLINK("https://www.marklines.com/en/global/3807","Zhejiang Geely Holding Group Co., Ltd.")</f>
        <v>Zhejiang Geely Holding Group Co., Ltd.</v>
      </c>
      <c r="E985" s="12" t="s">
        <v>229</v>
      </c>
      <c r="F985" s="12" t="s">
        <v>18</v>
      </c>
      <c r="G985" s="12" t="s">
        <v>24</v>
      </c>
      <c r="H985" s="12" t="s">
        <v>61</v>
      </c>
      <c r="I985" s="14">
        <v>45037</v>
      </c>
      <c r="J985" s="12" t="s">
        <v>540</v>
      </c>
    </row>
    <row r="986" spans="1:10" s="15" customFormat="1" x14ac:dyDescent="0.15">
      <c r="A986" s="11">
        <v>45317</v>
      </c>
      <c r="B986" s="12" t="s">
        <v>65</v>
      </c>
      <c r="C986" s="12" t="s">
        <v>65</v>
      </c>
      <c r="D986" s="13" t="str">
        <f>HYPERLINK("https://www.marklines.com/en/global/3807","Zhejiang Geely Holding Group Co., Ltd.")</f>
        <v>Zhejiang Geely Holding Group Co., Ltd.</v>
      </c>
      <c r="E986" s="12" t="s">
        <v>229</v>
      </c>
      <c r="F986" s="12" t="s">
        <v>18</v>
      </c>
      <c r="G986" s="12" t="s">
        <v>24</v>
      </c>
      <c r="H986" s="12" t="s">
        <v>61</v>
      </c>
      <c r="I986" s="14">
        <v>45037</v>
      </c>
      <c r="J986" s="12" t="s">
        <v>541</v>
      </c>
    </row>
    <row r="987" spans="1:10" s="15" customFormat="1" x14ac:dyDescent="0.15">
      <c r="A987" s="11">
        <v>45317</v>
      </c>
      <c r="B987" s="12" t="s">
        <v>65</v>
      </c>
      <c r="C987" s="12" t="s">
        <v>96</v>
      </c>
      <c r="D987" s="13" t="str">
        <f>HYPERLINK("https://www.marklines.com/en/global/10387","Zeekr Automobile (Ningbo Hangzhou Bay New Zone) Co., Ltd. (formerly Ningbo Zeekr Intelligent Technology Co., Ltd.")</f>
        <v>Zeekr Automobile (Ningbo Hangzhou Bay New Zone) Co., Ltd. (formerly Ningbo Zeekr Intelligent Technology Co., Ltd.</v>
      </c>
      <c r="E987" s="12" t="s">
        <v>535</v>
      </c>
      <c r="F987" s="12" t="s">
        <v>18</v>
      </c>
      <c r="G987" s="12" t="s">
        <v>24</v>
      </c>
      <c r="H987" s="12" t="s">
        <v>61</v>
      </c>
      <c r="I987" s="14">
        <v>45037</v>
      </c>
      <c r="J987" s="12" t="s">
        <v>542</v>
      </c>
    </row>
    <row r="988" spans="1:10" s="15" customFormat="1" x14ac:dyDescent="0.15">
      <c r="A988" s="11">
        <v>45317</v>
      </c>
      <c r="B988" s="12" t="s">
        <v>65</v>
      </c>
      <c r="C988" s="12" t="s">
        <v>65</v>
      </c>
      <c r="D988" s="13" t="str">
        <f>HYPERLINK("https://www.marklines.com/en/global/3807","Zhejiang Geely Holding Group Co., Ltd.")</f>
        <v>Zhejiang Geely Holding Group Co., Ltd.</v>
      </c>
      <c r="E988" s="12" t="s">
        <v>229</v>
      </c>
      <c r="F988" s="12" t="s">
        <v>18</v>
      </c>
      <c r="G988" s="12" t="s">
        <v>24</v>
      </c>
      <c r="H988" s="12" t="s">
        <v>61</v>
      </c>
      <c r="I988" s="14">
        <v>45037</v>
      </c>
      <c r="J988" s="12" t="s">
        <v>543</v>
      </c>
    </row>
    <row r="989" spans="1:10" s="15" customFormat="1" x14ac:dyDescent="0.15">
      <c r="A989" s="11">
        <v>45317</v>
      </c>
      <c r="B989" s="12" t="s">
        <v>65</v>
      </c>
      <c r="C989" s="12" t="s">
        <v>96</v>
      </c>
      <c r="D989" s="13" t="str">
        <f>HYPERLINK("https://www.marklines.com/en/global/10387","Zeekr Automobile (Ningbo Hangzhou Bay New Zone) Co., Ltd. (formerly Ningbo Zeekr Intelligent Technology Co., Ltd.")</f>
        <v>Zeekr Automobile (Ningbo Hangzhou Bay New Zone) Co., Ltd. (formerly Ningbo Zeekr Intelligent Technology Co., Ltd.</v>
      </c>
      <c r="E989" s="12" t="s">
        <v>535</v>
      </c>
      <c r="F989" s="12" t="s">
        <v>18</v>
      </c>
      <c r="G989" s="12" t="s">
        <v>24</v>
      </c>
      <c r="H989" s="12" t="s">
        <v>61</v>
      </c>
      <c r="I989" s="14">
        <v>44713</v>
      </c>
      <c r="J989" s="12" t="s">
        <v>544</v>
      </c>
    </row>
    <row r="990" spans="1:10" s="15" customFormat="1" x14ac:dyDescent="0.15">
      <c r="A990" s="11">
        <v>45317</v>
      </c>
      <c r="B990" s="12" t="s">
        <v>65</v>
      </c>
      <c r="C990" s="12" t="s">
        <v>96</v>
      </c>
      <c r="D990" s="13" t="str">
        <f>HYPERLINK("https://www.marklines.com/en/global/10391","Zhejiang Geely Automobile Co., Ltd. Meishan Plant")</f>
        <v>Zhejiang Geely Automobile Co., Ltd. Meishan Plant</v>
      </c>
      <c r="E990" s="12" t="s">
        <v>97</v>
      </c>
      <c r="F990" s="12" t="s">
        <v>18</v>
      </c>
      <c r="G990" s="12" t="s">
        <v>24</v>
      </c>
      <c r="H990" s="12" t="s">
        <v>61</v>
      </c>
      <c r="I990" s="14">
        <v>44713</v>
      </c>
      <c r="J990" s="12" t="s">
        <v>544</v>
      </c>
    </row>
    <row r="991" spans="1:10" s="15" customFormat="1" x14ac:dyDescent="0.15">
      <c r="A991" s="11">
        <v>45317</v>
      </c>
      <c r="B991" s="12" t="s">
        <v>65</v>
      </c>
      <c r="C991" s="12" t="s">
        <v>96</v>
      </c>
      <c r="D991" s="13" t="str">
        <f>HYPERLINK("https://www.marklines.com/en/global/10393","Sichuan Lynk &amp; Co Automobile Manufacturing Co., Ltd. (formerly Zhejiang Haoqing Automotive Manufacturing Co.,Ltd. Chengdu Branch)")</f>
        <v>Sichuan Lynk &amp; Co Automobile Manufacturing Co., Ltd. (formerly Zhejiang Haoqing Automotive Manufacturing Co.,Ltd. Chengdu Branch)</v>
      </c>
      <c r="E991" s="12" t="s">
        <v>379</v>
      </c>
      <c r="F991" s="12" t="s">
        <v>18</v>
      </c>
      <c r="G991" s="12" t="s">
        <v>24</v>
      </c>
      <c r="H991" s="12" t="s">
        <v>330</v>
      </c>
      <c r="I991" s="14">
        <v>44713</v>
      </c>
      <c r="J991" s="12" t="s">
        <v>544</v>
      </c>
    </row>
    <row r="992" spans="1:10" s="15" customFormat="1" x14ac:dyDescent="0.15">
      <c r="A992" s="11">
        <v>45316</v>
      </c>
      <c r="B992" s="12" t="s">
        <v>224</v>
      </c>
      <c r="C992" s="12" t="s">
        <v>545</v>
      </c>
      <c r="D992" s="13" t="str">
        <f>HYPERLINK("https://www.marklines.com/en/global/2243","Daimler Truck AG, Wörth Plant")</f>
        <v>Daimler Truck AG, Wörth Plant</v>
      </c>
      <c r="E992" s="12" t="s">
        <v>546</v>
      </c>
      <c r="F992" s="12" t="s">
        <v>16</v>
      </c>
      <c r="G992" s="12" t="s">
        <v>208</v>
      </c>
      <c r="H992" s="12"/>
      <c r="I992" s="14">
        <v>45316</v>
      </c>
      <c r="J992" s="12" t="s">
        <v>547</v>
      </c>
    </row>
    <row r="993" spans="1:10" s="15" customFormat="1" x14ac:dyDescent="0.15">
      <c r="A993" s="11">
        <v>45316</v>
      </c>
      <c r="B993" s="12" t="s">
        <v>28</v>
      </c>
      <c r="C993" s="12" t="s">
        <v>35</v>
      </c>
      <c r="D993" s="13" t="str">
        <f>HYPERLINK("https://www.marklines.com/en/global/1965","Volkswagen Navarra, S.A., Pamplona (Landaben) Plant")</f>
        <v>Volkswagen Navarra, S.A., Pamplona (Landaben) Plant</v>
      </c>
      <c r="E993" s="12" t="s">
        <v>64</v>
      </c>
      <c r="F993" s="12" t="s">
        <v>16</v>
      </c>
      <c r="G993" s="12" t="s">
        <v>42</v>
      </c>
      <c r="H993" s="12"/>
      <c r="I993" s="14">
        <v>45315</v>
      </c>
      <c r="J993" s="12" t="s">
        <v>548</v>
      </c>
    </row>
    <row r="994" spans="1:10" s="15" customFormat="1" x14ac:dyDescent="0.15">
      <c r="A994" s="11">
        <v>45316</v>
      </c>
      <c r="B994" s="12" t="s">
        <v>28</v>
      </c>
      <c r="C994" s="12" t="s">
        <v>44</v>
      </c>
      <c r="D994" s="13" t="str">
        <f>HYPERLINK("https://www.marklines.com/en/global/1965","Volkswagen Navarra, S.A., Pamplona (Landaben) Plant")</f>
        <v>Volkswagen Navarra, S.A., Pamplona (Landaben) Plant</v>
      </c>
      <c r="E994" s="12" t="s">
        <v>64</v>
      </c>
      <c r="F994" s="12" t="s">
        <v>16</v>
      </c>
      <c r="G994" s="12" t="s">
        <v>42</v>
      </c>
      <c r="H994" s="12"/>
      <c r="I994" s="14">
        <v>45315</v>
      </c>
      <c r="J994" s="12" t="s">
        <v>548</v>
      </c>
    </row>
    <row r="995" spans="1:10" s="15" customFormat="1" x14ac:dyDescent="0.15">
      <c r="A995" s="11">
        <v>45316</v>
      </c>
      <c r="B995" s="12" t="s">
        <v>12</v>
      </c>
      <c r="C995" s="12" t="s">
        <v>335</v>
      </c>
      <c r="D995" s="13" t="str">
        <f>HYPERLINK("https://www.marklines.com/en/global/687","Sollers-Yelabuga OOO, Yelabuga Plant")</f>
        <v>Sollers-Yelabuga OOO, Yelabuga Plant</v>
      </c>
      <c r="E995" s="12" t="s">
        <v>338</v>
      </c>
      <c r="F995" s="12" t="s">
        <v>17</v>
      </c>
      <c r="G995" s="12" t="s">
        <v>13</v>
      </c>
      <c r="H995" s="12"/>
      <c r="I995" s="14">
        <v>45315</v>
      </c>
      <c r="J995" s="12" t="s">
        <v>549</v>
      </c>
    </row>
    <row r="996" spans="1:10" s="15" customFormat="1" x14ac:dyDescent="0.15">
      <c r="A996" s="11">
        <v>45316</v>
      </c>
      <c r="B996" s="12" t="s">
        <v>550</v>
      </c>
      <c r="C996" s="12" t="s">
        <v>550</v>
      </c>
      <c r="D996" s="13" t="str">
        <f>HYPERLINK("https://www.marklines.com/en/global/799","OAO UAZ (Ulyanovsky Avtomobilny Zavod), Ulyanovsk Plant")</f>
        <v>OAO UAZ (Ulyanovsky Avtomobilny Zavod), Ulyanovsk Plant</v>
      </c>
      <c r="E996" s="12" t="s">
        <v>336</v>
      </c>
      <c r="F996" s="12" t="s">
        <v>17</v>
      </c>
      <c r="G996" s="12" t="s">
        <v>13</v>
      </c>
      <c r="H996" s="12"/>
      <c r="I996" s="14">
        <v>45315</v>
      </c>
      <c r="J996" s="12" t="s">
        <v>549</v>
      </c>
    </row>
    <row r="997" spans="1:10" s="15" customFormat="1" x14ac:dyDescent="0.15">
      <c r="A997" s="11">
        <v>45316</v>
      </c>
      <c r="B997" s="12" t="s">
        <v>28</v>
      </c>
      <c r="C997" s="12" t="s">
        <v>43</v>
      </c>
      <c r="D997" s="13" t="str">
        <f>HYPERLINK("https://www.marklines.com/en/global/8739","Audi Mexico S.A. de C.V., San José Chiapa Plant")</f>
        <v>Audi Mexico S.A. de C.V., San José Chiapa Plant</v>
      </c>
      <c r="E997" s="12" t="s">
        <v>551</v>
      </c>
      <c r="F997" s="12" t="s">
        <v>15</v>
      </c>
      <c r="G997" s="12" t="s">
        <v>218</v>
      </c>
      <c r="H997" s="12"/>
      <c r="I997" s="14">
        <v>45315</v>
      </c>
      <c r="J997" s="12" t="s">
        <v>552</v>
      </c>
    </row>
    <row r="998" spans="1:10" s="15" customFormat="1" x14ac:dyDescent="0.15">
      <c r="A998" s="11">
        <v>45316</v>
      </c>
      <c r="B998" s="12" t="s">
        <v>36</v>
      </c>
      <c r="C998" s="12" t="s">
        <v>38</v>
      </c>
      <c r="D998" s="13" t="str">
        <f>HYPERLINK("https://www.marklines.com/en/global/10286","Stellantis, FCA Balocco Proving Ground")</f>
        <v>Stellantis, FCA Balocco Proving Ground</v>
      </c>
      <c r="E998" s="12" t="s">
        <v>553</v>
      </c>
      <c r="F998" s="12" t="s">
        <v>16</v>
      </c>
      <c r="G998" s="12" t="s">
        <v>37</v>
      </c>
      <c r="H998" s="12"/>
      <c r="I998" s="14">
        <v>45315</v>
      </c>
      <c r="J998" s="12" t="s">
        <v>554</v>
      </c>
    </row>
    <row r="999" spans="1:10" s="15" customFormat="1" x14ac:dyDescent="0.15">
      <c r="A999" s="11">
        <v>45316</v>
      </c>
      <c r="B999" s="12" t="s">
        <v>36</v>
      </c>
      <c r="C999" s="12" t="s">
        <v>38</v>
      </c>
      <c r="D999" s="13" t="str">
        <f>HYPERLINK("https://www.marklines.com/en/global/10285","Stellantis, FCA Design Center (FCA Centro Stile) (Turin)")</f>
        <v>Stellantis, FCA Design Center (FCA Centro Stile) (Turin)</v>
      </c>
      <c r="E999" s="12" t="s">
        <v>555</v>
      </c>
      <c r="F999" s="12" t="s">
        <v>16</v>
      </c>
      <c r="G999" s="12" t="s">
        <v>37</v>
      </c>
      <c r="H999" s="12"/>
      <c r="I999" s="14">
        <v>45315</v>
      </c>
      <c r="J999" s="12" t="s">
        <v>554</v>
      </c>
    </row>
    <row r="1000" spans="1:10" s="15" customFormat="1" x14ac:dyDescent="0.15">
      <c r="A1000" s="11">
        <v>45316</v>
      </c>
      <c r="B1000" s="12" t="s">
        <v>36</v>
      </c>
      <c r="C1000" s="12" t="s">
        <v>277</v>
      </c>
      <c r="D1000" s="13" t="str">
        <f>HYPERLINK("https://www.marklines.com/en/global/1655","Stellantis, Fiat Auto Poland S.A., Tychy Plant")</f>
        <v>Stellantis, Fiat Auto Poland S.A., Tychy Plant</v>
      </c>
      <c r="E1000" s="12" t="s">
        <v>556</v>
      </c>
      <c r="F1000" s="12" t="s">
        <v>17</v>
      </c>
      <c r="G1000" s="12" t="s">
        <v>26</v>
      </c>
      <c r="H1000" s="12"/>
      <c r="I1000" s="14">
        <v>45315</v>
      </c>
      <c r="J1000" s="12" t="s">
        <v>554</v>
      </c>
    </row>
    <row r="1001" spans="1:10" s="15" customFormat="1" x14ac:dyDescent="0.15">
      <c r="A1001" s="11">
        <v>45316</v>
      </c>
      <c r="B1001" s="12" t="s">
        <v>28</v>
      </c>
      <c r="C1001" s="12" t="s">
        <v>439</v>
      </c>
      <c r="D1001" s="13" t="str">
        <f>HYPERLINK("https://www.marklines.com/en/global/1357","Automobili Lamborghini S.p.A., Sant'Agata Bolognese Plant")</f>
        <v>Automobili Lamborghini S.p.A., Sant'Agata Bolognese Plant</v>
      </c>
      <c r="E1001" s="12" t="s">
        <v>440</v>
      </c>
      <c r="F1001" s="12" t="s">
        <v>16</v>
      </c>
      <c r="G1001" s="12" t="s">
        <v>37</v>
      </c>
      <c r="H1001" s="12"/>
      <c r="I1001" s="14">
        <v>45315</v>
      </c>
      <c r="J1001" s="12" t="s">
        <v>557</v>
      </c>
    </row>
    <row r="1002" spans="1:10" s="15" customFormat="1" x14ac:dyDescent="0.15">
      <c r="A1002" s="11">
        <v>45316</v>
      </c>
      <c r="B1002" s="12" t="s">
        <v>36</v>
      </c>
      <c r="C1002" s="12" t="s">
        <v>558</v>
      </c>
      <c r="D1002" s="13" t="str">
        <f>HYPERLINK("https://www.marklines.com/en/global/1931","Stellantis, Opel Espana de Automoviles, S.A., Zaragoza (Figueruelas) Plant")</f>
        <v>Stellantis, Opel Espana de Automoviles, S.A., Zaragoza (Figueruelas) Plant</v>
      </c>
      <c r="E1002" s="12" t="s">
        <v>52</v>
      </c>
      <c r="F1002" s="12" t="s">
        <v>16</v>
      </c>
      <c r="G1002" s="12" t="s">
        <v>42</v>
      </c>
      <c r="H1002" s="12"/>
      <c r="I1002" s="14">
        <v>45315</v>
      </c>
      <c r="J1002" s="12" t="s">
        <v>559</v>
      </c>
    </row>
    <row r="1003" spans="1:10" s="15" customFormat="1" x14ac:dyDescent="0.15">
      <c r="A1003" s="11">
        <v>45316</v>
      </c>
      <c r="B1003" s="12" t="s">
        <v>68</v>
      </c>
      <c r="C1003" s="12" t="s">
        <v>560</v>
      </c>
      <c r="D1003" s="13" t="str">
        <f>HYPERLINK("https://www.marklines.com/en/global/10481","Chery Automobile Co., Ltd. Qingdao Branch")</f>
        <v>Chery Automobile Co., Ltd. Qingdao Branch</v>
      </c>
      <c r="E1003" s="12" t="s">
        <v>148</v>
      </c>
      <c r="F1003" s="12" t="s">
        <v>18</v>
      </c>
      <c r="G1003" s="12" t="s">
        <v>24</v>
      </c>
      <c r="H1003" s="12" t="s">
        <v>62</v>
      </c>
      <c r="I1003" s="14">
        <v>45314</v>
      </c>
      <c r="J1003" s="12" t="s">
        <v>561</v>
      </c>
    </row>
    <row r="1004" spans="1:10" s="15" customFormat="1" x14ac:dyDescent="0.15">
      <c r="A1004" s="11">
        <v>45316</v>
      </c>
      <c r="B1004" s="12" t="s">
        <v>68</v>
      </c>
      <c r="C1004" s="12" t="s">
        <v>560</v>
      </c>
      <c r="D1004" s="13" t="str">
        <f>HYPERLINK("https://www.marklines.com/en/global/3879","Chery Automobile Co., Ltd. ")</f>
        <v xml:space="preserve">Chery Automobile Co., Ltd. </v>
      </c>
      <c r="E1004" s="12" t="s">
        <v>92</v>
      </c>
      <c r="F1004" s="12" t="s">
        <v>18</v>
      </c>
      <c r="G1004" s="12" t="s">
        <v>24</v>
      </c>
      <c r="H1004" s="12" t="s">
        <v>55</v>
      </c>
      <c r="I1004" s="14">
        <v>45314</v>
      </c>
      <c r="J1004" s="12" t="s">
        <v>561</v>
      </c>
    </row>
    <row r="1005" spans="1:10" s="15" customFormat="1" x14ac:dyDescent="0.15">
      <c r="A1005" s="11">
        <v>45316</v>
      </c>
      <c r="B1005" s="12" t="s">
        <v>68</v>
      </c>
      <c r="C1005" s="12" t="s">
        <v>560</v>
      </c>
      <c r="D1005" s="13" t="str">
        <f>HYPERLINK("https://www.marklines.com/en/global/9390","Chery New Energy Automobile Co., Ltd. (Formerly Chery New Energy Technology Automotive Co., Ltd.)")</f>
        <v>Chery New Energy Automobile Co., Ltd. (Formerly Chery New Energy Technology Automotive Co., Ltd.)</v>
      </c>
      <c r="E1005" s="12" t="s">
        <v>562</v>
      </c>
      <c r="F1005" s="12" t="s">
        <v>18</v>
      </c>
      <c r="G1005" s="12" t="s">
        <v>24</v>
      </c>
      <c r="H1005" s="12" t="s">
        <v>55</v>
      </c>
      <c r="I1005" s="14">
        <v>45314</v>
      </c>
      <c r="J1005" s="12" t="s">
        <v>561</v>
      </c>
    </row>
    <row r="1006" spans="1:10" s="15" customFormat="1" x14ac:dyDescent="0.15">
      <c r="A1006" s="11">
        <v>45316</v>
      </c>
      <c r="B1006" s="12" t="s">
        <v>68</v>
      </c>
      <c r="C1006" s="12" t="s">
        <v>563</v>
      </c>
      <c r="D1006" s="13" t="str">
        <f>HYPERLINK("https://www.marklines.com/en/global/3969","Chery Commercial Vehicle (Anhui) Co., Ltd. Henan Branch (formerly Chery Automobile Henan Co., Ltd.)")</f>
        <v>Chery Commercial Vehicle (Anhui) Co., Ltd. Henan Branch (formerly Chery Automobile Henan Co., Ltd.)</v>
      </c>
      <c r="E1006" s="12" t="s">
        <v>564</v>
      </c>
      <c r="F1006" s="12" t="s">
        <v>18</v>
      </c>
      <c r="G1006" s="12" t="s">
        <v>24</v>
      </c>
      <c r="H1006" s="12" t="s">
        <v>401</v>
      </c>
      <c r="I1006" s="14">
        <v>45314</v>
      </c>
      <c r="J1006" s="12" t="s">
        <v>561</v>
      </c>
    </row>
    <row r="1007" spans="1:10" s="15" customFormat="1" x14ac:dyDescent="0.15">
      <c r="A1007" s="11">
        <v>45316</v>
      </c>
      <c r="B1007" s="12" t="s">
        <v>68</v>
      </c>
      <c r="C1007" s="12" t="s">
        <v>563</v>
      </c>
      <c r="D1007" s="13" t="str">
        <f>HYPERLINK("https://www.marklines.com/en/global/3883","Chery Commercial Vehicle (Anhui) Co., Ltd.")</f>
        <v>Chery Commercial Vehicle (Anhui) Co., Ltd.</v>
      </c>
      <c r="E1007" s="12" t="s">
        <v>565</v>
      </c>
      <c r="F1007" s="12" t="s">
        <v>18</v>
      </c>
      <c r="G1007" s="12" t="s">
        <v>24</v>
      </c>
      <c r="H1007" s="12" t="s">
        <v>55</v>
      </c>
      <c r="I1007" s="14">
        <v>45314</v>
      </c>
      <c r="J1007" s="12" t="s">
        <v>561</v>
      </c>
    </row>
    <row r="1008" spans="1:10" s="15" customFormat="1" x14ac:dyDescent="0.15">
      <c r="A1008" s="11">
        <v>45316</v>
      </c>
      <c r="B1008" s="12" t="s">
        <v>68</v>
      </c>
      <c r="C1008" s="12" t="s">
        <v>566</v>
      </c>
      <c r="D1008" s="13" t="str">
        <f>HYPERLINK("https://www.marklines.com/en/global/9390","Chery New Energy Automobile Co., Ltd. (Formerly Chery New Energy Technology Automotive Co., Ltd.)")</f>
        <v>Chery New Energy Automobile Co., Ltd. (Formerly Chery New Energy Technology Automotive Co., Ltd.)</v>
      </c>
      <c r="E1008" s="12" t="s">
        <v>562</v>
      </c>
      <c r="F1008" s="12" t="s">
        <v>18</v>
      </c>
      <c r="G1008" s="12" t="s">
        <v>24</v>
      </c>
      <c r="H1008" s="12" t="s">
        <v>55</v>
      </c>
      <c r="I1008" s="14">
        <v>45314</v>
      </c>
      <c r="J1008" s="12" t="s">
        <v>561</v>
      </c>
    </row>
    <row r="1009" spans="1:10" s="15" customFormat="1" x14ac:dyDescent="0.15">
      <c r="A1009" s="11">
        <v>45316</v>
      </c>
      <c r="B1009" s="12" t="s">
        <v>36</v>
      </c>
      <c r="C1009" s="12" t="s">
        <v>36</v>
      </c>
      <c r="D1009" s="13" t="str">
        <f>HYPERLINK("https://www.marklines.com/en/global/1939","Stellantis, Peugeot Citroen Automoviles Espana S.A., Vigo Plant")</f>
        <v>Stellantis, Peugeot Citroen Automoviles Espana S.A., Vigo Plant</v>
      </c>
      <c r="E1009" s="12" t="s">
        <v>54</v>
      </c>
      <c r="F1009" s="12" t="s">
        <v>16</v>
      </c>
      <c r="G1009" s="12" t="s">
        <v>42</v>
      </c>
      <c r="H1009" s="12"/>
      <c r="I1009" s="14">
        <v>45313</v>
      </c>
      <c r="J1009" s="12" t="s">
        <v>567</v>
      </c>
    </row>
    <row r="1010" spans="1:10" s="15" customFormat="1" x14ac:dyDescent="0.15">
      <c r="A1010" s="11">
        <v>45316</v>
      </c>
      <c r="B1010" s="12" t="s">
        <v>36</v>
      </c>
      <c r="C1010" s="12" t="s">
        <v>36</v>
      </c>
      <c r="D1010" s="13" t="str">
        <f>HYPERLINK("https://www.marklines.com/en/global/1935","Stellantis, Peugeot Citroen Automoviles Espana S.A., Villaverde (Madrid) Plant")</f>
        <v>Stellantis, Peugeot Citroen Automoviles Espana S.A., Villaverde (Madrid) Plant</v>
      </c>
      <c r="E1010" s="12" t="s">
        <v>53</v>
      </c>
      <c r="F1010" s="12" t="s">
        <v>16</v>
      </c>
      <c r="G1010" s="12" t="s">
        <v>42</v>
      </c>
      <c r="H1010" s="12"/>
      <c r="I1010" s="14">
        <v>45313</v>
      </c>
      <c r="J1010" s="12" t="s">
        <v>567</v>
      </c>
    </row>
    <row r="1011" spans="1:10" s="15" customFormat="1" x14ac:dyDescent="0.15">
      <c r="A1011" s="11">
        <v>45316</v>
      </c>
      <c r="B1011" s="12" t="s">
        <v>36</v>
      </c>
      <c r="C1011" s="12" t="s">
        <v>36</v>
      </c>
      <c r="D1011" s="13" t="str">
        <f>HYPERLINK("https://www.marklines.com/en/global/1931","Stellantis, Opel Espana de Automoviles, S.A., Zaragoza (Figueruelas) Plant")</f>
        <v>Stellantis, Opel Espana de Automoviles, S.A., Zaragoza (Figueruelas) Plant</v>
      </c>
      <c r="E1011" s="12" t="s">
        <v>52</v>
      </c>
      <c r="F1011" s="12" t="s">
        <v>16</v>
      </c>
      <c r="G1011" s="12" t="s">
        <v>42</v>
      </c>
      <c r="H1011" s="12"/>
      <c r="I1011" s="14">
        <v>45313</v>
      </c>
      <c r="J1011" s="12" t="s">
        <v>568</v>
      </c>
    </row>
    <row r="1012" spans="1:10" s="15" customFormat="1" x14ac:dyDescent="0.15">
      <c r="A1012" s="11">
        <v>45316</v>
      </c>
      <c r="B1012" s="12" t="s">
        <v>19</v>
      </c>
      <c r="C1012" s="12" t="s">
        <v>19</v>
      </c>
      <c r="D1012" s="13" t="str">
        <f>HYPERLINK("https://www.marklines.com/en/global/4093","GAC Toyota Motor Co., Ltd. (GTMC)")</f>
        <v>GAC Toyota Motor Co., Ltd. (GTMC)</v>
      </c>
      <c r="E1012" s="12" t="s">
        <v>569</v>
      </c>
      <c r="F1012" s="12" t="s">
        <v>18</v>
      </c>
      <c r="G1012" s="12" t="s">
        <v>24</v>
      </c>
      <c r="H1012" s="12" t="s">
        <v>63</v>
      </c>
      <c r="I1012" s="14">
        <v>45313</v>
      </c>
      <c r="J1012" s="12" t="s">
        <v>570</v>
      </c>
    </row>
    <row r="1013" spans="1:10" s="15" customFormat="1" x14ac:dyDescent="0.15">
      <c r="A1013" s="11">
        <v>45316</v>
      </c>
      <c r="B1013" s="12" t="s">
        <v>571</v>
      </c>
      <c r="C1013" s="12" t="s">
        <v>571</v>
      </c>
      <c r="D1013" s="13" t="str">
        <f>HYPERLINK("https://www.marklines.com/en/global/4073","Guangzhou Automobile Group Co., Ltd. (GAC)")</f>
        <v>Guangzhou Automobile Group Co., Ltd. (GAC)</v>
      </c>
      <c r="E1013" s="12" t="s">
        <v>572</v>
      </c>
      <c r="F1013" s="12" t="s">
        <v>18</v>
      </c>
      <c r="G1013" s="12" t="s">
        <v>24</v>
      </c>
      <c r="H1013" s="12" t="s">
        <v>63</v>
      </c>
      <c r="I1013" s="14">
        <v>45313</v>
      </c>
      <c r="J1013" s="12" t="s">
        <v>570</v>
      </c>
    </row>
    <row r="1014" spans="1:10" s="15" customFormat="1" x14ac:dyDescent="0.15">
      <c r="A1014" s="11">
        <v>45316</v>
      </c>
      <c r="B1014" s="12" t="s">
        <v>12</v>
      </c>
      <c r="C1014" s="12" t="s">
        <v>573</v>
      </c>
      <c r="D1014" s="13" t="str">
        <f>HYPERLINK("https://www.marklines.com/en/global/757","JSC Moscow Automobile Plant Moskvich, Moscow Plant (former CJSC Renault Russia)")</f>
        <v>JSC Moscow Automobile Plant Moskvich, Moscow Plant (former CJSC Renault Russia)</v>
      </c>
      <c r="E1014" s="12" t="s">
        <v>45</v>
      </c>
      <c r="F1014" s="12" t="s">
        <v>17</v>
      </c>
      <c r="G1014" s="12" t="s">
        <v>13</v>
      </c>
      <c r="H1014" s="12"/>
      <c r="I1014" s="14">
        <v>45312</v>
      </c>
      <c r="J1014" s="12" t="s">
        <v>574</v>
      </c>
    </row>
    <row r="1015" spans="1:10" s="15" customFormat="1" x14ac:dyDescent="0.15">
      <c r="A1015" s="11">
        <v>45316</v>
      </c>
      <c r="B1015" s="12" t="s">
        <v>448</v>
      </c>
      <c r="C1015" s="12" t="s">
        <v>448</v>
      </c>
      <c r="D1015" s="13" t="str">
        <f>HYPERLINK("https://www.marklines.com/en/global/9536","Zhejiang Leapmotor Technology Co., Ltd.")</f>
        <v>Zhejiang Leapmotor Technology Co., Ltd.</v>
      </c>
      <c r="E1015" s="12" t="s">
        <v>575</v>
      </c>
      <c r="F1015" s="12" t="s">
        <v>18</v>
      </c>
      <c r="G1015" s="12" t="s">
        <v>24</v>
      </c>
      <c r="H1015" s="12" t="s">
        <v>61</v>
      </c>
      <c r="I1015" s="14">
        <v>45310</v>
      </c>
      <c r="J1015" s="12" t="s">
        <v>576</v>
      </c>
    </row>
    <row r="1016" spans="1:10" s="15" customFormat="1" x14ac:dyDescent="0.15">
      <c r="A1016" s="11">
        <v>45315</v>
      </c>
      <c r="B1016" s="12" t="s">
        <v>577</v>
      </c>
      <c r="C1016" s="12" t="s">
        <v>577</v>
      </c>
      <c r="D1016" s="13" t="str">
        <f>HYPERLINK("https://www.marklines.com/en/global/1349","Iveco S.p.A.")</f>
        <v>Iveco S.p.A.</v>
      </c>
      <c r="E1016" s="12" t="s">
        <v>578</v>
      </c>
      <c r="F1016" s="12" t="s">
        <v>16</v>
      </c>
      <c r="G1016" s="12" t="s">
        <v>37</v>
      </c>
      <c r="H1016" s="12"/>
      <c r="I1016" s="14">
        <v>45314</v>
      </c>
      <c r="J1016" s="12" t="s">
        <v>579</v>
      </c>
    </row>
    <row r="1017" spans="1:10" s="15" customFormat="1" x14ac:dyDescent="0.15">
      <c r="A1017" s="11">
        <v>45315</v>
      </c>
      <c r="B1017" s="12" t="s">
        <v>577</v>
      </c>
      <c r="C1017" s="12" t="s">
        <v>577</v>
      </c>
      <c r="D1017" s="13" t="str">
        <f>HYPERLINK("https://www.marklines.com/en/global/1345","FPT Industrial S.p.A., Turin Plant")</f>
        <v>FPT Industrial S.p.A., Turin Plant</v>
      </c>
      <c r="E1017" s="12" t="s">
        <v>580</v>
      </c>
      <c r="F1017" s="12" t="s">
        <v>16</v>
      </c>
      <c r="G1017" s="12" t="s">
        <v>37</v>
      </c>
      <c r="H1017" s="12"/>
      <c r="I1017" s="14">
        <v>45314</v>
      </c>
      <c r="J1017" s="12" t="s">
        <v>579</v>
      </c>
    </row>
    <row r="1018" spans="1:10" s="15" customFormat="1" x14ac:dyDescent="0.15">
      <c r="A1018" s="11">
        <v>45315</v>
      </c>
      <c r="B1018" s="12" t="s">
        <v>346</v>
      </c>
      <c r="C1018" s="12" t="s">
        <v>346</v>
      </c>
      <c r="D1018" s="13" t="str">
        <f>HYPERLINK("https://www.marklines.com/en/global/3187","Nissan North America, Canton Plant")</f>
        <v>Nissan North America, Canton Plant</v>
      </c>
      <c r="E1018" s="12" t="s">
        <v>451</v>
      </c>
      <c r="F1018" s="12" t="s">
        <v>15</v>
      </c>
      <c r="G1018" s="12" t="s">
        <v>11</v>
      </c>
      <c r="H1018" s="12" t="s">
        <v>452</v>
      </c>
      <c r="I1018" s="14">
        <v>45314</v>
      </c>
      <c r="J1018" s="12" t="s">
        <v>581</v>
      </c>
    </row>
    <row r="1019" spans="1:10" s="15" customFormat="1" x14ac:dyDescent="0.15">
      <c r="A1019" s="11">
        <v>45315</v>
      </c>
      <c r="B1019" s="12" t="s">
        <v>346</v>
      </c>
      <c r="C1019" s="12" t="s">
        <v>346</v>
      </c>
      <c r="D1019" s="13" t="str">
        <f>HYPERLINK("https://www.marklines.com/en/global/3189","Nissan North America, Smyrna Plant")</f>
        <v>Nissan North America, Smyrna Plant</v>
      </c>
      <c r="E1019" s="12" t="s">
        <v>347</v>
      </c>
      <c r="F1019" s="12" t="s">
        <v>15</v>
      </c>
      <c r="G1019" s="12" t="s">
        <v>11</v>
      </c>
      <c r="H1019" s="12" t="s">
        <v>348</v>
      </c>
      <c r="I1019" s="14">
        <v>45314</v>
      </c>
      <c r="J1019" s="12" t="s">
        <v>581</v>
      </c>
    </row>
    <row r="1020" spans="1:10" s="15" customFormat="1" x14ac:dyDescent="0.15">
      <c r="A1020" s="11">
        <v>45315</v>
      </c>
      <c r="B1020" s="12" t="s">
        <v>582</v>
      </c>
      <c r="C1020" s="12" t="s">
        <v>582</v>
      </c>
      <c r="D1020" s="13" t="str">
        <f>HYPERLINK("https://www.marklines.com/en/global/3287","Volvo Trucks North America Inc., New River Valley (Dublin) Plant")</f>
        <v>Volvo Trucks North America Inc., New River Valley (Dublin) Plant</v>
      </c>
      <c r="E1020" s="12" t="s">
        <v>583</v>
      </c>
      <c r="F1020" s="12" t="s">
        <v>15</v>
      </c>
      <c r="G1020" s="12" t="s">
        <v>11</v>
      </c>
      <c r="H1020" s="12" t="s">
        <v>584</v>
      </c>
      <c r="I1020" s="14">
        <v>45314</v>
      </c>
      <c r="J1020" s="12" t="s">
        <v>585</v>
      </c>
    </row>
    <row r="1021" spans="1:10" s="15" customFormat="1" x14ac:dyDescent="0.15">
      <c r="A1021" s="11">
        <v>45315</v>
      </c>
      <c r="B1021" s="12" t="s">
        <v>86</v>
      </c>
      <c r="C1021" s="12" t="s">
        <v>86</v>
      </c>
      <c r="D1021" s="13" t="str">
        <f>HYPERLINK("https://www.marklines.com/en/global/735","OJSC (OAO) KAMAZ (Kamskiy Avtomobilny Zavod)")</f>
        <v>OJSC (OAO) KAMAZ (Kamskiy Avtomobilny Zavod)</v>
      </c>
      <c r="E1021" s="12" t="s">
        <v>586</v>
      </c>
      <c r="F1021" s="12" t="s">
        <v>17</v>
      </c>
      <c r="G1021" s="12" t="s">
        <v>13</v>
      </c>
      <c r="H1021" s="12"/>
      <c r="I1021" s="14">
        <v>45313</v>
      </c>
      <c r="J1021" s="12" t="s">
        <v>587</v>
      </c>
    </row>
    <row r="1022" spans="1:10" s="15" customFormat="1" x14ac:dyDescent="0.15">
      <c r="A1022" s="11">
        <v>45315</v>
      </c>
      <c r="B1022" s="12" t="s">
        <v>86</v>
      </c>
      <c r="C1022" s="12" t="s">
        <v>86</v>
      </c>
      <c r="D1022" s="13" t="str">
        <f>HYPERLINK("https://www.marklines.com/en/global/737","Kamaz, Naberezhnye Chelny Plant")</f>
        <v>Kamaz, Naberezhnye Chelny Plant</v>
      </c>
      <c r="E1022" s="12" t="s">
        <v>87</v>
      </c>
      <c r="F1022" s="12" t="s">
        <v>17</v>
      </c>
      <c r="G1022" s="12" t="s">
        <v>13</v>
      </c>
      <c r="H1022" s="12"/>
      <c r="I1022" s="14">
        <v>45313</v>
      </c>
      <c r="J1022" s="12" t="s">
        <v>587</v>
      </c>
    </row>
    <row r="1023" spans="1:10" s="15" customFormat="1" x14ac:dyDescent="0.15">
      <c r="A1023" s="11">
        <v>45315</v>
      </c>
      <c r="B1023" s="12" t="s">
        <v>248</v>
      </c>
      <c r="C1023" s="12" t="s">
        <v>248</v>
      </c>
      <c r="D1023" s="13" t="str">
        <f>HYPERLINK("https://www.marklines.com/en/global/3735","Nanjing Automobile(Group)Corporation")</f>
        <v>Nanjing Automobile(Group)Corporation</v>
      </c>
      <c r="E1023" s="12" t="s">
        <v>588</v>
      </c>
      <c r="F1023" s="12" t="s">
        <v>18</v>
      </c>
      <c r="G1023" s="12" t="s">
        <v>24</v>
      </c>
      <c r="H1023" s="12" t="s">
        <v>531</v>
      </c>
      <c r="I1023" s="14">
        <v>45312</v>
      </c>
      <c r="J1023" s="12" t="s">
        <v>589</v>
      </c>
    </row>
    <row r="1024" spans="1:10" s="15" customFormat="1" x14ac:dyDescent="0.15">
      <c r="A1024" s="11">
        <v>45315</v>
      </c>
      <c r="B1024" s="12" t="s">
        <v>65</v>
      </c>
      <c r="C1024" s="12" t="s">
        <v>328</v>
      </c>
      <c r="D1024" s="13" t="str">
        <f>HYPERLINK("https://www.marklines.com/en/global/9345","Geely Sichuan Commercial Vehicle Co., Ltd.")</f>
        <v>Geely Sichuan Commercial Vehicle Co., Ltd.</v>
      </c>
      <c r="E1024" s="12" t="s">
        <v>329</v>
      </c>
      <c r="F1024" s="12" t="s">
        <v>18</v>
      </c>
      <c r="G1024" s="12" t="s">
        <v>24</v>
      </c>
      <c r="H1024" s="12" t="s">
        <v>330</v>
      </c>
      <c r="I1024" s="14">
        <v>45311</v>
      </c>
      <c r="J1024" s="12" t="s">
        <v>590</v>
      </c>
    </row>
    <row r="1025" spans="1:10" s="15" customFormat="1" x14ac:dyDescent="0.15">
      <c r="A1025" s="11">
        <v>45315</v>
      </c>
      <c r="B1025" s="12" t="s">
        <v>68</v>
      </c>
      <c r="C1025" s="12" t="s">
        <v>560</v>
      </c>
      <c r="D1025" s="13" t="str">
        <f>HYPERLINK("https://www.marklines.com/en/global/9390","Chery New Energy Automobile Co., Ltd. (Formerly Chery New Energy Technology Automotive Co., Ltd.)")</f>
        <v>Chery New Energy Automobile Co., Ltd. (Formerly Chery New Energy Technology Automotive Co., Ltd.)</v>
      </c>
      <c r="E1025" s="12" t="s">
        <v>562</v>
      </c>
      <c r="F1025" s="12" t="s">
        <v>18</v>
      </c>
      <c r="G1025" s="12" t="s">
        <v>24</v>
      </c>
      <c r="H1025" s="12" t="s">
        <v>55</v>
      </c>
      <c r="I1025" s="14">
        <v>45311</v>
      </c>
      <c r="J1025" s="12" t="s">
        <v>591</v>
      </c>
    </row>
    <row r="1026" spans="1:10" s="15" customFormat="1" x14ac:dyDescent="0.15">
      <c r="A1026" s="11">
        <v>45315</v>
      </c>
      <c r="B1026" s="12" t="s">
        <v>68</v>
      </c>
      <c r="C1026" s="12" t="s">
        <v>560</v>
      </c>
      <c r="D1026" s="13" t="str">
        <f>HYPERLINK("https://www.marklines.com/en/global/3879","Chery Automobile Co., Ltd. ")</f>
        <v xml:space="preserve">Chery Automobile Co., Ltd. </v>
      </c>
      <c r="E1026" s="12" t="s">
        <v>92</v>
      </c>
      <c r="F1026" s="12" t="s">
        <v>18</v>
      </c>
      <c r="G1026" s="12" t="s">
        <v>24</v>
      </c>
      <c r="H1026" s="12" t="s">
        <v>55</v>
      </c>
      <c r="I1026" s="14">
        <v>45310</v>
      </c>
      <c r="J1026" s="12" t="s">
        <v>592</v>
      </c>
    </row>
    <row r="1027" spans="1:10" s="15" customFormat="1" x14ac:dyDescent="0.15">
      <c r="A1027" s="11">
        <v>45315</v>
      </c>
      <c r="B1027" s="12" t="s">
        <v>39</v>
      </c>
      <c r="C1027" s="12" t="s">
        <v>40</v>
      </c>
      <c r="D1027" s="13" t="str">
        <f>HYPERLINK("https://www.marklines.com/en/global/729","LLC ""LADA Izhevsk"", LADA Izhevsk Automotive Plant (formerly OJSC Izh-Avto, Izhevsk Automobilny Zavod) ")</f>
        <v xml:space="preserve">LLC "LADA Izhevsk", LADA Izhevsk Automotive Plant (formerly OJSC Izh-Avto, Izhevsk Automobilny Zavod) </v>
      </c>
      <c r="E1027" s="12" t="s">
        <v>46</v>
      </c>
      <c r="F1027" s="12" t="s">
        <v>17</v>
      </c>
      <c r="G1027" s="12" t="s">
        <v>13</v>
      </c>
      <c r="H1027" s="12"/>
      <c r="I1027" s="14">
        <v>45310</v>
      </c>
      <c r="J1027" s="12" t="s">
        <v>593</v>
      </c>
    </row>
    <row r="1028" spans="1:10" s="15" customFormat="1" x14ac:dyDescent="0.15">
      <c r="A1028" s="11">
        <v>45315</v>
      </c>
      <c r="B1028" s="12" t="s">
        <v>39</v>
      </c>
      <c r="C1028" s="12" t="s">
        <v>40</v>
      </c>
      <c r="D1028" s="13" t="str">
        <f>HYPERLINK("https://www.marklines.com/en/global/675","AvtoVAZ, Togliatti Plant")</f>
        <v>AvtoVAZ, Togliatti Plant</v>
      </c>
      <c r="E1028" s="12" t="s">
        <v>41</v>
      </c>
      <c r="F1028" s="12" t="s">
        <v>17</v>
      </c>
      <c r="G1028" s="12" t="s">
        <v>13</v>
      </c>
      <c r="H1028" s="12"/>
      <c r="I1028" s="14">
        <v>45310</v>
      </c>
      <c r="J1028" s="12" t="s">
        <v>593</v>
      </c>
    </row>
    <row r="1029" spans="1:10" s="15" customFormat="1" x14ac:dyDescent="0.15">
      <c r="A1029" s="11">
        <v>45315</v>
      </c>
      <c r="B1029" s="12" t="s">
        <v>72</v>
      </c>
      <c r="C1029" s="12" t="s">
        <v>72</v>
      </c>
      <c r="D1029" s="13" t="str">
        <f>HYPERLINK("https://www.marklines.com/en/global/10713","GB Auto S. A. E., El-Sadat Plant (tentative name)")</f>
        <v>GB Auto S. A. E., El-Sadat Plant (tentative name)</v>
      </c>
      <c r="E1029" s="12" t="s">
        <v>594</v>
      </c>
      <c r="F1029" s="12" t="s">
        <v>471</v>
      </c>
      <c r="G1029" s="12" t="s">
        <v>472</v>
      </c>
      <c r="H1029" s="12"/>
      <c r="I1029" s="14">
        <v>45309</v>
      </c>
      <c r="J1029" s="12" t="s">
        <v>595</v>
      </c>
    </row>
    <row r="1030" spans="1:10" s="15" customFormat="1" x14ac:dyDescent="0.15">
      <c r="A1030" s="11">
        <v>45315</v>
      </c>
      <c r="B1030" s="12" t="s">
        <v>30</v>
      </c>
      <c r="C1030" s="12" t="s">
        <v>596</v>
      </c>
      <c r="D1030" s="13" t="str">
        <f>HYPERLINK("https://www.marklines.com/en/global/10713","GB Auto S. A. E., El-Sadat Plant (tentative name)")</f>
        <v>GB Auto S. A. E., El-Sadat Plant (tentative name)</v>
      </c>
      <c r="E1030" s="12" t="s">
        <v>594</v>
      </c>
      <c r="F1030" s="12" t="s">
        <v>471</v>
      </c>
      <c r="G1030" s="12" t="s">
        <v>472</v>
      </c>
      <c r="H1030" s="12"/>
      <c r="I1030" s="14">
        <v>45309</v>
      </c>
      <c r="J1030" s="12" t="s">
        <v>595</v>
      </c>
    </row>
    <row r="1031" spans="1:10" s="15" customFormat="1" x14ac:dyDescent="0.15">
      <c r="A1031" s="11">
        <v>45315</v>
      </c>
      <c r="B1031" s="12" t="s">
        <v>12</v>
      </c>
      <c r="C1031" s="12" t="s">
        <v>12</v>
      </c>
      <c r="D1031" s="13" t="str">
        <f>HYPERLINK("https://www.marklines.com/en/global/8904","GB Auto S. A. E., Cairo Plant")</f>
        <v>GB Auto S. A. E., Cairo Plant</v>
      </c>
      <c r="E1031" s="12" t="s">
        <v>597</v>
      </c>
      <c r="F1031" s="12" t="s">
        <v>471</v>
      </c>
      <c r="G1031" s="12" t="s">
        <v>472</v>
      </c>
      <c r="H1031" s="12"/>
      <c r="I1031" s="14">
        <v>45309</v>
      </c>
      <c r="J1031" s="12" t="s">
        <v>595</v>
      </c>
    </row>
    <row r="1032" spans="1:10" s="15" customFormat="1" x14ac:dyDescent="0.15">
      <c r="A1032" s="11">
        <v>45315</v>
      </c>
      <c r="B1032" s="12" t="s">
        <v>237</v>
      </c>
      <c r="C1032" s="12" t="s">
        <v>237</v>
      </c>
      <c r="D1032" s="13" t="str">
        <f>HYPERLINK("https://www.marklines.com/en/global/3977","Dongfeng Passenger Vehicle Company")</f>
        <v>Dongfeng Passenger Vehicle Company</v>
      </c>
      <c r="E1032" s="12" t="s">
        <v>598</v>
      </c>
      <c r="F1032" s="12" t="s">
        <v>18</v>
      </c>
      <c r="G1032" s="12" t="s">
        <v>24</v>
      </c>
      <c r="H1032" s="12" t="s">
        <v>76</v>
      </c>
      <c r="I1032" s="14">
        <v>45309</v>
      </c>
      <c r="J1032" s="12" t="s">
        <v>599</v>
      </c>
    </row>
    <row r="1033" spans="1:10" s="15" customFormat="1" x14ac:dyDescent="0.15">
      <c r="A1033" s="11">
        <v>45315</v>
      </c>
      <c r="B1033" s="12" t="s">
        <v>390</v>
      </c>
      <c r="C1033" s="12" t="s">
        <v>390</v>
      </c>
      <c r="D1033" s="13" t="str">
        <f>HYPERLINK("https://www.marklines.com/en/global/3333","China FAW Group Co., Ltd.  (Formerly China FAW Group Corporation)")</f>
        <v>China FAW Group Co., Ltd.  (Formerly China FAW Group Corporation)</v>
      </c>
      <c r="E1033" s="12" t="s">
        <v>600</v>
      </c>
      <c r="F1033" s="12" t="s">
        <v>18</v>
      </c>
      <c r="G1033" s="12" t="s">
        <v>24</v>
      </c>
      <c r="H1033" s="12" t="s">
        <v>392</v>
      </c>
      <c r="I1033" s="14">
        <v>45305</v>
      </c>
      <c r="J1033" s="12" t="s">
        <v>601</v>
      </c>
    </row>
    <row r="1034" spans="1:10" s="15" customFormat="1" x14ac:dyDescent="0.15">
      <c r="A1034" s="11">
        <v>45314</v>
      </c>
      <c r="B1034" s="12" t="s">
        <v>19</v>
      </c>
      <c r="C1034" s="12" t="s">
        <v>19</v>
      </c>
      <c r="D1034" s="13" t="str">
        <f>HYPERLINK("https://www.marklines.com/en/global/267","PT. Astra Daihatsu Motor (ADM), Sunter (Jakarta) Plant")</f>
        <v>PT. Astra Daihatsu Motor (ADM), Sunter (Jakarta) Plant</v>
      </c>
      <c r="E1034" s="12" t="s">
        <v>602</v>
      </c>
      <c r="F1034" s="12" t="s">
        <v>29</v>
      </c>
      <c r="G1034" s="12" t="s">
        <v>343</v>
      </c>
      <c r="H1034" s="12"/>
      <c r="I1034" s="14">
        <v>45310</v>
      </c>
      <c r="J1034" s="12" t="s">
        <v>603</v>
      </c>
    </row>
    <row r="1035" spans="1:10" s="15" customFormat="1" x14ac:dyDescent="0.15">
      <c r="A1035" s="11">
        <v>45314</v>
      </c>
      <c r="B1035" s="12" t="s">
        <v>19</v>
      </c>
      <c r="C1035" s="12" t="s">
        <v>19</v>
      </c>
      <c r="D1035" s="13" t="str">
        <f>HYPERLINK("https://www.marklines.com/en/global/541","Daihatsu Motor, Kyoto (Oyamazaki) Plant")</f>
        <v>Daihatsu Motor, Kyoto (Oyamazaki) Plant</v>
      </c>
      <c r="E1035" s="12" t="s">
        <v>518</v>
      </c>
      <c r="F1035" s="12" t="s">
        <v>18</v>
      </c>
      <c r="G1035" s="12" t="s">
        <v>20</v>
      </c>
      <c r="H1035" s="12" t="s">
        <v>519</v>
      </c>
      <c r="I1035" s="14">
        <v>45310</v>
      </c>
      <c r="J1035" s="12" t="s">
        <v>603</v>
      </c>
    </row>
    <row r="1036" spans="1:10" s="15" customFormat="1" x14ac:dyDescent="0.15">
      <c r="A1036" s="11">
        <v>45314</v>
      </c>
      <c r="B1036" s="12" t="s">
        <v>19</v>
      </c>
      <c r="C1036" s="12" t="s">
        <v>512</v>
      </c>
      <c r="D1036" s="13" t="str">
        <f>HYPERLINK("https://www.marklines.com/en/global/267","PT. Astra Daihatsu Motor (ADM), Sunter (Jakarta) Plant")</f>
        <v>PT. Astra Daihatsu Motor (ADM), Sunter (Jakarta) Plant</v>
      </c>
      <c r="E1036" s="12" t="s">
        <v>602</v>
      </c>
      <c r="F1036" s="12" t="s">
        <v>29</v>
      </c>
      <c r="G1036" s="12" t="s">
        <v>343</v>
      </c>
      <c r="H1036" s="12"/>
      <c r="I1036" s="14">
        <v>45310</v>
      </c>
      <c r="J1036" s="12" t="s">
        <v>603</v>
      </c>
    </row>
    <row r="1037" spans="1:10" s="15" customFormat="1" x14ac:dyDescent="0.15">
      <c r="A1037" s="11">
        <v>45314</v>
      </c>
      <c r="B1037" s="12" t="s">
        <v>19</v>
      </c>
      <c r="C1037" s="12" t="s">
        <v>512</v>
      </c>
      <c r="D1037" s="13" t="str">
        <f>HYPERLINK("https://www.marklines.com/en/global/541","Daihatsu Motor, Kyoto (Oyamazaki) Plant")</f>
        <v>Daihatsu Motor, Kyoto (Oyamazaki) Plant</v>
      </c>
      <c r="E1037" s="12" t="s">
        <v>518</v>
      </c>
      <c r="F1037" s="12" t="s">
        <v>18</v>
      </c>
      <c r="G1037" s="12" t="s">
        <v>20</v>
      </c>
      <c r="H1037" s="12" t="s">
        <v>519</v>
      </c>
      <c r="I1037" s="14">
        <v>45310</v>
      </c>
      <c r="J1037" s="12" t="s">
        <v>603</v>
      </c>
    </row>
    <row r="1038" spans="1:10" s="15" customFormat="1" x14ac:dyDescent="0.15">
      <c r="A1038" s="11">
        <v>45314</v>
      </c>
      <c r="B1038" s="12" t="s">
        <v>78</v>
      </c>
      <c r="C1038" s="12" t="s">
        <v>78</v>
      </c>
      <c r="D1038" s="13" t="str">
        <f>HYPERLINK("https://www.marklines.com/en/global/267","PT. Astra Daihatsu Motor (ADM), Sunter (Jakarta) Plant")</f>
        <v>PT. Astra Daihatsu Motor (ADM), Sunter (Jakarta) Plant</v>
      </c>
      <c r="E1038" s="12" t="s">
        <v>602</v>
      </c>
      <c r="F1038" s="12" t="s">
        <v>29</v>
      </c>
      <c r="G1038" s="12" t="s">
        <v>343</v>
      </c>
      <c r="H1038" s="12"/>
      <c r="I1038" s="14">
        <v>45310</v>
      </c>
      <c r="J1038" s="12" t="s">
        <v>603</v>
      </c>
    </row>
    <row r="1039" spans="1:10" s="15" customFormat="1" x14ac:dyDescent="0.15">
      <c r="A1039" s="11">
        <v>45314</v>
      </c>
      <c r="B1039" s="12" t="s">
        <v>78</v>
      </c>
      <c r="C1039" s="12" t="s">
        <v>78</v>
      </c>
      <c r="D1039" s="13" t="str">
        <f>HYPERLINK("https://www.marklines.com/en/global/541","Daihatsu Motor, Kyoto (Oyamazaki) Plant")</f>
        <v>Daihatsu Motor, Kyoto (Oyamazaki) Plant</v>
      </c>
      <c r="E1039" s="12" t="s">
        <v>518</v>
      </c>
      <c r="F1039" s="12" t="s">
        <v>18</v>
      </c>
      <c r="G1039" s="12" t="s">
        <v>20</v>
      </c>
      <c r="H1039" s="12" t="s">
        <v>519</v>
      </c>
      <c r="I1039" s="14">
        <v>45310</v>
      </c>
      <c r="J1039" s="12" t="s">
        <v>603</v>
      </c>
    </row>
    <row r="1040" spans="1:10" s="15" customFormat="1" x14ac:dyDescent="0.15">
      <c r="A1040" s="11">
        <v>45314</v>
      </c>
      <c r="B1040" s="12" t="s">
        <v>68</v>
      </c>
      <c r="C1040" s="12" t="s">
        <v>68</v>
      </c>
      <c r="D1040" s="13" t="str">
        <f>HYPERLINK("https://www.marklines.com/en/global/2861","CAOA Chery Brazil, Anapolis Plant (Former Hyundai Caoa do Brasil Ltda.)")</f>
        <v>CAOA Chery Brazil, Anapolis Plant (Former Hyundai Caoa do Brasil Ltda.)</v>
      </c>
      <c r="E1040" s="12" t="s">
        <v>604</v>
      </c>
      <c r="F1040" s="12" t="s">
        <v>66</v>
      </c>
      <c r="G1040" s="12" t="s">
        <v>67</v>
      </c>
      <c r="H1040" s="12"/>
      <c r="I1040" s="14">
        <v>45310</v>
      </c>
      <c r="J1040" s="12" t="s">
        <v>605</v>
      </c>
    </row>
    <row r="1041" spans="1:10" s="15" customFormat="1" x14ac:dyDescent="0.15">
      <c r="A1041" s="11">
        <v>45314</v>
      </c>
      <c r="B1041" s="12" t="s">
        <v>65</v>
      </c>
      <c r="C1041" s="12" t="s">
        <v>221</v>
      </c>
      <c r="D1041" s="13" t="str">
        <f>HYPERLINK("https://www.marklines.com/en/global/9860","Zhejiang Geely Automobile Co., Ltd. Wuhan Branch")</f>
        <v>Zhejiang Geely Automobile Co., Ltd. Wuhan Branch</v>
      </c>
      <c r="E1041" s="12" t="s">
        <v>222</v>
      </c>
      <c r="F1041" s="12" t="s">
        <v>18</v>
      </c>
      <c r="G1041" s="12" t="s">
        <v>24</v>
      </c>
      <c r="H1041" s="12" t="s">
        <v>76</v>
      </c>
      <c r="I1041" s="14">
        <v>45309</v>
      </c>
      <c r="J1041" s="12" t="s">
        <v>606</v>
      </c>
    </row>
    <row r="1042" spans="1:10" s="15" customFormat="1" x14ac:dyDescent="0.15">
      <c r="A1042" s="11">
        <v>45314</v>
      </c>
      <c r="B1042" s="12" t="s">
        <v>84</v>
      </c>
      <c r="C1042" s="12" t="s">
        <v>84</v>
      </c>
      <c r="D1042" s="13" t="str">
        <f>HYPERLINK("https://www.marklines.com/en/global/9485","Guangzhou Xiaopeng Motors Technology Co., Ltd. ")</f>
        <v xml:space="preserve">Guangzhou Xiaopeng Motors Technology Co., Ltd. </v>
      </c>
      <c r="E1042" s="12" t="s">
        <v>607</v>
      </c>
      <c r="F1042" s="12" t="s">
        <v>18</v>
      </c>
      <c r="G1042" s="12" t="s">
        <v>24</v>
      </c>
      <c r="H1042" s="12" t="s">
        <v>63</v>
      </c>
      <c r="I1042" s="14">
        <v>45309</v>
      </c>
      <c r="J1042" s="12" t="s">
        <v>608</v>
      </c>
    </row>
    <row r="1043" spans="1:10" s="15" customFormat="1" x14ac:dyDescent="0.15">
      <c r="A1043" s="11">
        <v>45314</v>
      </c>
      <c r="B1043" s="12" t="s">
        <v>346</v>
      </c>
      <c r="C1043" s="12" t="s">
        <v>346</v>
      </c>
      <c r="D1043" s="13" t="str">
        <f>HYPERLINK("https://www.marklines.com/en/global/4001","Fengshen Xiangyang Automobile Co., Ltd. (formerly Dongfeng Nissan Passenger Vehicle Company (Xiangyang Plant))")</f>
        <v>Fengshen Xiangyang Automobile Co., Ltd. (formerly Dongfeng Nissan Passenger Vehicle Company (Xiangyang Plant))</v>
      </c>
      <c r="E1043" s="12" t="s">
        <v>609</v>
      </c>
      <c r="F1043" s="12" t="s">
        <v>18</v>
      </c>
      <c r="G1043" s="12" t="s">
        <v>24</v>
      </c>
      <c r="H1043" s="12" t="s">
        <v>76</v>
      </c>
      <c r="I1043" s="14">
        <v>45309</v>
      </c>
      <c r="J1043" s="12" t="s">
        <v>610</v>
      </c>
    </row>
    <row r="1044" spans="1:10" s="15" customFormat="1" x14ac:dyDescent="0.15">
      <c r="A1044" s="11">
        <v>45314</v>
      </c>
      <c r="B1044" s="12" t="s">
        <v>350</v>
      </c>
      <c r="C1044" s="12" t="s">
        <v>350</v>
      </c>
      <c r="D1044" s="13" t="str">
        <f>HYPERLINK("https://www.marklines.com/en/global/9900","General Motors Technical Center (Warren)")</f>
        <v>General Motors Technical Center (Warren)</v>
      </c>
      <c r="E1044" s="12" t="s">
        <v>611</v>
      </c>
      <c r="F1044" s="12" t="s">
        <v>15</v>
      </c>
      <c r="G1044" s="12" t="s">
        <v>11</v>
      </c>
      <c r="H1044" s="12" t="s">
        <v>505</v>
      </c>
      <c r="I1044" s="14">
        <v>45309</v>
      </c>
      <c r="J1044" s="12" t="s">
        <v>612</v>
      </c>
    </row>
    <row r="1045" spans="1:10" s="15" customFormat="1" x14ac:dyDescent="0.15">
      <c r="A1045" s="11">
        <v>45314</v>
      </c>
      <c r="B1045" s="12" t="s">
        <v>19</v>
      </c>
      <c r="C1045" s="12" t="s">
        <v>19</v>
      </c>
      <c r="D1045" s="13" t="str">
        <f>HYPERLINK("https://www.marklines.com/en/global/267","PT. Astra Daihatsu Motor (ADM), Sunter (Jakarta) Plant")</f>
        <v>PT. Astra Daihatsu Motor (ADM), Sunter (Jakarta) Plant</v>
      </c>
      <c r="E1045" s="12" t="s">
        <v>602</v>
      </c>
      <c r="F1045" s="12" t="s">
        <v>29</v>
      </c>
      <c r="G1045" s="12" t="s">
        <v>343</v>
      </c>
      <c r="H1045" s="12"/>
      <c r="I1045" s="14">
        <v>45307</v>
      </c>
      <c r="J1045" s="12" t="s">
        <v>613</v>
      </c>
    </row>
    <row r="1046" spans="1:10" s="15" customFormat="1" x14ac:dyDescent="0.15">
      <c r="A1046" s="11">
        <v>45314</v>
      </c>
      <c r="B1046" s="12" t="s">
        <v>19</v>
      </c>
      <c r="C1046" s="12" t="s">
        <v>19</v>
      </c>
      <c r="D1046" s="13" t="str">
        <f>HYPERLINK("https://www.marklines.com/en/global/547","Daihatsu Motor Kyushu, Oita (Nakatsu) Plant")</f>
        <v>Daihatsu Motor Kyushu, Oita (Nakatsu) Plant</v>
      </c>
      <c r="E1046" s="12" t="s">
        <v>520</v>
      </c>
      <c r="F1046" s="12" t="s">
        <v>18</v>
      </c>
      <c r="G1046" s="12" t="s">
        <v>20</v>
      </c>
      <c r="H1046" s="12" t="s">
        <v>521</v>
      </c>
      <c r="I1046" s="14">
        <v>45307</v>
      </c>
      <c r="J1046" s="12" t="s">
        <v>613</v>
      </c>
    </row>
    <row r="1047" spans="1:10" s="15" customFormat="1" x14ac:dyDescent="0.15">
      <c r="A1047" s="11">
        <v>45314</v>
      </c>
      <c r="B1047" s="12" t="s">
        <v>19</v>
      </c>
      <c r="C1047" s="12" t="s">
        <v>512</v>
      </c>
      <c r="D1047" s="13" t="str">
        <f>HYPERLINK("https://www.marklines.com/en/global/267","PT. Astra Daihatsu Motor (ADM), Sunter (Jakarta) Plant")</f>
        <v>PT. Astra Daihatsu Motor (ADM), Sunter (Jakarta) Plant</v>
      </c>
      <c r="E1047" s="12" t="s">
        <v>602</v>
      </c>
      <c r="F1047" s="12" t="s">
        <v>29</v>
      </c>
      <c r="G1047" s="12" t="s">
        <v>343</v>
      </c>
      <c r="H1047" s="12"/>
      <c r="I1047" s="14">
        <v>45307</v>
      </c>
      <c r="J1047" s="12" t="s">
        <v>613</v>
      </c>
    </row>
    <row r="1048" spans="1:10" s="15" customFormat="1" x14ac:dyDescent="0.15">
      <c r="A1048" s="11">
        <v>45314</v>
      </c>
      <c r="B1048" s="12" t="s">
        <v>19</v>
      </c>
      <c r="C1048" s="12" t="s">
        <v>512</v>
      </c>
      <c r="D1048" s="13" t="str">
        <f>HYPERLINK("https://www.marklines.com/en/global/547","Daihatsu Motor Kyushu, Oita (Nakatsu) Plant")</f>
        <v>Daihatsu Motor Kyushu, Oita (Nakatsu) Plant</v>
      </c>
      <c r="E1048" s="12" t="s">
        <v>520</v>
      </c>
      <c r="F1048" s="12" t="s">
        <v>18</v>
      </c>
      <c r="G1048" s="12" t="s">
        <v>20</v>
      </c>
      <c r="H1048" s="12" t="s">
        <v>521</v>
      </c>
      <c r="I1048" s="14">
        <v>45307</v>
      </c>
      <c r="J1048" s="12" t="s">
        <v>613</v>
      </c>
    </row>
    <row r="1049" spans="1:10" s="15" customFormat="1" x14ac:dyDescent="0.15">
      <c r="A1049" s="11">
        <v>45314</v>
      </c>
      <c r="B1049" s="12" t="s">
        <v>78</v>
      </c>
      <c r="C1049" s="12" t="s">
        <v>78</v>
      </c>
      <c r="D1049" s="13" t="str">
        <f>HYPERLINK("https://www.marklines.com/en/global/267","PT. Astra Daihatsu Motor (ADM), Sunter (Jakarta) Plant")</f>
        <v>PT. Astra Daihatsu Motor (ADM), Sunter (Jakarta) Plant</v>
      </c>
      <c r="E1049" s="12" t="s">
        <v>602</v>
      </c>
      <c r="F1049" s="12" t="s">
        <v>29</v>
      </c>
      <c r="G1049" s="12" t="s">
        <v>343</v>
      </c>
      <c r="H1049" s="12"/>
      <c r="I1049" s="14">
        <v>45307</v>
      </c>
      <c r="J1049" s="12" t="s">
        <v>613</v>
      </c>
    </row>
    <row r="1050" spans="1:10" s="15" customFormat="1" x14ac:dyDescent="0.15">
      <c r="A1050" s="11">
        <v>45314</v>
      </c>
      <c r="B1050" s="12" t="s">
        <v>19</v>
      </c>
      <c r="C1050" s="12" t="s">
        <v>19</v>
      </c>
      <c r="D1050" s="13" t="str">
        <f>HYPERLINK("https://www.marklines.com/en/global/373","Toyota Motor, Motomachi Plant")</f>
        <v>Toyota Motor, Motomachi Plant</v>
      </c>
      <c r="E1050" s="12" t="s">
        <v>188</v>
      </c>
      <c r="F1050" s="12" t="s">
        <v>18</v>
      </c>
      <c r="G1050" s="12" t="s">
        <v>20</v>
      </c>
      <c r="H1050" s="12" t="s">
        <v>189</v>
      </c>
      <c r="I1050" s="14">
        <v>45306</v>
      </c>
      <c r="J1050" s="12" t="s">
        <v>614</v>
      </c>
    </row>
    <row r="1051" spans="1:10" s="15" customFormat="1" x14ac:dyDescent="0.15">
      <c r="A1051" s="11">
        <v>45314</v>
      </c>
      <c r="B1051" s="12" t="s">
        <v>34</v>
      </c>
      <c r="C1051" s="12" t="s">
        <v>359</v>
      </c>
      <c r="D1051" s="13" t="str">
        <f>HYPERLINK("https://www.marklines.com/en/global/2443","Kia, Hwaseong Plant (AutoLand  Hwaseong)")</f>
        <v>Kia, Hwaseong Plant (AutoLand  Hwaseong)</v>
      </c>
      <c r="E1051" s="12" t="s">
        <v>403</v>
      </c>
      <c r="F1051" s="12" t="s">
        <v>18</v>
      </c>
      <c r="G1051" s="12" t="s">
        <v>404</v>
      </c>
      <c r="H1051" s="12"/>
      <c r="I1051" s="14">
        <v>45301</v>
      </c>
      <c r="J1051" s="12" t="s">
        <v>615</v>
      </c>
    </row>
    <row r="1052" spans="1:10" s="15" customFormat="1" x14ac:dyDescent="0.15">
      <c r="A1052" s="11">
        <v>45314</v>
      </c>
      <c r="B1052" s="12" t="s">
        <v>34</v>
      </c>
      <c r="C1052" s="12" t="s">
        <v>359</v>
      </c>
      <c r="D1052" s="13" t="str">
        <f>HYPERLINK("https://www.marklines.com/en/global/2445","Kia, Gwangmyeong Plant (AutoLand Gwangmyeong)")</f>
        <v>Kia, Gwangmyeong Plant (AutoLand Gwangmyeong)</v>
      </c>
      <c r="E1052" s="12" t="s">
        <v>616</v>
      </c>
      <c r="F1052" s="12" t="s">
        <v>18</v>
      </c>
      <c r="G1052" s="12" t="s">
        <v>404</v>
      </c>
      <c r="H1052" s="12"/>
      <c r="I1052" s="14">
        <v>45273</v>
      </c>
      <c r="J1052" s="12" t="s">
        <v>617</v>
      </c>
    </row>
    <row r="1053" spans="1:10" s="15" customFormat="1" x14ac:dyDescent="0.15">
      <c r="A1053" s="11">
        <v>45314</v>
      </c>
      <c r="B1053" s="12" t="s">
        <v>34</v>
      </c>
      <c r="C1053" s="12" t="s">
        <v>359</v>
      </c>
      <c r="D1053" s="13" t="str">
        <f>HYPERLINK("https://www.marklines.com/en/global/2443","Kia, Hwaseong Plant (AutoLand  Hwaseong)")</f>
        <v>Kia, Hwaseong Plant (AutoLand  Hwaseong)</v>
      </c>
      <c r="E1053" s="12" t="s">
        <v>403</v>
      </c>
      <c r="F1053" s="12" t="s">
        <v>18</v>
      </c>
      <c r="G1053" s="12" t="s">
        <v>404</v>
      </c>
      <c r="H1053" s="12"/>
      <c r="I1053" s="14">
        <v>45273</v>
      </c>
      <c r="J1053" s="12" t="s">
        <v>617</v>
      </c>
    </row>
    <row r="1054" spans="1:10" s="15" customFormat="1" x14ac:dyDescent="0.15">
      <c r="A1054" s="11">
        <v>45313</v>
      </c>
      <c r="B1054" s="12" t="s">
        <v>429</v>
      </c>
      <c r="C1054" s="12" t="s">
        <v>430</v>
      </c>
      <c r="D1054" s="13" t="str">
        <f>HYPERLINK("https://www.marklines.com/en/global/9476","Bangchan General Assembly Co., Ltd. (BGAC), Bangkok Plant")</f>
        <v>Bangchan General Assembly Co., Ltd. (BGAC), Bangkok Plant</v>
      </c>
      <c r="E1054" s="12" t="s">
        <v>618</v>
      </c>
      <c r="F1054" s="12" t="s">
        <v>29</v>
      </c>
      <c r="G1054" s="12" t="s">
        <v>301</v>
      </c>
      <c r="H1054" s="12" t="s">
        <v>619</v>
      </c>
      <c r="I1054" s="14">
        <v>45307</v>
      </c>
      <c r="J1054" s="12" t="s">
        <v>620</v>
      </c>
    </row>
    <row r="1055" spans="1:10" s="15" customFormat="1" x14ac:dyDescent="0.15">
      <c r="A1055" s="11">
        <v>45313</v>
      </c>
      <c r="B1055" s="12" t="s">
        <v>72</v>
      </c>
      <c r="C1055" s="12" t="s">
        <v>72</v>
      </c>
      <c r="D1055" s="13" t="str">
        <f>HYPERLINK("https://www.marklines.com/en/global/3449","China Changan Automobile Group Co., Ltd. ")</f>
        <v xml:space="preserve">China Changan Automobile Group Co., Ltd. </v>
      </c>
      <c r="E1055" s="12" t="s">
        <v>621</v>
      </c>
      <c r="F1055" s="12" t="s">
        <v>18</v>
      </c>
      <c r="G1055" s="12" t="s">
        <v>24</v>
      </c>
      <c r="H1055" s="12" t="s">
        <v>71</v>
      </c>
      <c r="I1055" s="14">
        <v>45307</v>
      </c>
      <c r="J1055" s="12" t="s">
        <v>622</v>
      </c>
    </row>
    <row r="1056" spans="1:10" s="15" customFormat="1" x14ac:dyDescent="0.15">
      <c r="A1056" s="11">
        <v>45311</v>
      </c>
      <c r="B1056" s="12" t="s">
        <v>21</v>
      </c>
      <c r="C1056" s="12" t="s">
        <v>21</v>
      </c>
      <c r="D1056" s="13" t="str">
        <f>HYPERLINK("https://www.marklines.com/en/global/2569","Ford Motor, Michigan Assembly Plant")</f>
        <v>Ford Motor, Michigan Assembly Plant</v>
      </c>
      <c r="E1056" s="12" t="s">
        <v>623</v>
      </c>
      <c r="F1056" s="12" t="s">
        <v>15</v>
      </c>
      <c r="G1056" s="12" t="s">
        <v>11</v>
      </c>
      <c r="H1056" s="12" t="s">
        <v>505</v>
      </c>
      <c r="I1056" s="14">
        <v>45310</v>
      </c>
      <c r="J1056" s="12" t="s">
        <v>624</v>
      </c>
    </row>
    <row r="1057" spans="1:10" s="15" customFormat="1" x14ac:dyDescent="0.15">
      <c r="A1057" s="11">
        <v>45311</v>
      </c>
      <c r="B1057" s="12" t="s">
        <v>21</v>
      </c>
      <c r="C1057" s="12" t="s">
        <v>21</v>
      </c>
      <c r="D1057" s="13" t="str">
        <f>HYPERLINK("https://www.marklines.com/en/global/10376","Ford Motor, Rouge Electric Vehicle Center")</f>
        <v>Ford Motor, Rouge Electric Vehicle Center</v>
      </c>
      <c r="E1057" s="12" t="s">
        <v>625</v>
      </c>
      <c r="F1057" s="12" t="s">
        <v>15</v>
      </c>
      <c r="G1057" s="12" t="s">
        <v>11</v>
      </c>
      <c r="H1057" s="12" t="s">
        <v>505</v>
      </c>
      <c r="I1057" s="14">
        <v>45310</v>
      </c>
      <c r="J1057" s="12" t="s">
        <v>624</v>
      </c>
    </row>
    <row r="1058" spans="1:10" s="15" customFormat="1" x14ac:dyDescent="0.15">
      <c r="A1058" s="11">
        <v>45311</v>
      </c>
      <c r="B1058" s="12" t="s">
        <v>27</v>
      </c>
      <c r="C1058" s="12" t="s">
        <v>27</v>
      </c>
      <c r="D1058" s="13" t="str">
        <f>HYPERLINK("https://www.marklines.com/en/global/3045","BMW Manufacturing Co., Spartanburg Plant")</f>
        <v>BMW Manufacturing Co., Spartanburg Plant</v>
      </c>
      <c r="E1058" s="12" t="s">
        <v>626</v>
      </c>
      <c r="F1058" s="12" t="s">
        <v>15</v>
      </c>
      <c r="G1058" s="12" t="s">
        <v>11</v>
      </c>
      <c r="H1058" s="12" t="s">
        <v>627</v>
      </c>
      <c r="I1058" s="14">
        <v>45309</v>
      </c>
      <c r="J1058" s="12" t="s">
        <v>628</v>
      </c>
    </row>
    <row r="1059" spans="1:10" s="15" customFormat="1" x14ac:dyDescent="0.15">
      <c r="A1059" s="11">
        <v>45311</v>
      </c>
      <c r="B1059" s="12" t="s">
        <v>350</v>
      </c>
      <c r="C1059" s="12" t="s">
        <v>629</v>
      </c>
      <c r="D1059" s="13" t="str">
        <f>HYPERLINK("https://www.marklines.com/en/global/2523","General Motors, Spring Hill Manufacturing (formerly Spring Hill Assembly)")</f>
        <v>General Motors, Spring Hill Manufacturing (formerly Spring Hill Assembly)</v>
      </c>
      <c r="E1059" s="12" t="s">
        <v>630</v>
      </c>
      <c r="F1059" s="12" t="s">
        <v>15</v>
      </c>
      <c r="G1059" s="12" t="s">
        <v>11</v>
      </c>
      <c r="H1059" s="12" t="s">
        <v>348</v>
      </c>
      <c r="I1059" s="14">
        <v>45309</v>
      </c>
      <c r="J1059" s="12" t="s">
        <v>631</v>
      </c>
    </row>
    <row r="1060" spans="1:10" s="15" customFormat="1" x14ac:dyDescent="0.15">
      <c r="A1060" s="11">
        <v>45311</v>
      </c>
      <c r="B1060" s="12" t="s">
        <v>14</v>
      </c>
      <c r="C1060" s="12" t="s">
        <v>14</v>
      </c>
      <c r="D1060" s="13" t="str">
        <f>HYPERLINK("https://www.marklines.com/en/global/867","General Motors Mexico, Ramos Arizpe Plant")</f>
        <v>General Motors Mexico, Ramos Arizpe Plant</v>
      </c>
      <c r="E1060" s="12" t="s">
        <v>632</v>
      </c>
      <c r="F1060" s="12" t="s">
        <v>15</v>
      </c>
      <c r="G1060" s="12" t="s">
        <v>218</v>
      </c>
      <c r="H1060" s="12"/>
      <c r="I1060" s="14">
        <v>45307</v>
      </c>
      <c r="J1060" s="12" t="s">
        <v>633</v>
      </c>
    </row>
    <row r="1061" spans="1:10" s="15" customFormat="1" x14ac:dyDescent="0.15">
      <c r="A1061" s="11">
        <v>45310</v>
      </c>
      <c r="B1061" s="12" t="s">
        <v>34</v>
      </c>
      <c r="C1061" s="12" t="s">
        <v>34</v>
      </c>
      <c r="D1061" s="13" t="str">
        <f>HYPERLINK("https://www.marklines.com/en/global/1161","former General Motors India, Talegaon Plant")</f>
        <v>former General Motors India, Talegaon Plant</v>
      </c>
      <c r="E1061" s="12" t="s">
        <v>293</v>
      </c>
      <c r="F1061" s="12" t="s">
        <v>22</v>
      </c>
      <c r="G1061" s="12" t="s">
        <v>23</v>
      </c>
      <c r="H1061" s="12" t="s">
        <v>294</v>
      </c>
      <c r="I1061" s="14">
        <v>45310</v>
      </c>
      <c r="J1061" s="12" t="s">
        <v>295</v>
      </c>
    </row>
    <row r="1062" spans="1:10" s="15" customFormat="1" x14ac:dyDescent="0.15">
      <c r="A1062" s="11">
        <v>45310</v>
      </c>
      <c r="B1062" s="12" t="s">
        <v>36</v>
      </c>
      <c r="C1062" s="12" t="s">
        <v>36</v>
      </c>
      <c r="D1062" s="13" t="str">
        <f>HYPERLINK("https://www.marklines.com/en/global/1343","Stellantis, Fiat Powertrain Technologies, Termoli Plant / Automotive Cell Company (ACC), Termoli Plant")</f>
        <v>Stellantis, Fiat Powertrain Technologies, Termoli Plant / Automotive Cell Company (ACC), Termoli Plant</v>
      </c>
      <c r="E1062" s="12" t="s">
        <v>296</v>
      </c>
      <c r="F1062" s="12" t="s">
        <v>16</v>
      </c>
      <c r="G1062" s="12" t="s">
        <v>37</v>
      </c>
      <c r="H1062" s="12"/>
      <c r="I1062" s="14">
        <v>45309</v>
      </c>
      <c r="J1062" s="12" t="s">
        <v>297</v>
      </c>
    </row>
    <row r="1063" spans="1:10" s="15" customFormat="1" x14ac:dyDescent="0.15">
      <c r="A1063" s="11">
        <v>45310</v>
      </c>
      <c r="B1063" s="12" t="s">
        <v>298</v>
      </c>
      <c r="C1063" s="12" t="s">
        <v>299</v>
      </c>
      <c r="D1063" s="13" t="str">
        <f>HYPERLINK("https://www.marklines.com/en/global/2033","Mitsubishi Motors (Thailand) Co., Ltd. (MMTh), Laemchabang Plant")</f>
        <v>Mitsubishi Motors (Thailand) Co., Ltd. (MMTh), Laemchabang Plant</v>
      </c>
      <c r="E1063" s="12" t="s">
        <v>300</v>
      </c>
      <c r="F1063" s="12" t="s">
        <v>29</v>
      </c>
      <c r="G1063" s="12" t="s">
        <v>301</v>
      </c>
      <c r="H1063" s="12" t="s">
        <v>302</v>
      </c>
      <c r="I1063" s="14">
        <v>45309</v>
      </c>
      <c r="J1063" s="12" t="s">
        <v>303</v>
      </c>
    </row>
    <row r="1064" spans="1:10" s="15" customFormat="1" x14ac:dyDescent="0.15">
      <c r="A1064" s="11">
        <v>45310</v>
      </c>
      <c r="B1064" s="12" t="s">
        <v>21</v>
      </c>
      <c r="C1064" s="12" t="s">
        <v>21</v>
      </c>
      <c r="D1064" s="13" t="str">
        <f>HYPERLINK("https://www.marklines.com/en/global/8682","Ford Otomotiv Sanayi A.Ş. (Ford Otosan), Yeniköy Plant (Kocaeli Plant) ")</f>
        <v xml:space="preserve">Ford Otomotiv Sanayi A.Ş. (Ford Otosan), Yeniköy Plant (Kocaeli Plant) </v>
      </c>
      <c r="E1064" s="12" t="s">
        <v>304</v>
      </c>
      <c r="F1064" s="12" t="s">
        <v>181</v>
      </c>
      <c r="G1064" s="12" t="s">
        <v>182</v>
      </c>
      <c r="H1064" s="12"/>
      <c r="I1064" s="14">
        <v>45309</v>
      </c>
      <c r="J1064" s="12" t="s">
        <v>305</v>
      </c>
    </row>
    <row r="1065" spans="1:10" s="15" customFormat="1" x14ac:dyDescent="0.15">
      <c r="A1065" s="11">
        <v>45310</v>
      </c>
      <c r="B1065" s="12" t="s">
        <v>21</v>
      </c>
      <c r="C1065" s="12" t="s">
        <v>21</v>
      </c>
      <c r="D1065" s="13" t="str">
        <f>HYPERLINK("https://www.marklines.com/en/global/1418","Ford Otomotiv Sanayi A.S., Ford Motor Turkey")</f>
        <v>Ford Otomotiv Sanayi A.S., Ford Motor Turkey</v>
      </c>
      <c r="E1065" s="12" t="s">
        <v>306</v>
      </c>
      <c r="F1065" s="12" t="s">
        <v>181</v>
      </c>
      <c r="G1065" s="12" t="s">
        <v>182</v>
      </c>
      <c r="H1065" s="12"/>
      <c r="I1065" s="14">
        <v>45309</v>
      </c>
      <c r="J1065" s="12" t="s">
        <v>305</v>
      </c>
    </row>
    <row r="1066" spans="1:10" s="15" customFormat="1" x14ac:dyDescent="0.15">
      <c r="A1066" s="11">
        <v>45310</v>
      </c>
      <c r="B1066" s="12" t="s">
        <v>21</v>
      </c>
      <c r="C1066" s="12" t="s">
        <v>21</v>
      </c>
      <c r="D1066" s="13" t="str">
        <f>HYPERLINK("https://www.marklines.com/en/global/1420","Ford Otomotiv Sanayi A.Ş. (Ford Otosan), Eskisehir (Inonu) Plant  ")</f>
        <v xml:space="preserve">Ford Otomotiv Sanayi A.Ş. (Ford Otosan), Eskisehir (Inonu) Plant  </v>
      </c>
      <c r="E1066" s="12" t="s">
        <v>307</v>
      </c>
      <c r="F1066" s="12" t="s">
        <v>181</v>
      </c>
      <c r="G1066" s="12" t="s">
        <v>182</v>
      </c>
      <c r="H1066" s="12"/>
      <c r="I1066" s="14">
        <v>45309</v>
      </c>
      <c r="J1066" s="12" t="s">
        <v>305</v>
      </c>
    </row>
    <row r="1067" spans="1:10" s="15" customFormat="1" x14ac:dyDescent="0.15">
      <c r="A1067" s="11">
        <v>45310</v>
      </c>
      <c r="B1067" s="12" t="s">
        <v>21</v>
      </c>
      <c r="C1067" s="12" t="s">
        <v>21</v>
      </c>
      <c r="D1067" s="13" t="str">
        <f>HYPERLINK("https://www.marklines.com/en/global/1419","Ford Otomotiv Sanayi A.Ş. (Ford Otosan), Gölcük Plant (Kocaeli Plant)")</f>
        <v>Ford Otomotiv Sanayi A.Ş. (Ford Otosan), Gölcük Plant (Kocaeli Plant)</v>
      </c>
      <c r="E1067" s="12" t="s">
        <v>308</v>
      </c>
      <c r="F1067" s="12" t="s">
        <v>181</v>
      </c>
      <c r="G1067" s="12" t="s">
        <v>182</v>
      </c>
      <c r="H1067" s="12"/>
      <c r="I1067" s="14">
        <v>45309</v>
      </c>
      <c r="J1067" s="12" t="s">
        <v>305</v>
      </c>
    </row>
    <row r="1068" spans="1:10" s="15" customFormat="1" x14ac:dyDescent="0.15">
      <c r="A1068" s="11">
        <v>45310</v>
      </c>
      <c r="B1068" s="12" t="s">
        <v>36</v>
      </c>
      <c r="C1068" s="12" t="s">
        <v>36</v>
      </c>
      <c r="D1068" s="13" t="str">
        <f>HYPERLINK("https://www.marklines.com/en/global/10274","Automotive Cell Company (ACC)")</f>
        <v>Automotive Cell Company (ACC)</v>
      </c>
      <c r="E1068" s="12" t="s">
        <v>309</v>
      </c>
      <c r="F1068" s="12" t="s">
        <v>16</v>
      </c>
      <c r="G1068" s="12" t="s">
        <v>285</v>
      </c>
      <c r="H1068" s="12"/>
      <c r="I1068" s="14">
        <v>45308</v>
      </c>
      <c r="J1068" s="12" t="s">
        <v>310</v>
      </c>
    </row>
    <row r="1069" spans="1:10" s="15" customFormat="1" x14ac:dyDescent="0.15">
      <c r="A1069" s="11">
        <v>45310</v>
      </c>
      <c r="B1069" s="12" t="s">
        <v>36</v>
      </c>
      <c r="C1069" s="12" t="s">
        <v>36</v>
      </c>
      <c r="D1069" s="13" t="str">
        <f>HYPERLINK("https://www.marklines.com/en/global/10614","Automotive Cell Company (ACC), Douvrin/Billy-Berclau Plant")</f>
        <v>Automotive Cell Company (ACC), Douvrin/Billy-Berclau Plant</v>
      </c>
      <c r="E1069" s="12" t="s">
        <v>311</v>
      </c>
      <c r="F1069" s="12" t="s">
        <v>16</v>
      </c>
      <c r="G1069" s="12" t="s">
        <v>285</v>
      </c>
      <c r="H1069" s="12"/>
      <c r="I1069" s="14">
        <v>45308</v>
      </c>
      <c r="J1069" s="12" t="s">
        <v>310</v>
      </c>
    </row>
    <row r="1070" spans="1:10" s="15" customFormat="1" x14ac:dyDescent="0.15">
      <c r="A1070" s="11">
        <v>45310</v>
      </c>
      <c r="B1070" s="12" t="s">
        <v>65</v>
      </c>
      <c r="C1070" s="12" t="s">
        <v>312</v>
      </c>
      <c r="D1070" s="13" t="str">
        <f>HYPERLINK("https://www.marklines.com/en/global/2727","Volvo Car Corporation (Volvo Personvagnar AB)")</f>
        <v>Volvo Car Corporation (Volvo Personvagnar AB)</v>
      </c>
      <c r="E1070" s="12" t="s">
        <v>313</v>
      </c>
      <c r="F1070" s="12" t="s">
        <v>16</v>
      </c>
      <c r="G1070" s="12" t="s">
        <v>314</v>
      </c>
      <c r="H1070" s="12"/>
      <c r="I1070" s="14">
        <v>45308</v>
      </c>
      <c r="J1070" s="12" t="s">
        <v>315</v>
      </c>
    </row>
    <row r="1071" spans="1:10" s="15" customFormat="1" x14ac:dyDescent="0.15">
      <c r="A1071" s="11">
        <v>45310</v>
      </c>
      <c r="B1071" s="12" t="s">
        <v>65</v>
      </c>
      <c r="C1071" s="12" t="s">
        <v>316</v>
      </c>
      <c r="D1071" s="13" t="str">
        <f>HYPERLINK("https://www.marklines.com/en/global/10761","Polestar Holding AB")</f>
        <v>Polestar Holding AB</v>
      </c>
      <c r="E1071" s="12" t="s">
        <v>317</v>
      </c>
      <c r="F1071" s="12" t="s">
        <v>16</v>
      </c>
      <c r="G1071" s="12" t="s">
        <v>314</v>
      </c>
      <c r="H1071" s="12"/>
      <c r="I1071" s="14">
        <v>45308</v>
      </c>
      <c r="J1071" s="12" t="s">
        <v>315</v>
      </c>
    </row>
    <row r="1072" spans="1:10" s="15" customFormat="1" x14ac:dyDescent="0.15">
      <c r="A1072" s="11">
        <v>45310</v>
      </c>
      <c r="B1072" s="12" t="s">
        <v>36</v>
      </c>
      <c r="C1072" s="12" t="s">
        <v>38</v>
      </c>
      <c r="D1072" s="13" t="str">
        <f>HYPERLINK("https://www.marklines.com/en/global/1687","Stellantis, Opel Manufacturing Poland Sp. z.o.o., Gliwice Plant (Stellantis Gliwice) (Former General Motors Mfg. Poland Sp. zo.o., Gliwice Plant)")</f>
        <v>Stellantis, Opel Manufacturing Poland Sp. z.o.o., Gliwice Plant (Stellantis Gliwice) (Former General Motors Mfg. Poland Sp. zo.o., Gliwice Plant)</v>
      </c>
      <c r="E1072" s="12" t="s">
        <v>318</v>
      </c>
      <c r="F1072" s="12" t="s">
        <v>17</v>
      </c>
      <c r="G1072" s="12" t="s">
        <v>26</v>
      </c>
      <c r="H1072" s="12"/>
      <c r="I1072" s="14">
        <v>45308</v>
      </c>
      <c r="J1072" s="12" t="s">
        <v>319</v>
      </c>
    </row>
    <row r="1073" spans="1:10" s="15" customFormat="1" x14ac:dyDescent="0.15">
      <c r="A1073" s="11">
        <v>45310</v>
      </c>
      <c r="B1073" s="12" t="s">
        <v>34</v>
      </c>
      <c r="C1073" s="12" t="s">
        <v>34</v>
      </c>
      <c r="D1073" s="13" t="str">
        <f>HYPERLINK("https://www.marklines.com/en/global/3431","Beijing Hyundai Motor Co., Ltd.")</f>
        <v>Beijing Hyundai Motor Co., Ltd.</v>
      </c>
      <c r="E1073" s="12" t="s">
        <v>320</v>
      </c>
      <c r="F1073" s="12" t="s">
        <v>18</v>
      </c>
      <c r="G1073" s="12" t="s">
        <v>24</v>
      </c>
      <c r="H1073" s="12" t="s">
        <v>71</v>
      </c>
      <c r="I1073" s="14">
        <v>45308</v>
      </c>
      <c r="J1073" s="12" t="s">
        <v>321</v>
      </c>
    </row>
    <row r="1074" spans="1:10" s="15" customFormat="1" x14ac:dyDescent="0.15">
      <c r="A1074" s="11">
        <v>45310</v>
      </c>
      <c r="B1074" s="12" t="s">
        <v>34</v>
      </c>
      <c r="C1074" s="12" t="s">
        <v>34</v>
      </c>
      <c r="D1074" s="13" t="str">
        <f>HYPERLINK("https://www.marklines.com/en/global/10720","Hyundai Motor Group (China) Ltd.")</f>
        <v>Hyundai Motor Group (China) Ltd.</v>
      </c>
      <c r="E1074" s="12" t="s">
        <v>322</v>
      </c>
      <c r="F1074" s="12" t="s">
        <v>18</v>
      </c>
      <c r="G1074" s="12" t="s">
        <v>24</v>
      </c>
      <c r="H1074" s="12" t="s">
        <v>71</v>
      </c>
      <c r="I1074" s="14">
        <v>45308</v>
      </c>
      <c r="J1074" s="12" t="s">
        <v>321</v>
      </c>
    </row>
    <row r="1075" spans="1:10" s="15" customFormat="1" x14ac:dyDescent="0.15">
      <c r="A1075" s="11">
        <v>45310</v>
      </c>
      <c r="B1075" s="12" t="s">
        <v>34</v>
      </c>
      <c r="C1075" s="12" t="s">
        <v>34</v>
      </c>
      <c r="D1075" s="13" t="str">
        <f>HYPERLINK("https://www.marklines.com/en/global/9219","Beijing Hyundai Motor Co., Ltd., Chongqing Branch")</f>
        <v>Beijing Hyundai Motor Co., Ltd., Chongqing Branch</v>
      </c>
      <c r="E1075" s="12" t="s">
        <v>323</v>
      </c>
      <c r="F1075" s="12" t="s">
        <v>18</v>
      </c>
      <c r="G1075" s="12" t="s">
        <v>24</v>
      </c>
      <c r="H1075" s="12" t="s">
        <v>25</v>
      </c>
      <c r="I1075" s="14">
        <v>45308</v>
      </c>
      <c r="J1075" s="12" t="s">
        <v>321</v>
      </c>
    </row>
    <row r="1076" spans="1:10" s="15" customFormat="1" x14ac:dyDescent="0.15">
      <c r="A1076" s="11">
        <v>45310</v>
      </c>
      <c r="B1076" s="12" t="s">
        <v>12</v>
      </c>
      <c r="C1076" s="12" t="s">
        <v>324</v>
      </c>
      <c r="D1076" s="13" t="str">
        <f>HYPERLINK("https://www.marklines.com/en/global/10446","Liuzhou Wuling New Energy Automobile Co., Ltd. (formerly Guangxi Automobile Group Co., Ltd. New Energy Automotive Base)")</f>
        <v>Liuzhou Wuling New Energy Automobile Co., Ltd. (formerly Guangxi Automobile Group Co., Ltd. New Energy Automotive Base)</v>
      </c>
      <c r="E1076" s="12" t="s">
        <v>325</v>
      </c>
      <c r="F1076" s="12" t="s">
        <v>18</v>
      </c>
      <c r="G1076" s="12" t="s">
        <v>24</v>
      </c>
      <c r="H1076" s="12" t="s">
        <v>326</v>
      </c>
      <c r="I1076" s="14">
        <v>45307</v>
      </c>
      <c r="J1076" s="12" t="s">
        <v>327</v>
      </c>
    </row>
    <row r="1077" spans="1:10" s="15" customFormat="1" x14ac:dyDescent="0.15">
      <c r="A1077" s="11">
        <v>45310</v>
      </c>
      <c r="B1077" s="12" t="s">
        <v>65</v>
      </c>
      <c r="C1077" s="12" t="s">
        <v>328</v>
      </c>
      <c r="D1077" s="13" t="str">
        <f>HYPERLINK("https://www.marklines.com/en/global/9345","Geely Sichuan Commercial Vehicle Co., Ltd.")</f>
        <v>Geely Sichuan Commercial Vehicle Co., Ltd.</v>
      </c>
      <c r="E1077" s="12" t="s">
        <v>329</v>
      </c>
      <c r="F1077" s="12" t="s">
        <v>18</v>
      </c>
      <c r="G1077" s="12" t="s">
        <v>24</v>
      </c>
      <c r="H1077" s="12" t="s">
        <v>330</v>
      </c>
      <c r="I1077" s="14">
        <v>45307</v>
      </c>
      <c r="J1077" s="12" t="s">
        <v>331</v>
      </c>
    </row>
    <row r="1078" spans="1:10" s="15" customFormat="1" x14ac:dyDescent="0.15">
      <c r="A1078" s="11">
        <v>45310</v>
      </c>
      <c r="B1078" s="12" t="s">
        <v>48</v>
      </c>
      <c r="C1078" s="12" t="s">
        <v>48</v>
      </c>
      <c r="D1078" s="13" t="str">
        <f>HYPERLINK("https://www.marklines.com/en/global/9578","Seres Group Co., Ltd. (formerly Chongqing Sokon Industrial Group Co., Ltd.)")</f>
        <v>Seres Group Co., Ltd. (formerly Chongqing Sokon Industrial Group Co., Ltd.)</v>
      </c>
      <c r="E1078" s="12" t="s">
        <v>332</v>
      </c>
      <c r="F1078" s="12" t="s">
        <v>18</v>
      </c>
      <c r="G1078" s="12" t="s">
        <v>24</v>
      </c>
      <c r="H1078" s="12" t="s">
        <v>25</v>
      </c>
      <c r="I1078" s="14">
        <v>45307</v>
      </c>
      <c r="J1078" s="12" t="s">
        <v>333</v>
      </c>
    </row>
    <row r="1079" spans="1:10" s="15" customFormat="1" x14ac:dyDescent="0.15">
      <c r="A1079" s="11">
        <v>45310</v>
      </c>
      <c r="B1079" s="12" t="s">
        <v>57</v>
      </c>
      <c r="C1079" s="12" t="s">
        <v>57</v>
      </c>
      <c r="D1079" s="13" t="str">
        <f>HYPERLINK("https://www.marklines.com/en/global/9500","BYD Co., Ltd.")</f>
        <v>BYD Co., Ltd.</v>
      </c>
      <c r="E1079" s="12" t="s">
        <v>120</v>
      </c>
      <c r="F1079" s="12" t="s">
        <v>18</v>
      </c>
      <c r="G1079" s="12" t="s">
        <v>24</v>
      </c>
      <c r="H1079" s="12" t="s">
        <v>63</v>
      </c>
      <c r="I1079" s="14">
        <v>45307</v>
      </c>
      <c r="J1079" s="12" t="s">
        <v>334</v>
      </c>
    </row>
    <row r="1080" spans="1:10" s="15" customFormat="1" x14ac:dyDescent="0.15">
      <c r="A1080" s="11">
        <v>45310</v>
      </c>
      <c r="B1080" s="12" t="s">
        <v>12</v>
      </c>
      <c r="C1080" s="12" t="s">
        <v>335</v>
      </c>
      <c r="D1080" s="13" t="str">
        <f>HYPERLINK("https://www.marklines.com/en/global/799","OAO UAZ (Ulyanovsky Avtomobilny Zavod), Ulyanovsk Plant")</f>
        <v>OAO UAZ (Ulyanovsky Avtomobilny Zavod), Ulyanovsk Plant</v>
      </c>
      <c r="E1080" s="12" t="s">
        <v>336</v>
      </c>
      <c r="F1080" s="12" t="s">
        <v>17</v>
      </c>
      <c r="G1080" s="12" t="s">
        <v>13</v>
      </c>
      <c r="H1080" s="12"/>
      <c r="I1080" s="14">
        <v>45306</v>
      </c>
      <c r="J1080" s="12" t="s">
        <v>337</v>
      </c>
    </row>
    <row r="1081" spans="1:10" s="15" customFormat="1" x14ac:dyDescent="0.15">
      <c r="A1081" s="11">
        <v>45310</v>
      </c>
      <c r="B1081" s="12" t="s">
        <v>12</v>
      </c>
      <c r="C1081" s="12" t="s">
        <v>335</v>
      </c>
      <c r="D1081" s="13" t="str">
        <f>HYPERLINK("https://www.marklines.com/en/global/687","Sollers-Yelabuga OOO, Yelabuga Plant")</f>
        <v>Sollers-Yelabuga OOO, Yelabuga Plant</v>
      </c>
      <c r="E1081" s="12" t="s">
        <v>338</v>
      </c>
      <c r="F1081" s="12" t="s">
        <v>17</v>
      </c>
      <c r="G1081" s="12" t="s">
        <v>13</v>
      </c>
      <c r="H1081" s="12"/>
      <c r="I1081" s="14">
        <v>45306</v>
      </c>
      <c r="J1081" s="12" t="s">
        <v>337</v>
      </c>
    </row>
    <row r="1082" spans="1:10" s="15" customFormat="1" x14ac:dyDescent="0.15">
      <c r="A1082" s="11">
        <v>45310</v>
      </c>
      <c r="B1082" s="12" t="s">
        <v>34</v>
      </c>
      <c r="C1082" s="12" t="s">
        <v>34</v>
      </c>
      <c r="D1082" s="13" t="str">
        <f>HYPERLINK("https://www.marklines.com/en/global/9892","Global Motor Industries")</f>
        <v>Global Motor Industries</v>
      </c>
      <c r="E1082" s="12" t="s">
        <v>339</v>
      </c>
      <c r="F1082" s="12"/>
      <c r="G1082" s="12" t="s">
        <v>340</v>
      </c>
      <c r="H1082" s="12"/>
      <c r="I1082" s="14">
        <v>45305</v>
      </c>
      <c r="J1082" s="12" t="s">
        <v>341</v>
      </c>
    </row>
    <row r="1083" spans="1:10" s="15" customFormat="1" x14ac:dyDescent="0.15">
      <c r="A1083" s="11">
        <v>45310</v>
      </c>
      <c r="B1083" s="12" t="s">
        <v>19</v>
      </c>
      <c r="C1083" s="12" t="s">
        <v>19</v>
      </c>
      <c r="D1083" s="13" t="str">
        <f>HYPERLINK("https://www.marklines.com/en/global/359","PT. Toyota Motor Manufacturing Indonesia (TMMIN)")</f>
        <v>PT. Toyota Motor Manufacturing Indonesia (TMMIN)</v>
      </c>
      <c r="E1083" s="12" t="s">
        <v>342</v>
      </c>
      <c r="F1083" s="12" t="s">
        <v>29</v>
      </c>
      <c r="G1083" s="12" t="s">
        <v>343</v>
      </c>
      <c r="H1083" s="12"/>
      <c r="I1083" s="14">
        <v>45302</v>
      </c>
      <c r="J1083" s="12" t="s">
        <v>344</v>
      </c>
    </row>
    <row r="1084" spans="1:10" s="15" customFormat="1" x14ac:dyDescent="0.15">
      <c r="A1084" s="11">
        <v>45310</v>
      </c>
      <c r="B1084" s="12" t="s">
        <v>19</v>
      </c>
      <c r="C1084" s="12" t="s">
        <v>19</v>
      </c>
      <c r="D1084" s="13" t="str">
        <f>HYPERLINK("https://www.marklines.com/en/global/363","PT. Toyota Motor Manufacturing Indonesia (TMMIN), Karawang Plant")</f>
        <v>PT. Toyota Motor Manufacturing Indonesia (TMMIN), Karawang Plant</v>
      </c>
      <c r="E1084" s="12" t="s">
        <v>345</v>
      </c>
      <c r="F1084" s="12" t="s">
        <v>29</v>
      </c>
      <c r="G1084" s="12" t="s">
        <v>343</v>
      </c>
      <c r="H1084" s="12"/>
      <c r="I1084" s="14">
        <v>45302</v>
      </c>
      <c r="J1084" s="12" t="s">
        <v>344</v>
      </c>
    </row>
    <row r="1085" spans="1:10" s="15" customFormat="1" x14ac:dyDescent="0.15">
      <c r="A1085" s="11">
        <v>45310</v>
      </c>
      <c r="B1085" s="12" t="s">
        <v>346</v>
      </c>
      <c r="C1085" s="12" t="s">
        <v>346</v>
      </c>
      <c r="D1085" s="13" t="str">
        <f>HYPERLINK("https://www.marklines.com/en/global/3189","Nissan North America, Smyrna Plant")</f>
        <v>Nissan North America, Smyrna Plant</v>
      </c>
      <c r="E1085" s="12" t="s">
        <v>347</v>
      </c>
      <c r="F1085" s="12" t="s">
        <v>15</v>
      </c>
      <c r="G1085" s="12" t="s">
        <v>11</v>
      </c>
      <c r="H1085" s="12" t="s">
        <v>348</v>
      </c>
      <c r="I1085" s="14">
        <v>45302</v>
      </c>
      <c r="J1085" s="12" t="s">
        <v>349</v>
      </c>
    </row>
    <row r="1086" spans="1:10" s="15" customFormat="1" x14ac:dyDescent="0.15">
      <c r="A1086" s="11">
        <v>45310</v>
      </c>
      <c r="B1086" s="12" t="s">
        <v>350</v>
      </c>
      <c r="C1086" s="12" t="s">
        <v>350</v>
      </c>
      <c r="D1086" s="13" t="str">
        <f>HYPERLINK("https://www.marklines.com/en/global/2541","General Motors Canada, Ingersoll Plant")</f>
        <v>General Motors Canada, Ingersoll Plant</v>
      </c>
      <c r="E1086" s="12" t="s">
        <v>351</v>
      </c>
      <c r="F1086" s="12" t="s">
        <v>15</v>
      </c>
      <c r="G1086" s="12" t="s">
        <v>260</v>
      </c>
      <c r="H1086" s="12"/>
      <c r="I1086" s="14">
        <v>45302</v>
      </c>
      <c r="J1086" s="12" t="s">
        <v>352</v>
      </c>
    </row>
    <row r="1087" spans="1:10" s="15" customFormat="1" x14ac:dyDescent="0.15">
      <c r="A1087" s="11">
        <v>45309</v>
      </c>
      <c r="B1087" s="12" t="s">
        <v>28</v>
      </c>
      <c r="C1087" s="12" t="s">
        <v>353</v>
      </c>
      <c r="D1087" s="13" t="str">
        <f>HYPERLINK("https://www.marklines.com/en/global/10750","Northvolt Drei, Heide Plant (tentative name）")</f>
        <v>Northvolt Drei, Heide Plant (tentative name）</v>
      </c>
      <c r="E1087" s="12" t="s">
        <v>354</v>
      </c>
      <c r="F1087" s="12" t="s">
        <v>16</v>
      </c>
      <c r="G1087" s="12" t="s">
        <v>208</v>
      </c>
      <c r="H1087" s="12"/>
      <c r="I1087" s="14">
        <v>45308</v>
      </c>
      <c r="J1087" s="12" t="s">
        <v>355</v>
      </c>
    </row>
    <row r="1088" spans="1:10" s="15" customFormat="1" x14ac:dyDescent="0.15">
      <c r="A1088" s="11">
        <v>45309</v>
      </c>
      <c r="B1088" s="12" t="s">
        <v>36</v>
      </c>
      <c r="C1088" s="12" t="s">
        <v>36</v>
      </c>
      <c r="D1088" s="13" t="str">
        <f>HYPERLINK("https://www.marklines.com/en/global/1343","Stellantis, Fiat Powertrain Technologies, Termoli Plant / Automotive Cell Company (ACC), Termoli Plant")</f>
        <v>Stellantis, Fiat Powertrain Technologies, Termoli Plant / Automotive Cell Company (ACC), Termoli Plant</v>
      </c>
      <c r="E1088" s="12" t="s">
        <v>296</v>
      </c>
      <c r="F1088" s="12" t="s">
        <v>16</v>
      </c>
      <c r="G1088" s="12" t="s">
        <v>37</v>
      </c>
      <c r="H1088" s="12"/>
      <c r="I1088" s="14">
        <v>45308</v>
      </c>
      <c r="J1088" s="12" t="s">
        <v>356</v>
      </c>
    </row>
    <row r="1089" spans="1:10" s="15" customFormat="1" x14ac:dyDescent="0.15">
      <c r="A1089" s="11">
        <v>45309</v>
      </c>
      <c r="B1089" s="12" t="s">
        <v>21</v>
      </c>
      <c r="C1089" s="12" t="s">
        <v>21</v>
      </c>
      <c r="D1089" s="13" t="str">
        <f>HYPERLINK("https://www.marklines.com/en/global/2145","Ford Motor Germany, Saarlouis Plant")</f>
        <v>Ford Motor Germany, Saarlouis Plant</v>
      </c>
      <c r="E1089" s="12" t="s">
        <v>357</v>
      </c>
      <c r="F1089" s="12" t="s">
        <v>16</v>
      </c>
      <c r="G1089" s="12" t="s">
        <v>208</v>
      </c>
      <c r="H1089" s="12"/>
      <c r="I1089" s="14">
        <v>45308</v>
      </c>
      <c r="J1089" s="12" t="s">
        <v>358</v>
      </c>
    </row>
    <row r="1090" spans="1:10" s="15" customFormat="1" x14ac:dyDescent="0.15">
      <c r="A1090" s="11">
        <v>45309</v>
      </c>
      <c r="B1090" s="12" t="s">
        <v>34</v>
      </c>
      <c r="C1090" s="12" t="s">
        <v>359</v>
      </c>
      <c r="D1090" s="13" t="str">
        <f>HYPERLINK("https://www.marklines.com/en/global/3145","Kia Georgia, Inc. (KMMG), West Point Plant")</f>
        <v>Kia Georgia, Inc. (KMMG), West Point Plant</v>
      </c>
      <c r="E1090" s="12" t="s">
        <v>360</v>
      </c>
      <c r="F1090" s="12" t="s">
        <v>15</v>
      </c>
      <c r="G1090" s="12" t="s">
        <v>11</v>
      </c>
      <c r="H1090" s="12" t="s">
        <v>361</v>
      </c>
      <c r="I1090" s="14">
        <v>45308</v>
      </c>
      <c r="J1090" s="12" t="s">
        <v>362</v>
      </c>
    </row>
    <row r="1091" spans="1:10" s="15" customFormat="1" x14ac:dyDescent="0.15">
      <c r="A1091" s="11">
        <v>45309</v>
      </c>
      <c r="B1091" s="12" t="s">
        <v>28</v>
      </c>
      <c r="C1091" s="12" t="s">
        <v>44</v>
      </c>
      <c r="D1091" s="13" t="str">
        <f>HYPERLINK("https://www.marklines.com/en/global/1741","Škoda Auto, Kvasiny Plant")</f>
        <v>Škoda Auto, Kvasiny Plant</v>
      </c>
      <c r="E1091" s="12" t="s">
        <v>363</v>
      </c>
      <c r="F1091" s="12" t="s">
        <v>17</v>
      </c>
      <c r="G1091" s="12" t="s">
        <v>364</v>
      </c>
      <c r="H1091" s="12"/>
      <c r="I1091" s="14">
        <v>45308</v>
      </c>
      <c r="J1091" s="12" t="s">
        <v>365</v>
      </c>
    </row>
    <row r="1092" spans="1:10" s="15" customFormat="1" x14ac:dyDescent="0.15">
      <c r="A1092" s="11">
        <v>45309</v>
      </c>
      <c r="B1092" s="12" t="s">
        <v>28</v>
      </c>
      <c r="C1092" s="12" t="s">
        <v>44</v>
      </c>
      <c r="D1092" s="13" t="str">
        <f>HYPERLINK("https://www.marklines.com/en/global/1771","Volkswagen Slovakia, Bratislava Plant")</f>
        <v>Volkswagen Slovakia, Bratislava Plant</v>
      </c>
      <c r="E1092" s="12" t="s">
        <v>366</v>
      </c>
      <c r="F1092" s="12" t="s">
        <v>17</v>
      </c>
      <c r="G1092" s="12" t="s">
        <v>367</v>
      </c>
      <c r="H1092" s="12"/>
      <c r="I1092" s="14">
        <v>45308</v>
      </c>
      <c r="J1092" s="12" t="s">
        <v>365</v>
      </c>
    </row>
    <row r="1093" spans="1:10" s="15" customFormat="1" x14ac:dyDescent="0.15">
      <c r="A1093" s="11">
        <v>45309</v>
      </c>
      <c r="B1093" s="12" t="s">
        <v>58</v>
      </c>
      <c r="C1093" s="12" t="s">
        <v>58</v>
      </c>
      <c r="D1093" s="13" t="str">
        <f>HYPERLINK("https://www.marklines.com/en/global/3415","Beijing Automotive Group Co., Ltd.")</f>
        <v>Beijing Automotive Group Co., Ltd.</v>
      </c>
      <c r="E1093" s="12" t="s">
        <v>368</v>
      </c>
      <c r="F1093" s="12" t="s">
        <v>18</v>
      </c>
      <c r="G1093" s="12" t="s">
        <v>24</v>
      </c>
      <c r="H1093" s="12" t="s">
        <v>71</v>
      </c>
      <c r="I1093" s="14">
        <v>45306</v>
      </c>
      <c r="J1093" s="12" t="s">
        <v>369</v>
      </c>
    </row>
    <row r="1094" spans="1:10" s="15" customFormat="1" x14ac:dyDescent="0.15">
      <c r="A1094" s="11">
        <v>45309</v>
      </c>
      <c r="B1094" s="12" t="s">
        <v>268</v>
      </c>
      <c r="C1094" s="12" t="s">
        <v>268</v>
      </c>
      <c r="D1094" s="13" t="str">
        <f>HYPERLINK("https://www.marklines.com/en/global/3865","Anhui Jianghuai Automobile Group Corp., Ltd. (JAC)")</f>
        <v>Anhui Jianghuai Automobile Group Corp., Ltd. (JAC)</v>
      </c>
      <c r="E1094" s="12" t="s">
        <v>370</v>
      </c>
      <c r="F1094" s="12" t="s">
        <v>18</v>
      </c>
      <c r="G1094" s="12" t="s">
        <v>24</v>
      </c>
      <c r="H1094" s="12" t="s">
        <v>55</v>
      </c>
      <c r="I1094" s="14">
        <v>45306</v>
      </c>
      <c r="J1094" s="12" t="s">
        <v>369</v>
      </c>
    </row>
    <row r="1095" spans="1:10" s="15" customFormat="1" x14ac:dyDescent="0.15">
      <c r="A1095" s="11">
        <v>45309</v>
      </c>
      <c r="B1095" s="12" t="s">
        <v>371</v>
      </c>
      <c r="C1095" s="12" t="s">
        <v>372</v>
      </c>
      <c r="D1095" s="13" t="str">
        <f>HYPERLINK("https://www.marklines.com/en/global/2671","Stellantis, FCA Canada, Brampton Assembly Plant and Brampton Satellite Stamping Plant")</f>
        <v>Stellantis, FCA Canada, Brampton Assembly Plant and Brampton Satellite Stamping Plant</v>
      </c>
      <c r="E1095" s="12" t="s">
        <v>373</v>
      </c>
      <c r="F1095" s="12" t="s">
        <v>15</v>
      </c>
      <c r="G1095" s="12" t="s">
        <v>260</v>
      </c>
      <c r="H1095" s="12"/>
      <c r="I1095" s="14">
        <v>45306</v>
      </c>
      <c r="J1095" s="12" t="s">
        <v>374</v>
      </c>
    </row>
    <row r="1096" spans="1:10" s="15" customFormat="1" x14ac:dyDescent="0.15">
      <c r="A1096" s="11">
        <v>45309</v>
      </c>
      <c r="B1096" s="12" t="s">
        <v>371</v>
      </c>
      <c r="C1096" s="12" t="s">
        <v>375</v>
      </c>
      <c r="D1096" s="13" t="str">
        <f>HYPERLINK("https://www.marklines.com/en/global/2671","Stellantis, FCA Canada, Brampton Assembly Plant and Brampton Satellite Stamping Plant")</f>
        <v>Stellantis, FCA Canada, Brampton Assembly Plant and Brampton Satellite Stamping Plant</v>
      </c>
      <c r="E1096" s="12" t="s">
        <v>373</v>
      </c>
      <c r="F1096" s="12" t="s">
        <v>15</v>
      </c>
      <c r="G1096" s="12" t="s">
        <v>260</v>
      </c>
      <c r="H1096" s="12"/>
      <c r="I1096" s="14">
        <v>45306</v>
      </c>
      <c r="J1096" s="12" t="s">
        <v>374</v>
      </c>
    </row>
    <row r="1097" spans="1:10" s="15" customFormat="1" x14ac:dyDescent="0.15">
      <c r="A1097" s="11">
        <v>45309</v>
      </c>
      <c r="B1097" s="12" t="s">
        <v>371</v>
      </c>
      <c r="C1097" s="12" t="s">
        <v>376</v>
      </c>
      <c r="D1097" s="13" t="str">
        <f>HYPERLINK("https://www.marklines.com/en/global/2671","Stellantis, FCA Canada, Brampton Assembly Plant and Brampton Satellite Stamping Plant")</f>
        <v>Stellantis, FCA Canada, Brampton Assembly Plant and Brampton Satellite Stamping Plant</v>
      </c>
      <c r="E1097" s="12" t="s">
        <v>373</v>
      </c>
      <c r="F1097" s="12" t="s">
        <v>15</v>
      </c>
      <c r="G1097" s="12" t="s">
        <v>260</v>
      </c>
      <c r="H1097" s="12"/>
      <c r="I1097" s="14">
        <v>45306</v>
      </c>
      <c r="J1097" s="12" t="s">
        <v>374</v>
      </c>
    </row>
    <row r="1098" spans="1:10" s="15" customFormat="1" x14ac:dyDescent="0.15">
      <c r="A1098" s="11">
        <v>45309</v>
      </c>
      <c r="B1098" s="12" t="s">
        <v>65</v>
      </c>
      <c r="C1098" s="12" t="s">
        <v>312</v>
      </c>
      <c r="D1098" s="13" t="str">
        <f>HYPERLINK("https://www.marklines.com/en/global/3633","Volvo Cars (China) Investment Co., Ltd. (formerly Volvo Car, APAC Headquarters)")</f>
        <v>Volvo Cars (China) Investment Co., Ltd. (formerly Volvo Car, APAC Headquarters)</v>
      </c>
      <c r="E1098" s="12" t="s">
        <v>377</v>
      </c>
      <c r="F1098" s="12" t="s">
        <v>18</v>
      </c>
      <c r="G1098" s="12" t="s">
        <v>24</v>
      </c>
      <c r="H1098" s="12" t="s">
        <v>56</v>
      </c>
      <c r="I1098" s="14">
        <v>45303</v>
      </c>
      <c r="J1098" s="12" t="s">
        <v>378</v>
      </c>
    </row>
    <row r="1099" spans="1:10" s="15" customFormat="1" x14ac:dyDescent="0.15">
      <c r="A1099" s="11">
        <v>45309</v>
      </c>
      <c r="B1099" s="12" t="s">
        <v>65</v>
      </c>
      <c r="C1099" s="12" t="s">
        <v>65</v>
      </c>
      <c r="D1099" s="13" t="str">
        <f>HYPERLINK("https://www.marklines.com/en/global/10393","Sichuan Lynk &amp; Co Automobile Manufacturing Co., Ltd. (formerly Zhejiang Haoqing Automotive Manufacturing Co.,Ltd. Chengdu Branch)")</f>
        <v>Sichuan Lynk &amp; Co Automobile Manufacturing Co., Ltd. (formerly Zhejiang Haoqing Automotive Manufacturing Co.,Ltd. Chengdu Branch)</v>
      </c>
      <c r="E1099" s="12" t="s">
        <v>379</v>
      </c>
      <c r="F1099" s="12" t="s">
        <v>18</v>
      </c>
      <c r="G1099" s="12" t="s">
        <v>24</v>
      </c>
      <c r="H1099" s="12" t="s">
        <v>330</v>
      </c>
      <c r="I1099" s="14">
        <v>45302</v>
      </c>
      <c r="J1099" s="12" t="s">
        <v>380</v>
      </c>
    </row>
    <row r="1100" spans="1:10" s="15" customFormat="1" x14ac:dyDescent="0.15">
      <c r="A1100" s="11">
        <v>45308</v>
      </c>
      <c r="B1100" s="12" t="s">
        <v>39</v>
      </c>
      <c r="C1100" s="12" t="s">
        <v>40</v>
      </c>
      <c r="D1100" s="13" t="str">
        <f>HYPERLINK("https://www.marklines.com/en/global/729","LLC ""LADA Izhevsk"", LADA Izhevsk Automotive Plant (formerly OJSC Izh-Avto, Izhevsk Automobilny Zavod) ")</f>
        <v xml:space="preserve">LLC "LADA Izhevsk", LADA Izhevsk Automotive Plant (formerly OJSC Izh-Avto, Izhevsk Automobilny Zavod) </v>
      </c>
      <c r="E1100" s="12" t="s">
        <v>46</v>
      </c>
      <c r="F1100" s="12" t="s">
        <v>17</v>
      </c>
      <c r="G1100" s="12" t="s">
        <v>13</v>
      </c>
      <c r="H1100" s="12"/>
      <c r="I1100" s="14">
        <v>45307</v>
      </c>
      <c r="J1100" s="12" t="s">
        <v>381</v>
      </c>
    </row>
    <row r="1101" spans="1:10" s="15" customFormat="1" x14ac:dyDescent="0.15">
      <c r="A1101" s="11">
        <v>45308</v>
      </c>
      <c r="B1101" s="12" t="s">
        <v>39</v>
      </c>
      <c r="C1101" s="12" t="s">
        <v>40</v>
      </c>
      <c r="D1101" s="13" t="str">
        <f>HYPERLINK("https://www.marklines.com/en/global/675","AvtoVAZ, Togliatti Plant")</f>
        <v>AvtoVAZ, Togliatti Plant</v>
      </c>
      <c r="E1101" s="12" t="s">
        <v>41</v>
      </c>
      <c r="F1101" s="12" t="s">
        <v>17</v>
      </c>
      <c r="G1101" s="12" t="s">
        <v>13</v>
      </c>
      <c r="H1101" s="12"/>
      <c r="I1101" s="14">
        <v>45307</v>
      </c>
      <c r="J1101" s="12" t="s">
        <v>382</v>
      </c>
    </row>
    <row r="1102" spans="1:10" s="15" customFormat="1" x14ac:dyDescent="0.15">
      <c r="A1102" s="11">
        <v>45308</v>
      </c>
      <c r="B1102" s="12" t="s">
        <v>12</v>
      </c>
      <c r="C1102" s="12" t="s">
        <v>383</v>
      </c>
      <c r="D1102" s="13" t="str">
        <f>HYPERLINK("https://www.marklines.com/en/global/2749","Valmet Automotive Inc., Uusikaupunki Plant")</f>
        <v>Valmet Automotive Inc., Uusikaupunki Plant</v>
      </c>
      <c r="E1102" s="12" t="s">
        <v>384</v>
      </c>
      <c r="F1102" s="12" t="s">
        <v>16</v>
      </c>
      <c r="G1102" s="12" t="s">
        <v>385</v>
      </c>
      <c r="H1102" s="12"/>
      <c r="I1102" s="14">
        <v>45307</v>
      </c>
      <c r="J1102" s="12" t="s">
        <v>386</v>
      </c>
    </row>
    <row r="1103" spans="1:10" s="15" customFormat="1" x14ac:dyDescent="0.15">
      <c r="A1103" s="11">
        <v>45308</v>
      </c>
      <c r="B1103" s="12" t="s">
        <v>39</v>
      </c>
      <c r="C1103" s="12" t="s">
        <v>40</v>
      </c>
      <c r="D1103" s="13" t="str">
        <f>HYPERLINK("https://www.marklines.com/en/global/675","AvtoVAZ, Togliatti Plant")</f>
        <v>AvtoVAZ, Togliatti Plant</v>
      </c>
      <c r="E1103" s="12" t="s">
        <v>41</v>
      </c>
      <c r="F1103" s="12" t="s">
        <v>17</v>
      </c>
      <c r="G1103" s="12" t="s">
        <v>13</v>
      </c>
      <c r="H1103" s="12"/>
      <c r="I1103" s="14">
        <v>45306</v>
      </c>
      <c r="J1103" s="12" t="s">
        <v>387</v>
      </c>
    </row>
    <row r="1104" spans="1:10" s="15" customFormat="1" x14ac:dyDescent="0.15">
      <c r="A1104" s="11">
        <v>45308</v>
      </c>
      <c r="B1104" s="12" t="s">
        <v>34</v>
      </c>
      <c r="C1104" s="12" t="s">
        <v>359</v>
      </c>
      <c r="D1104" s="13" t="str">
        <f>HYPERLINK("https://www.marklines.com/en/global/9893","SPA GLOVIZ")</f>
        <v>SPA GLOVIZ</v>
      </c>
      <c r="E1104" s="12" t="s">
        <v>388</v>
      </c>
      <c r="F1104" s="12"/>
      <c r="G1104" s="12" t="s">
        <v>340</v>
      </c>
      <c r="H1104" s="12"/>
      <c r="I1104" s="14">
        <v>45305</v>
      </c>
      <c r="J1104" s="12" t="s">
        <v>389</v>
      </c>
    </row>
    <row r="1105" spans="1:10" s="15" customFormat="1" x14ac:dyDescent="0.15">
      <c r="A1105" s="11">
        <v>45308</v>
      </c>
      <c r="B1105" s="12" t="s">
        <v>390</v>
      </c>
      <c r="C1105" s="12" t="s">
        <v>390</v>
      </c>
      <c r="D1105" s="13" t="str">
        <f>HYPERLINK("https://www.marklines.com/en/global/3349","FAW Jiefang Automotive Co., Ltd.")</f>
        <v>FAW Jiefang Automotive Co., Ltd.</v>
      </c>
      <c r="E1105" s="12" t="s">
        <v>391</v>
      </c>
      <c r="F1105" s="12" t="s">
        <v>18</v>
      </c>
      <c r="G1105" s="12" t="s">
        <v>24</v>
      </c>
      <c r="H1105" s="12" t="s">
        <v>392</v>
      </c>
      <c r="I1105" s="14">
        <v>45305</v>
      </c>
      <c r="J1105" s="12" t="s">
        <v>393</v>
      </c>
    </row>
    <row r="1106" spans="1:10" s="15" customFormat="1" x14ac:dyDescent="0.15">
      <c r="A1106" s="11">
        <v>45308</v>
      </c>
      <c r="B1106" s="12" t="s">
        <v>19</v>
      </c>
      <c r="C1106" s="12" t="s">
        <v>19</v>
      </c>
      <c r="D1106" s="13" t="str">
        <f>HYPERLINK("https://www.marklines.com/en/global/373","Toyota Motor, Motomachi Plant")</f>
        <v>Toyota Motor, Motomachi Plant</v>
      </c>
      <c r="E1106" s="12" t="s">
        <v>188</v>
      </c>
      <c r="F1106" s="12" t="s">
        <v>18</v>
      </c>
      <c r="G1106" s="12" t="s">
        <v>20</v>
      </c>
      <c r="H1106" s="12" t="s">
        <v>189</v>
      </c>
      <c r="I1106" s="14">
        <v>45303</v>
      </c>
      <c r="J1106" s="12" t="s">
        <v>394</v>
      </c>
    </row>
    <row r="1107" spans="1:10" s="15" customFormat="1" x14ac:dyDescent="0.15">
      <c r="A1107" s="11">
        <v>45308</v>
      </c>
      <c r="B1107" s="12" t="s">
        <v>57</v>
      </c>
      <c r="C1107" s="12" t="s">
        <v>57</v>
      </c>
      <c r="D1107" s="13" t="str">
        <f>HYPERLINK("https://www.marklines.com/en/global/4125","BYD Automobile Industry Co., Ltd., Shenzhen Plant")</f>
        <v>BYD Automobile Industry Co., Ltd., Shenzhen Plant</v>
      </c>
      <c r="E1107" s="12" t="s">
        <v>395</v>
      </c>
      <c r="F1107" s="12" t="s">
        <v>18</v>
      </c>
      <c r="G1107" s="12" t="s">
        <v>24</v>
      </c>
      <c r="H1107" s="12" t="s">
        <v>63</v>
      </c>
      <c r="I1107" s="14">
        <v>45302</v>
      </c>
      <c r="J1107" s="12" t="s">
        <v>396</v>
      </c>
    </row>
    <row r="1108" spans="1:10" s="15" customFormat="1" x14ac:dyDescent="0.15">
      <c r="A1108" s="11">
        <v>45308</v>
      </c>
      <c r="B1108" s="12" t="s">
        <v>65</v>
      </c>
      <c r="C1108" s="12" t="s">
        <v>65</v>
      </c>
      <c r="D1108" s="13" t="str">
        <f>HYPERLINK("https://www.marklines.com/en/global/4055","Zhejiang Haoqing Automotive Manufacturing Co.,Ltd. Xiangtan Branch (formerly Hunan Geely Automobile Components Company Limited)")</f>
        <v>Zhejiang Haoqing Automotive Manufacturing Co.,Ltd. Xiangtan Branch (formerly Hunan Geely Automobile Components Company Limited)</v>
      </c>
      <c r="E1108" s="12" t="s">
        <v>397</v>
      </c>
      <c r="F1108" s="12" t="s">
        <v>18</v>
      </c>
      <c r="G1108" s="12" t="s">
        <v>24</v>
      </c>
      <c r="H1108" s="12" t="s">
        <v>398</v>
      </c>
      <c r="I1108" s="14">
        <v>45301</v>
      </c>
      <c r="J1108" s="12" t="s">
        <v>399</v>
      </c>
    </row>
    <row r="1109" spans="1:10" s="15" customFormat="1" x14ac:dyDescent="0.15">
      <c r="A1109" s="11">
        <v>45308</v>
      </c>
      <c r="B1109" s="12" t="s">
        <v>248</v>
      </c>
      <c r="C1109" s="12" t="s">
        <v>248</v>
      </c>
      <c r="D1109" s="13" t="str">
        <f>HYPERLINK("https://www.marklines.com/en/global/10792","SAIC Power Technology (Zhengzhou) Co., Ltd.")</f>
        <v>SAIC Power Technology (Zhengzhou) Co., Ltd.</v>
      </c>
      <c r="E1109" s="12" t="s">
        <v>400</v>
      </c>
      <c r="F1109" s="12" t="s">
        <v>18</v>
      </c>
      <c r="G1109" s="12" t="s">
        <v>24</v>
      </c>
      <c r="H1109" s="12" t="s">
        <v>401</v>
      </c>
      <c r="I1109" s="14">
        <v>45300</v>
      </c>
      <c r="J1109" s="12" t="s">
        <v>402</v>
      </c>
    </row>
    <row r="1110" spans="1:10" s="15" customFormat="1" x14ac:dyDescent="0.15">
      <c r="A1110" s="11">
        <v>45308</v>
      </c>
      <c r="B1110" s="12" t="s">
        <v>34</v>
      </c>
      <c r="C1110" s="12" t="s">
        <v>359</v>
      </c>
      <c r="D1110" s="13" t="str">
        <f>HYPERLINK("https://www.marklines.com/en/global/2443","Kia, Hwaseong Plant (AutoLand  Hwaseong)")</f>
        <v>Kia, Hwaseong Plant (AutoLand  Hwaseong)</v>
      </c>
      <c r="E1110" s="12" t="s">
        <v>403</v>
      </c>
      <c r="F1110" s="12" t="s">
        <v>18</v>
      </c>
      <c r="G1110" s="12" t="s">
        <v>404</v>
      </c>
      <c r="H1110" s="12"/>
      <c r="I1110" s="14">
        <v>45300</v>
      </c>
      <c r="J1110" s="12" t="s">
        <v>405</v>
      </c>
    </row>
    <row r="1111" spans="1:10" s="15" customFormat="1" x14ac:dyDescent="0.15">
      <c r="A1111" s="11">
        <v>45308</v>
      </c>
      <c r="B1111" s="12" t="s">
        <v>34</v>
      </c>
      <c r="C1111" s="12" t="s">
        <v>34</v>
      </c>
      <c r="D1111" s="13" t="str">
        <f>HYPERLINK("https://www.marklines.com/en/global/2435","Hyundai Motor, Ulsan Plant")</f>
        <v>Hyundai Motor, Ulsan Plant</v>
      </c>
      <c r="E1111" s="12" t="s">
        <v>406</v>
      </c>
      <c r="F1111" s="12" t="s">
        <v>18</v>
      </c>
      <c r="G1111" s="12" t="s">
        <v>404</v>
      </c>
      <c r="H1111" s="12"/>
      <c r="I1111" s="14">
        <v>45296</v>
      </c>
      <c r="J1111" s="12" t="s">
        <v>407</v>
      </c>
    </row>
    <row r="1112" spans="1:10" s="15" customFormat="1" x14ac:dyDescent="0.15">
      <c r="A1112" s="11">
        <v>45308</v>
      </c>
      <c r="B1112" s="12" t="s">
        <v>34</v>
      </c>
      <c r="C1112" s="12" t="s">
        <v>34</v>
      </c>
      <c r="D1112" s="13" t="str">
        <f>HYPERLINK("https://www.marklines.com/en/global/2439","Hyundai Motor, Jeonju Plant")</f>
        <v>Hyundai Motor, Jeonju Plant</v>
      </c>
      <c r="E1112" s="12" t="s">
        <v>408</v>
      </c>
      <c r="F1112" s="12" t="s">
        <v>18</v>
      </c>
      <c r="G1112" s="12" t="s">
        <v>404</v>
      </c>
      <c r="H1112" s="12"/>
      <c r="I1112" s="14">
        <v>45296</v>
      </c>
      <c r="J1112" s="12" t="s">
        <v>409</v>
      </c>
    </row>
    <row r="1113" spans="1:10" s="15" customFormat="1" x14ac:dyDescent="0.15">
      <c r="A1113" s="11">
        <v>45307</v>
      </c>
      <c r="B1113" s="12" t="s">
        <v>28</v>
      </c>
      <c r="C1113" s="12" t="s">
        <v>353</v>
      </c>
      <c r="D1113" s="13" t="str">
        <f>HYPERLINK("https://www.marklines.com/en/global/10365","Northvolt Ett, Skellefteå Gigafactory")</f>
        <v>Northvolt Ett, Skellefteå Gigafactory</v>
      </c>
      <c r="E1113" s="12" t="s">
        <v>410</v>
      </c>
      <c r="F1113" s="12" t="s">
        <v>16</v>
      </c>
      <c r="G1113" s="12" t="s">
        <v>314</v>
      </c>
      <c r="H1113" s="12"/>
      <c r="I1113" s="14">
        <v>45307</v>
      </c>
      <c r="J1113" s="12" t="s">
        <v>411</v>
      </c>
    </row>
    <row r="1114" spans="1:10" s="15" customFormat="1" x14ac:dyDescent="0.15">
      <c r="A1114" s="11">
        <v>45307</v>
      </c>
      <c r="B1114" s="12" t="s">
        <v>34</v>
      </c>
      <c r="C1114" s="12" t="s">
        <v>34</v>
      </c>
      <c r="D1114" s="13" t="str">
        <f>HYPERLINK("https://www.marklines.com/en/global/1161","former General Motors India, Talegaon Plant")</f>
        <v>former General Motors India, Talegaon Plant</v>
      </c>
      <c r="E1114" s="12" t="s">
        <v>293</v>
      </c>
      <c r="F1114" s="12" t="s">
        <v>22</v>
      </c>
      <c r="G1114" s="12" t="s">
        <v>23</v>
      </c>
      <c r="H1114" s="12" t="s">
        <v>294</v>
      </c>
      <c r="I1114" s="14">
        <v>45307</v>
      </c>
      <c r="J1114" s="12" t="s">
        <v>412</v>
      </c>
    </row>
    <row r="1115" spans="1:10" s="15" customFormat="1" x14ac:dyDescent="0.15">
      <c r="A1115" s="11">
        <v>45307</v>
      </c>
      <c r="B1115" s="12" t="s">
        <v>36</v>
      </c>
      <c r="C1115" s="12" t="s">
        <v>38</v>
      </c>
      <c r="D1115" s="13" t="str">
        <f>HYPERLINK("https://www.marklines.com/en/global/1327","Stellantis, FCA Italy, Mirafiori (Turin) Plant")</f>
        <v>Stellantis, FCA Italy, Mirafiori (Turin) Plant</v>
      </c>
      <c r="E1115" s="12" t="s">
        <v>82</v>
      </c>
      <c r="F1115" s="12" t="s">
        <v>16</v>
      </c>
      <c r="G1115" s="12" t="s">
        <v>37</v>
      </c>
      <c r="H1115" s="12"/>
      <c r="I1115" s="14">
        <v>45306</v>
      </c>
      <c r="J1115" s="12" t="s">
        <v>413</v>
      </c>
    </row>
    <row r="1116" spans="1:10" s="15" customFormat="1" x14ac:dyDescent="0.15">
      <c r="A1116" s="11">
        <v>45307</v>
      </c>
      <c r="B1116" s="12" t="s">
        <v>36</v>
      </c>
      <c r="C1116" s="12" t="s">
        <v>81</v>
      </c>
      <c r="D1116" s="13" t="str">
        <f>HYPERLINK("https://www.marklines.com/en/global/1327","Stellantis, FCA Italy, Mirafiori (Turin) Plant")</f>
        <v>Stellantis, FCA Italy, Mirafiori (Turin) Plant</v>
      </c>
      <c r="E1116" s="12" t="s">
        <v>82</v>
      </c>
      <c r="F1116" s="12" t="s">
        <v>16</v>
      </c>
      <c r="G1116" s="12" t="s">
        <v>37</v>
      </c>
      <c r="H1116" s="12"/>
      <c r="I1116" s="14">
        <v>45306</v>
      </c>
      <c r="J1116" s="12" t="s">
        <v>413</v>
      </c>
    </row>
    <row r="1117" spans="1:10" s="15" customFormat="1" x14ac:dyDescent="0.15">
      <c r="A1117" s="11">
        <v>45307</v>
      </c>
      <c r="B1117" s="12" t="s">
        <v>28</v>
      </c>
      <c r="C1117" s="12" t="s">
        <v>353</v>
      </c>
      <c r="D1117" s="13" t="str">
        <f>HYPERLINK("https://www.marklines.com/en/global/10650","PowerCo SE, Sagunto Gigafactory")</f>
        <v>PowerCo SE, Sagunto Gigafactory</v>
      </c>
      <c r="E1117" s="12" t="s">
        <v>414</v>
      </c>
      <c r="F1117" s="12" t="s">
        <v>16</v>
      </c>
      <c r="G1117" s="12" t="s">
        <v>42</v>
      </c>
      <c r="H1117" s="12"/>
      <c r="I1117" s="14">
        <v>45306</v>
      </c>
      <c r="J1117" s="12" t="s">
        <v>415</v>
      </c>
    </row>
    <row r="1118" spans="1:10" s="15" customFormat="1" x14ac:dyDescent="0.15">
      <c r="A1118" s="11">
        <v>45307</v>
      </c>
      <c r="B1118" s="12" t="s">
        <v>210</v>
      </c>
      <c r="C1118" s="12" t="s">
        <v>210</v>
      </c>
      <c r="D1118" s="13" t="str">
        <f>HYPERLINK("https://www.marklines.com/en/global/1793","Magyar Suzuki Zrt., Esztergom Plant")</f>
        <v>Magyar Suzuki Zrt., Esztergom Plant</v>
      </c>
      <c r="E1118" s="12" t="s">
        <v>416</v>
      </c>
      <c r="F1118" s="12" t="s">
        <v>17</v>
      </c>
      <c r="G1118" s="12" t="s">
        <v>417</v>
      </c>
      <c r="H1118" s="12"/>
      <c r="I1118" s="14">
        <v>45306</v>
      </c>
      <c r="J1118" s="12" t="s">
        <v>418</v>
      </c>
    </row>
    <row r="1119" spans="1:10" s="15" customFormat="1" x14ac:dyDescent="0.15">
      <c r="A1119" s="11">
        <v>45307</v>
      </c>
      <c r="B1119" s="12" t="s">
        <v>86</v>
      </c>
      <c r="C1119" s="12" t="s">
        <v>86</v>
      </c>
      <c r="D1119" s="13" t="str">
        <f>HYPERLINK("https://www.marklines.com/en/global/737","Kamaz, Naberezhnye Chelny Plant")</f>
        <v>Kamaz, Naberezhnye Chelny Plant</v>
      </c>
      <c r="E1119" s="12" t="s">
        <v>87</v>
      </c>
      <c r="F1119" s="12" t="s">
        <v>17</v>
      </c>
      <c r="G1119" s="12" t="s">
        <v>13</v>
      </c>
      <c r="H1119" s="12"/>
      <c r="I1119" s="14">
        <v>45306</v>
      </c>
      <c r="J1119" s="12" t="s">
        <v>419</v>
      </c>
    </row>
    <row r="1120" spans="1:10" s="15" customFormat="1" x14ac:dyDescent="0.15">
      <c r="A1120" s="11">
        <v>45307</v>
      </c>
      <c r="B1120" s="12" t="s">
        <v>30</v>
      </c>
      <c r="C1120" s="12" t="s">
        <v>420</v>
      </c>
      <c r="D1120" s="13" t="str">
        <f>HYPERLINK("https://www.marklines.com/en/global/1995","Great Wall Motor (Thailand), Rayong Plant (formerly General Motors (Thailand), Rayong Plant)")</f>
        <v>Great Wall Motor (Thailand), Rayong Plant (formerly General Motors (Thailand), Rayong Plant)</v>
      </c>
      <c r="E1120" s="12" t="s">
        <v>421</v>
      </c>
      <c r="F1120" s="12" t="s">
        <v>29</v>
      </c>
      <c r="G1120" s="12" t="s">
        <v>301</v>
      </c>
      <c r="H1120" s="12" t="s">
        <v>422</v>
      </c>
      <c r="I1120" s="14">
        <v>45303</v>
      </c>
      <c r="J1120" s="12" t="s">
        <v>423</v>
      </c>
    </row>
    <row r="1121" spans="1:10" s="15" customFormat="1" x14ac:dyDescent="0.15">
      <c r="A1121" s="11">
        <v>45307</v>
      </c>
      <c r="B1121" s="12" t="s">
        <v>14</v>
      </c>
      <c r="C1121" s="12" t="s">
        <v>14</v>
      </c>
      <c r="D1121" s="13" t="str">
        <f>HYPERLINK("https://www.marklines.com/en/global/3981","Dongfeng Honda Automobile Co., Ltd. ")</f>
        <v xml:space="preserve">Dongfeng Honda Automobile Co., Ltd. </v>
      </c>
      <c r="E1121" s="12" t="s">
        <v>99</v>
      </c>
      <c r="F1121" s="12" t="s">
        <v>18</v>
      </c>
      <c r="G1121" s="12" t="s">
        <v>24</v>
      </c>
      <c r="H1121" s="12" t="s">
        <v>76</v>
      </c>
      <c r="I1121" s="14">
        <v>45302</v>
      </c>
      <c r="J1121" s="12" t="s">
        <v>424</v>
      </c>
    </row>
    <row r="1122" spans="1:10" s="15" customFormat="1" x14ac:dyDescent="0.15">
      <c r="A1122" s="11">
        <v>45307</v>
      </c>
      <c r="B1122" s="12" t="s">
        <v>50</v>
      </c>
      <c r="C1122" s="12" t="s">
        <v>50</v>
      </c>
      <c r="D1122" s="13" t="str">
        <f>HYPERLINK("https://www.marklines.com/en/global/10671","Tesla Gigafactory Mexico")</f>
        <v>Tesla Gigafactory Mexico</v>
      </c>
      <c r="E1122" s="12" t="s">
        <v>217</v>
      </c>
      <c r="F1122" s="12" t="s">
        <v>15</v>
      </c>
      <c r="G1122" s="12" t="s">
        <v>218</v>
      </c>
      <c r="H1122" s="12"/>
      <c r="I1122" s="14">
        <v>45302</v>
      </c>
      <c r="J1122" s="12" t="s">
        <v>425</v>
      </c>
    </row>
    <row r="1123" spans="1:10" s="15" customFormat="1" x14ac:dyDescent="0.15">
      <c r="A1123" s="11">
        <v>45307</v>
      </c>
      <c r="B1123" s="12" t="s">
        <v>58</v>
      </c>
      <c r="C1123" s="12" t="s">
        <v>69</v>
      </c>
      <c r="D1123" s="13" t="str">
        <f>HYPERLINK("https://www.marklines.com/en/global/9813","Henan Foton Zhilan New Energy Automobile Co., Ltd.")</f>
        <v>Henan Foton Zhilan New Energy Automobile Co., Ltd.</v>
      </c>
      <c r="E1123" s="12" t="s">
        <v>426</v>
      </c>
      <c r="F1123" s="12" t="s">
        <v>18</v>
      </c>
      <c r="G1123" s="12" t="s">
        <v>24</v>
      </c>
      <c r="H1123" s="12" t="s">
        <v>401</v>
      </c>
      <c r="I1123" s="14">
        <v>45299</v>
      </c>
      <c r="J1123" s="12" t="s">
        <v>427</v>
      </c>
    </row>
    <row r="1124" spans="1:10" s="15" customFormat="1" x14ac:dyDescent="0.15">
      <c r="A1124" s="11">
        <v>45307</v>
      </c>
      <c r="B1124" s="12" t="s">
        <v>65</v>
      </c>
      <c r="C1124" s="12" t="s">
        <v>328</v>
      </c>
      <c r="D1124" s="13" t="str">
        <f>HYPERLINK("https://www.marklines.com/en/global/9345","Geely Sichuan Commercial Vehicle Co., Ltd.")</f>
        <v>Geely Sichuan Commercial Vehicle Co., Ltd.</v>
      </c>
      <c r="E1124" s="12" t="s">
        <v>329</v>
      </c>
      <c r="F1124" s="12" t="s">
        <v>18</v>
      </c>
      <c r="G1124" s="12" t="s">
        <v>24</v>
      </c>
      <c r="H1124" s="12" t="s">
        <v>330</v>
      </c>
      <c r="I1124" s="14">
        <v>45299</v>
      </c>
      <c r="J1124" s="12" t="s">
        <v>428</v>
      </c>
    </row>
    <row r="1125" spans="1:10" s="15" customFormat="1" x14ac:dyDescent="0.15">
      <c r="A1125" s="11">
        <v>45306</v>
      </c>
      <c r="B1125" s="12" t="s">
        <v>429</v>
      </c>
      <c r="C1125" s="12" t="s">
        <v>430</v>
      </c>
      <c r="D1125" s="13" t="str">
        <f>HYPERLINK("https://www.marklines.com/en/global/10768","NexV Manufacturing Sdn Bhd (NMSB), Chembong Plant")</f>
        <v>NexV Manufacturing Sdn Bhd (NMSB), Chembong Plant</v>
      </c>
      <c r="E1125" s="12" t="s">
        <v>431</v>
      </c>
      <c r="F1125" s="12" t="s">
        <v>29</v>
      </c>
      <c r="G1125" s="12" t="s">
        <v>75</v>
      </c>
      <c r="H1125" s="12"/>
      <c r="I1125" s="14">
        <v>45303</v>
      </c>
      <c r="J1125" s="12" t="s">
        <v>432</v>
      </c>
    </row>
    <row r="1126" spans="1:10" s="15" customFormat="1" x14ac:dyDescent="0.15">
      <c r="A1126" s="11">
        <v>45306</v>
      </c>
      <c r="B1126" s="12" t="s">
        <v>429</v>
      </c>
      <c r="C1126" s="12" t="s">
        <v>430</v>
      </c>
      <c r="D1126" s="13" t="str">
        <f>HYPERLINK("https://www.marklines.com/en/global/10768","NexV Manufacturing Sdn Bhd (NMSB), Chembong Plant")</f>
        <v>NexV Manufacturing Sdn Bhd (NMSB), Chembong Plant</v>
      </c>
      <c r="E1126" s="12" t="s">
        <v>431</v>
      </c>
      <c r="F1126" s="12" t="s">
        <v>29</v>
      </c>
      <c r="G1126" s="12" t="s">
        <v>75</v>
      </c>
      <c r="H1126" s="12"/>
      <c r="I1126" s="14">
        <v>45303</v>
      </c>
      <c r="J1126" s="12" t="s">
        <v>433</v>
      </c>
    </row>
    <row r="1127" spans="1:10" s="15" customFormat="1" x14ac:dyDescent="0.15">
      <c r="A1127" s="11">
        <v>45306</v>
      </c>
      <c r="B1127" s="12" t="s">
        <v>48</v>
      </c>
      <c r="C1127" s="12" t="s">
        <v>119</v>
      </c>
      <c r="D1127" s="13" t="str">
        <f>HYPERLINK("https://www.marklines.com/en/global/10563","SERES Automobile (Hubei) Co., Ltd. Chongqing Shapingba Branch  (formerly DFSK Motor Co., Ltd Shapingba Branch)")</f>
        <v>SERES Automobile (Hubei) Co., Ltd. Chongqing Shapingba Branch  (formerly DFSK Motor Co., Ltd Shapingba Branch)</v>
      </c>
      <c r="E1127" s="12" t="s">
        <v>434</v>
      </c>
      <c r="F1127" s="12" t="s">
        <v>18</v>
      </c>
      <c r="G1127" s="12" t="s">
        <v>24</v>
      </c>
      <c r="H1127" s="12" t="s">
        <v>25</v>
      </c>
      <c r="I1127" s="14">
        <v>45303</v>
      </c>
      <c r="J1127" s="12" t="s">
        <v>435</v>
      </c>
    </row>
    <row r="1128" spans="1:10" s="15" customFormat="1" x14ac:dyDescent="0.15">
      <c r="A1128" s="11">
        <v>45306</v>
      </c>
      <c r="B1128" s="12" t="s">
        <v>48</v>
      </c>
      <c r="C1128" s="12" t="s">
        <v>119</v>
      </c>
      <c r="D1128" s="13" t="str">
        <f>HYPERLINK("https://www.marklines.com/en/global/9540","SERES Automobile Co., Ltd. (formerly Chongqing Jinkang New Energy Automobile Co., Ltd.)")</f>
        <v>SERES Automobile Co., Ltd. (formerly Chongqing Jinkang New Energy Automobile Co., Ltd.)</v>
      </c>
      <c r="E1128" s="12" t="s">
        <v>93</v>
      </c>
      <c r="F1128" s="12" t="s">
        <v>18</v>
      </c>
      <c r="G1128" s="12" t="s">
        <v>24</v>
      </c>
      <c r="H1128" s="12" t="s">
        <v>25</v>
      </c>
      <c r="I1128" s="14">
        <v>45303</v>
      </c>
      <c r="J1128" s="12" t="s">
        <v>435</v>
      </c>
    </row>
    <row r="1129" spans="1:10" s="15" customFormat="1" x14ac:dyDescent="0.15">
      <c r="A1129" s="11">
        <v>45306</v>
      </c>
      <c r="B1129" s="12" t="s">
        <v>65</v>
      </c>
      <c r="C1129" s="12" t="s">
        <v>312</v>
      </c>
      <c r="D1129" s="13" t="str">
        <f>HYPERLINK("https://www.marklines.com/en/global/1512","Volvo Cars N.V., Ghent Plant")</f>
        <v>Volvo Cars N.V., Ghent Plant</v>
      </c>
      <c r="E1129" s="12" t="s">
        <v>436</v>
      </c>
      <c r="F1129" s="12" t="s">
        <v>16</v>
      </c>
      <c r="G1129" s="12" t="s">
        <v>437</v>
      </c>
      <c r="H1129" s="12"/>
      <c r="I1129" s="14">
        <v>45303</v>
      </c>
      <c r="J1129" s="12" t="s">
        <v>438</v>
      </c>
    </row>
    <row r="1130" spans="1:10" s="15" customFormat="1" x14ac:dyDescent="0.15">
      <c r="A1130" s="11">
        <v>45306</v>
      </c>
      <c r="B1130" s="12" t="s">
        <v>28</v>
      </c>
      <c r="C1130" s="12" t="s">
        <v>439</v>
      </c>
      <c r="D1130" s="13" t="str">
        <f>HYPERLINK("https://www.marklines.com/en/global/1357","Automobili Lamborghini S.p.A., Sant'Agata Bolognese Plant")</f>
        <v>Automobili Lamborghini S.p.A., Sant'Agata Bolognese Plant</v>
      </c>
      <c r="E1130" s="12" t="s">
        <v>440</v>
      </c>
      <c r="F1130" s="12" t="s">
        <v>16</v>
      </c>
      <c r="G1130" s="12" t="s">
        <v>37</v>
      </c>
      <c r="H1130" s="12"/>
      <c r="I1130" s="14">
        <v>45303</v>
      </c>
      <c r="J1130" s="12" t="s">
        <v>441</v>
      </c>
    </row>
    <row r="1131" spans="1:10" s="15" customFormat="1" x14ac:dyDescent="0.15">
      <c r="A1131" s="11">
        <v>45306</v>
      </c>
      <c r="B1131" s="12" t="s">
        <v>30</v>
      </c>
      <c r="C1131" s="12" t="s">
        <v>30</v>
      </c>
      <c r="D1131" s="13" t="str">
        <f>HYPERLINK("https://www.marklines.com/en/global/3533","Great Wall Motor Company Limited (GWM)")</f>
        <v>Great Wall Motor Company Limited (GWM)</v>
      </c>
      <c r="E1131" s="12" t="s">
        <v>442</v>
      </c>
      <c r="F1131" s="12" t="s">
        <v>18</v>
      </c>
      <c r="G1131" s="12" t="s">
        <v>24</v>
      </c>
      <c r="H1131" s="12" t="s">
        <v>443</v>
      </c>
      <c r="I1131" s="14">
        <v>45302</v>
      </c>
      <c r="J1131" s="12" t="s">
        <v>444</v>
      </c>
    </row>
    <row r="1132" spans="1:10" s="15" customFormat="1" x14ac:dyDescent="0.15">
      <c r="A1132" s="11">
        <v>45306</v>
      </c>
      <c r="B1132" s="12" t="s">
        <v>248</v>
      </c>
      <c r="C1132" s="12" t="s">
        <v>249</v>
      </c>
      <c r="D1132" s="13" t="str">
        <f>HYPERLINK("https://www.marklines.com/en/global/285","PT SGMW Motor Indonesia")</f>
        <v>PT SGMW Motor Indonesia</v>
      </c>
      <c r="E1132" s="12" t="s">
        <v>445</v>
      </c>
      <c r="F1132" s="12" t="s">
        <v>29</v>
      </c>
      <c r="G1132" s="12" t="s">
        <v>343</v>
      </c>
      <c r="H1132" s="12"/>
      <c r="I1132" s="14">
        <v>45301</v>
      </c>
      <c r="J1132" s="12" t="s">
        <v>446</v>
      </c>
    </row>
    <row r="1133" spans="1:10" s="15" customFormat="1" x14ac:dyDescent="0.15">
      <c r="A1133" s="11">
        <v>45306</v>
      </c>
      <c r="B1133" s="12" t="s">
        <v>58</v>
      </c>
      <c r="C1133" s="12" t="s">
        <v>69</v>
      </c>
      <c r="D1133" s="13" t="str">
        <f>HYPERLINK("https://www.marklines.com/en/global/3425","Beiqi Foton Motor Co., Ltd.")</f>
        <v>Beiqi Foton Motor Co., Ltd.</v>
      </c>
      <c r="E1133" s="12" t="s">
        <v>70</v>
      </c>
      <c r="F1133" s="12" t="s">
        <v>18</v>
      </c>
      <c r="G1133" s="12" t="s">
        <v>24</v>
      </c>
      <c r="H1133" s="12" t="s">
        <v>71</v>
      </c>
      <c r="I1133" s="14">
        <v>45301</v>
      </c>
      <c r="J1133" s="12" t="s">
        <v>447</v>
      </c>
    </row>
    <row r="1134" spans="1:10" s="15" customFormat="1" x14ac:dyDescent="0.15">
      <c r="A1134" s="11">
        <v>45306</v>
      </c>
      <c r="B1134" s="12" t="s">
        <v>448</v>
      </c>
      <c r="C1134" s="12" t="s">
        <v>448</v>
      </c>
      <c r="D1134" s="13" t="str">
        <f>HYPERLINK("https://www.marklines.com/en/global/9553","Leapmotor Co., Ltd. ")</f>
        <v xml:space="preserve">Leapmotor Co., Ltd. </v>
      </c>
      <c r="E1134" s="12" t="s">
        <v>449</v>
      </c>
      <c r="F1134" s="12" t="s">
        <v>18</v>
      </c>
      <c r="G1134" s="12" t="s">
        <v>24</v>
      </c>
      <c r="H1134" s="12" t="s">
        <v>61</v>
      </c>
      <c r="I1134" s="14">
        <v>45301</v>
      </c>
      <c r="J1134" s="12" t="s">
        <v>450</v>
      </c>
    </row>
    <row r="1135" spans="1:10" s="15" customFormat="1" x14ac:dyDescent="0.15">
      <c r="A1135" s="11">
        <v>45304</v>
      </c>
      <c r="B1135" s="12" t="s">
        <v>346</v>
      </c>
      <c r="C1135" s="12" t="s">
        <v>346</v>
      </c>
      <c r="D1135" s="13" t="str">
        <f>HYPERLINK("https://www.marklines.com/en/global/3187","Nissan North America, Canton Plant")</f>
        <v>Nissan North America, Canton Plant</v>
      </c>
      <c r="E1135" s="12" t="s">
        <v>451</v>
      </c>
      <c r="F1135" s="12" t="s">
        <v>15</v>
      </c>
      <c r="G1135" s="12" t="s">
        <v>11</v>
      </c>
      <c r="H1135" s="12" t="s">
        <v>452</v>
      </c>
      <c r="I1135" s="14">
        <v>45303</v>
      </c>
      <c r="J1135" s="12" t="s">
        <v>453</v>
      </c>
    </row>
    <row r="1136" spans="1:10" s="15" customFormat="1" x14ac:dyDescent="0.15">
      <c r="A1136" s="11">
        <v>45304</v>
      </c>
      <c r="B1136" s="12" t="s">
        <v>454</v>
      </c>
      <c r="C1136" s="12" t="s">
        <v>455</v>
      </c>
      <c r="D1136" s="13" t="str">
        <f>HYPERLINK("https://www.marklines.com/en/global/3049","Mercedes-Benz U.S. International (MBUSI), Tuscaloosa (Vance) Plant")</f>
        <v>Mercedes-Benz U.S. International (MBUSI), Tuscaloosa (Vance) Plant</v>
      </c>
      <c r="E1136" s="12" t="s">
        <v>456</v>
      </c>
      <c r="F1136" s="12" t="s">
        <v>15</v>
      </c>
      <c r="G1136" s="12" t="s">
        <v>11</v>
      </c>
      <c r="H1136" s="12" t="s">
        <v>457</v>
      </c>
      <c r="I1136" s="14">
        <v>45301</v>
      </c>
      <c r="J1136" s="12" t="s">
        <v>458</v>
      </c>
    </row>
    <row r="1137" spans="1:10" s="15" customFormat="1" x14ac:dyDescent="0.15">
      <c r="A1137" s="11">
        <v>45304</v>
      </c>
      <c r="B1137" s="12" t="s">
        <v>459</v>
      </c>
      <c r="C1137" s="12" t="s">
        <v>459</v>
      </c>
      <c r="D1137" s="13" t="str">
        <f>HYPERLINK("https://www.marklines.com/en/global/10703","Mullen Automotive, Advanced Manufacturing Engineering Center (AMEC)")</f>
        <v>Mullen Automotive, Advanced Manufacturing Engineering Center (AMEC)</v>
      </c>
      <c r="E1137" s="12" t="s">
        <v>460</v>
      </c>
      <c r="F1137" s="12" t="s">
        <v>15</v>
      </c>
      <c r="G1137" s="12" t="s">
        <v>11</v>
      </c>
      <c r="H1137" s="12" t="s">
        <v>452</v>
      </c>
      <c r="I1137" s="14">
        <v>45301</v>
      </c>
      <c r="J1137" s="12" t="s">
        <v>461</v>
      </c>
    </row>
    <row r="1138" spans="1:10" s="15" customFormat="1" x14ac:dyDescent="0.15">
      <c r="A1138" s="11">
        <v>45303</v>
      </c>
      <c r="B1138" s="12" t="s">
        <v>462</v>
      </c>
      <c r="C1138" s="12" t="s">
        <v>463</v>
      </c>
      <c r="D1138" s="13" t="str">
        <f>HYPERLINK("https://www.marklines.com/en/global/1156","Tata Passenger Electric Mobility Limited (TPEML), Sanand Plant (formerly Ford India, Sanand Plant)")</f>
        <v>Tata Passenger Electric Mobility Limited (TPEML), Sanand Plant (formerly Ford India, Sanand Plant)</v>
      </c>
      <c r="E1138" s="12" t="s">
        <v>464</v>
      </c>
      <c r="F1138" s="12" t="s">
        <v>22</v>
      </c>
      <c r="G1138" s="12" t="s">
        <v>23</v>
      </c>
      <c r="H1138" s="12" t="s">
        <v>212</v>
      </c>
      <c r="I1138" s="14">
        <v>45303</v>
      </c>
      <c r="J1138" s="12" t="s">
        <v>465</v>
      </c>
    </row>
    <row r="1139" spans="1:10" s="15" customFormat="1" x14ac:dyDescent="0.15">
      <c r="A1139" s="11">
        <v>45303</v>
      </c>
      <c r="B1139" s="12" t="s">
        <v>36</v>
      </c>
      <c r="C1139" s="12" t="s">
        <v>466</v>
      </c>
      <c r="D1139" s="13" t="str">
        <f>HYPERLINK("https://www.marklines.com/en/global/10274","Automotive Cell Company (ACC)")</f>
        <v>Automotive Cell Company (ACC)</v>
      </c>
      <c r="E1139" s="12" t="s">
        <v>309</v>
      </c>
      <c r="F1139" s="12" t="s">
        <v>16</v>
      </c>
      <c r="G1139" s="12" t="s">
        <v>285</v>
      </c>
      <c r="H1139" s="12"/>
      <c r="I1139" s="14">
        <v>45302</v>
      </c>
      <c r="J1139" s="12" t="s">
        <v>467</v>
      </c>
    </row>
    <row r="1140" spans="1:10" s="15" customFormat="1" x14ac:dyDescent="0.15">
      <c r="A1140" s="11">
        <v>45303</v>
      </c>
      <c r="B1140" s="12" t="s">
        <v>36</v>
      </c>
      <c r="C1140" s="12" t="s">
        <v>466</v>
      </c>
      <c r="D1140" s="13" t="str">
        <f>HYPERLINK("https://www.marklines.com/en/global/10614","Automotive Cell Company (ACC), Douvrin/Billy-Berclau Plant")</f>
        <v>Automotive Cell Company (ACC), Douvrin/Billy-Berclau Plant</v>
      </c>
      <c r="E1140" s="12" t="s">
        <v>311</v>
      </c>
      <c r="F1140" s="12" t="s">
        <v>16</v>
      </c>
      <c r="G1140" s="12" t="s">
        <v>285</v>
      </c>
      <c r="H1140" s="12"/>
      <c r="I1140" s="14">
        <v>45302</v>
      </c>
      <c r="J1140" s="12" t="s">
        <v>467</v>
      </c>
    </row>
    <row r="1141" spans="1:10" s="15" customFormat="1" x14ac:dyDescent="0.15">
      <c r="A1141" s="11">
        <v>45303</v>
      </c>
      <c r="B1141" s="12" t="s">
        <v>36</v>
      </c>
      <c r="C1141" s="12" t="s">
        <v>466</v>
      </c>
      <c r="D1141" s="13" t="str">
        <f>HYPERLINK("https://www.marklines.com/en/global/143","Stellantis, PSA, Sochaux Plant")</f>
        <v>Stellantis, PSA, Sochaux Plant</v>
      </c>
      <c r="E1141" s="12" t="s">
        <v>468</v>
      </c>
      <c r="F1141" s="12" t="s">
        <v>16</v>
      </c>
      <c r="G1141" s="12" t="s">
        <v>285</v>
      </c>
      <c r="H1141" s="12"/>
      <c r="I1141" s="14">
        <v>45302</v>
      </c>
      <c r="J1141" s="12" t="s">
        <v>467</v>
      </c>
    </row>
    <row r="1142" spans="1:10" s="15" customFormat="1" x14ac:dyDescent="0.15">
      <c r="A1142" s="11">
        <v>45303</v>
      </c>
      <c r="B1142" s="12" t="s">
        <v>39</v>
      </c>
      <c r="C1142" s="12" t="s">
        <v>40</v>
      </c>
      <c r="D1142" s="13" t="str">
        <f>HYPERLINK("https://www.marklines.com/en/global/729","LLC ""LADA Izhevsk"", LADA Izhevsk Automotive Plant (formerly OJSC Izh-Avto, Izhevsk Automobilny Zavod) ")</f>
        <v xml:space="preserve">LLC "LADA Izhevsk", LADA Izhevsk Automotive Plant (formerly OJSC Izh-Avto, Izhevsk Automobilny Zavod) </v>
      </c>
      <c r="E1142" s="12" t="s">
        <v>46</v>
      </c>
      <c r="F1142" s="12" t="s">
        <v>17</v>
      </c>
      <c r="G1142" s="12" t="s">
        <v>13</v>
      </c>
      <c r="H1142" s="12"/>
      <c r="I1142" s="14">
        <v>45302</v>
      </c>
      <c r="J1142" s="12" t="s">
        <v>469</v>
      </c>
    </row>
    <row r="1143" spans="1:10" s="15" customFormat="1" x14ac:dyDescent="0.15">
      <c r="A1143" s="11">
        <v>45303</v>
      </c>
      <c r="B1143" s="12" t="s">
        <v>39</v>
      </c>
      <c r="C1143" s="12" t="s">
        <v>40</v>
      </c>
      <c r="D1143" s="13" t="str">
        <f>HYPERLINK("https://www.marklines.com/en/global/675","AvtoVAZ, Togliatti Plant")</f>
        <v>AvtoVAZ, Togliatti Plant</v>
      </c>
      <c r="E1143" s="12" t="s">
        <v>41</v>
      </c>
      <c r="F1143" s="12" t="s">
        <v>17</v>
      </c>
      <c r="G1143" s="12" t="s">
        <v>13</v>
      </c>
      <c r="H1143" s="12"/>
      <c r="I1143" s="14">
        <v>45302</v>
      </c>
      <c r="J1143" s="12" t="s">
        <v>469</v>
      </c>
    </row>
    <row r="1144" spans="1:10" s="15" customFormat="1" x14ac:dyDescent="0.15">
      <c r="A1144" s="11">
        <v>45303</v>
      </c>
      <c r="B1144" s="12" t="s">
        <v>39</v>
      </c>
      <c r="C1144" s="12" t="s">
        <v>40</v>
      </c>
      <c r="D1144" s="13" t="str">
        <f>HYPERLINK("https://www.marklines.com/en/global/10715","Al-Amal Company for Vehicles Manufacturing and Assembly")</f>
        <v>Al-Amal Company for Vehicles Manufacturing and Assembly</v>
      </c>
      <c r="E1144" s="12" t="s">
        <v>470</v>
      </c>
      <c r="F1144" s="12" t="s">
        <v>471</v>
      </c>
      <c r="G1144" s="12" t="s">
        <v>472</v>
      </c>
      <c r="H1144" s="12"/>
      <c r="I1144" s="14">
        <v>45302</v>
      </c>
      <c r="J1144" s="12" t="s">
        <v>473</v>
      </c>
    </row>
    <row r="1145" spans="1:10" s="15" customFormat="1" x14ac:dyDescent="0.15">
      <c r="A1145" s="11">
        <v>45303</v>
      </c>
      <c r="B1145" s="12" t="s">
        <v>50</v>
      </c>
      <c r="C1145" s="12" t="s">
        <v>50</v>
      </c>
      <c r="D1145" s="13" t="str">
        <f>HYPERLINK("https://www.marklines.com/en/global/9895","Tesla Gigafactory Berlin-Brandenburg")</f>
        <v>Tesla Gigafactory Berlin-Brandenburg</v>
      </c>
      <c r="E1145" s="12" t="s">
        <v>474</v>
      </c>
      <c r="F1145" s="12" t="s">
        <v>16</v>
      </c>
      <c r="G1145" s="12" t="s">
        <v>208</v>
      </c>
      <c r="H1145" s="12"/>
      <c r="I1145" s="14">
        <v>45302</v>
      </c>
      <c r="J1145" s="12" t="s">
        <v>475</v>
      </c>
    </row>
    <row r="1146" spans="1:10" s="15" customFormat="1" x14ac:dyDescent="0.15">
      <c r="A1146" s="11">
        <v>45303</v>
      </c>
      <c r="B1146" s="12" t="s">
        <v>476</v>
      </c>
      <c r="C1146" s="12" t="s">
        <v>476</v>
      </c>
      <c r="D1146" s="13" t="str">
        <f>HYPERLINK("https://www.marklines.com/en/global/10762","Lucid Advanced Manufacturing Plant (AMP-2) ")</f>
        <v xml:space="preserve">Lucid Advanced Manufacturing Plant (AMP-2) </v>
      </c>
      <c r="E1146" s="12" t="s">
        <v>477</v>
      </c>
      <c r="F1146" s="12" t="s">
        <v>181</v>
      </c>
      <c r="G1146" s="12" t="s">
        <v>478</v>
      </c>
      <c r="H1146" s="12"/>
      <c r="I1146" s="14">
        <v>45302</v>
      </c>
      <c r="J1146" s="12" t="s">
        <v>479</v>
      </c>
    </row>
    <row r="1147" spans="1:10" s="15" customFormat="1" x14ac:dyDescent="0.15">
      <c r="A1147" s="11">
        <v>45303</v>
      </c>
      <c r="B1147" s="12" t="s">
        <v>476</v>
      </c>
      <c r="C1147" s="12" t="s">
        <v>476</v>
      </c>
      <c r="D1147" s="13" t="str">
        <f>HYPERLINK("https://www.marklines.com/en/global/9873","Lucid Motors (Lucid Group, Inc.), Casa Grande plant (AMP-1)")</f>
        <v>Lucid Motors (Lucid Group, Inc.), Casa Grande plant (AMP-1)</v>
      </c>
      <c r="E1147" s="12" t="s">
        <v>480</v>
      </c>
      <c r="F1147" s="12" t="s">
        <v>15</v>
      </c>
      <c r="G1147" s="12" t="s">
        <v>11</v>
      </c>
      <c r="H1147" s="12" t="s">
        <v>74</v>
      </c>
      <c r="I1147" s="14">
        <v>45302</v>
      </c>
      <c r="J1147" s="12" t="s">
        <v>479</v>
      </c>
    </row>
    <row r="1148" spans="1:10" s="15" customFormat="1" x14ac:dyDescent="0.15">
      <c r="A1148" s="11">
        <v>45303</v>
      </c>
      <c r="B1148" s="12" t="s">
        <v>36</v>
      </c>
      <c r="C1148" s="12" t="s">
        <v>481</v>
      </c>
      <c r="D1148" s="13" t="str">
        <f>HYPERLINK("https://www.marklines.com/en/global/10155","PCA Motors, India Technical Center (Chennai)")</f>
        <v>PCA Motors, India Technical Center (Chennai)</v>
      </c>
      <c r="E1148" s="12" t="s">
        <v>482</v>
      </c>
      <c r="F1148" s="12" t="s">
        <v>22</v>
      </c>
      <c r="G1148" s="12" t="s">
        <v>23</v>
      </c>
      <c r="H1148" s="12" t="s">
        <v>254</v>
      </c>
      <c r="I1148" s="14">
        <v>45301</v>
      </c>
      <c r="J1148" s="12" t="s">
        <v>483</v>
      </c>
    </row>
    <row r="1149" spans="1:10" s="15" customFormat="1" x14ac:dyDescent="0.15">
      <c r="A1149" s="11">
        <v>45303</v>
      </c>
      <c r="B1149" s="12" t="s">
        <v>36</v>
      </c>
      <c r="C1149" s="12" t="s">
        <v>481</v>
      </c>
      <c r="D1149" s="13" t="str">
        <f>HYPERLINK("https://www.marklines.com/en/global/1165","PCA Motors Private Limited (Stellantis PSA Group), Thiruvallur plant  (formerly Hindustan Motor)")</f>
        <v>PCA Motors Private Limited (Stellantis PSA Group), Thiruvallur plant  (formerly Hindustan Motor)</v>
      </c>
      <c r="E1149" s="12" t="s">
        <v>484</v>
      </c>
      <c r="F1149" s="12" t="s">
        <v>22</v>
      </c>
      <c r="G1149" s="12" t="s">
        <v>23</v>
      </c>
      <c r="H1149" s="12" t="s">
        <v>254</v>
      </c>
      <c r="I1149" s="14">
        <v>45301</v>
      </c>
      <c r="J1149" s="12" t="s">
        <v>483</v>
      </c>
    </row>
    <row r="1150" spans="1:10" s="15" customFormat="1" x14ac:dyDescent="0.15">
      <c r="A1150" s="11">
        <v>45303</v>
      </c>
      <c r="B1150" s="12" t="s">
        <v>21</v>
      </c>
      <c r="C1150" s="12" t="s">
        <v>21</v>
      </c>
      <c r="D1150" s="13" t="str">
        <f>HYPERLINK("https://www.marklines.com/en/global/1901","Ford Motor Spain, Valencia (Almussafes) Plant")</f>
        <v>Ford Motor Spain, Valencia (Almussafes) Plant</v>
      </c>
      <c r="E1150" s="12" t="s">
        <v>485</v>
      </c>
      <c r="F1150" s="12" t="s">
        <v>16</v>
      </c>
      <c r="G1150" s="12" t="s">
        <v>42</v>
      </c>
      <c r="H1150" s="12"/>
      <c r="I1150" s="14">
        <v>45301</v>
      </c>
      <c r="J1150" s="12" t="s">
        <v>486</v>
      </c>
    </row>
    <row r="1151" spans="1:10" s="15" customFormat="1" x14ac:dyDescent="0.15">
      <c r="A1151" s="11">
        <v>45303</v>
      </c>
      <c r="B1151" s="12" t="s">
        <v>454</v>
      </c>
      <c r="C1151" s="12" t="s">
        <v>455</v>
      </c>
      <c r="D1151" s="13" t="str">
        <f>HYPERLINK("https://www.marklines.com/en/global/2233","Mercedes-Benz Group AG, Stuttgart-Untertürkheim Plant")</f>
        <v>Mercedes-Benz Group AG, Stuttgart-Untertürkheim Plant</v>
      </c>
      <c r="E1151" s="12" t="s">
        <v>487</v>
      </c>
      <c r="F1151" s="12" t="s">
        <v>16</v>
      </c>
      <c r="G1151" s="12" t="s">
        <v>208</v>
      </c>
      <c r="H1151" s="12"/>
      <c r="I1151" s="14">
        <v>45301</v>
      </c>
      <c r="J1151" s="12" t="s">
        <v>488</v>
      </c>
    </row>
    <row r="1152" spans="1:10" s="15" customFormat="1" x14ac:dyDescent="0.15">
      <c r="A1152" s="11">
        <v>45303</v>
      </c>
      <c r="B1152" s="12" t="s">
        <v>14</v>
      </c>
      <c r="C1152" s="12" t="s">
        <v>14</v>
      </c>
      <c r="D1152" s="13" t="str">
        <f>HYPERLINK("https://www.marklines.com/en/global/3113","Honda of America Manufacturing Inc., Anna Plant")</f>
        <v>Honda of America Manufacturing Inc., Anna Plant</v>
      </c>
      <c r="E1152" s="12" t="s">
        <v>489</v>
      </c>
      <c r="F1152" s="12" t="s">
        <v>15</v>
      </c>
      <c r="G1152" s="12" t="s">
        <v>11</v>
      </c>
      <c r="H1152" s="12" t="s">
        <v>490</v>
      </c>
      <c r="I1152" s="14">
        <v>45301</v>
      </c>
      <c r="J1152" s="12" t="s">
        <v>491</v>
      </c>
    </row>
    <row r="1153" spans="1:10" s="15" customFormat="1" x14ac:dyDescent="0.15">
      <c r="A1153" s="11">
        <v>45303</v>
      </c>
      <c r="B1153" s="12" t="s">
        <v>14</v>
      </c>
      <c r="C1153" s="12" t="s">
        <v>14</v>
      </c>
      <c r="D1153" s="13" t="str">
        <f>HYPERLINK("https://www.marklines.com/en/global/3109","Honda of America Manufacturing Inc., Marysville Plant")</f>
        <v>Honda of America Manufacturing Inc., Marysville Plant</v>
      </c>
      <c r="E1153" s="12" t="s">
        <v>492</v>
      </c>
      <c r="F1153" s="12" t="s">
        <v>15</v>
      </c>
      <c r="G1153" s="12" t="s">
        <v>11</v>
      </c>
      <c r="H1153" s="12" t="s">
        <v>490</v>
      </c>
      <c r="I1153" s="14">
        <v>45301</v>
      </c>
      <c r="J1153" s="12" t="s">
        <v>491</v>
      </c>
    </row>
    <row r="1154" spans="1:10" s="15" customFormat="1" x14ac:dyDescent="0.15">
      <c r="A1154" s="11">
        <v>45303</v>
      </c>
      <c r="B1154" s="12" t="s">
        <v>14</v>
      </c>
      <c r="C1154" s="12" t="s">
        <v>14</v>
      </c>
      <c r="D1154" s="13" t="str">
        <f>HYPERLINK("https://www.marklines.com/en/global/3111","Honda of America Manufacturing Inc., East Liberty Plant")</f>
        <v>Honda of America Manufacturing Inc., East Liberty Plant</v>
      </c>
      <c r="E1154" s="12" t="s">
        <v>493</v>
      </c>
      <c r="F1154" s="12" t="s">
        <v>15</v>
      </c>
      <c r="G1154" s="12" t="s">
        <v>11</v>
      </c>
      <c r="H1154" s="12" t="s">
        <v>490</v>
      </c>
      <c r="I1154" s="14">
        <v>45301</v>
      </c>
      <c r="J1154" s="12" t="s">
        <v>491</v>
      </c>
    </row>
    <row r="1155" spans="1:10" s="15" customFormat="1" x14ac:dyDescent="0.15">
      <c r="A1155" s="11">
        <v>45303</v>
      </c>
      <c r="B1155" s="12" t="s">
        <v>14</v>
      </c>
      <c r="C1155" s="12" t="s">
        <v>14</v>
      </c>
      <c r="D1155" s="13" t="str">
        <f>HYPERLINK("https://www.marklines.com/en/global/3121","Honda Manufacturing of Alabama, LLC (HMA), Lincoln Plant")</f>
        <v>Honda Manufacturing of Alabama, LLC (HMA), Lincoln Plant</v>
      </c>
      <c r="E1155" s="12" t="s">
        <v>494</v>
      </c>
      <c r="F1155" s="12" t="s">
        <v>15</v>
      </c>
      <c r="G1155" s="12" t="s">
        <v>11</v>
      </c>
      <c r="H1155" s="12" t="s">
        <v>457</v>
      </c>
      <c r="I1155" s="14">
        <v>45301</v>
      </c>
      <c r="J1155" s="12" t="s">
        <v>491</v>
      </c>
    </row>
    <row r="1156" spans="1:10" s="15" customFormat="1" x14ac:dyDescent="0.15">
      <c r="A1156" s="11">
        <v>45303</v>
      </c>
      <c r="B1156" s="12" t="s">
        <v>14</v>
      </c>
      <c r="C1156" s="12" t="s">
        <v>14</v>
      </c>
      <c r="D1156" s="13" t="str">
        <f>HYPERLINK("https://www.marklines.com/en/global/3133","Honda Transmission Mfg. of America, Inc., Russells Point Plant")</f>
        <v>Honda Transmission Mfg. of America, Inc., Russells Point Plant</v>
      </c>
      <c r="E1156" s="12" t="s">
        <v>495</v>
      </c>
      <c r="F1156" s="12" t="s">
        <v>15</v>
      </c>
      <c r="G1156" s="12" t="s">
        <v>11</v>
      </c>
      <c r="H1156" s="12" t="s">
        <v>490</v>
      </c>
      <c r="I1156" s="14">
        <v>45301</v>
      </c>
      <c r="J1156" s="12" t="s">
        <v>491</v>
      </c>
    </row>
    <row r="1157" spans="1:10" s="15" customFormat="1" x14ac:dyDescent="0.15">
      <c r="A1157" s="11">
        <v>45303</v>
      </c>
      <c r="B1157" s="12" t="s">
        <v>14</v>
      </c>
      <c r="C1157" s="12" t="s">
        <v>14</v>
      </c>
      <c r="D1157" s="13" t="str">
        <f>HYPERLINK("https://www.marklines.com/en/global/3137","Honda Precision Parts of Georgia, LLC (HPPG), Tallapoosa Plant")</f>
        <v>Honda Precision Parts of Georgia, LLC (HPPG), Tallapoosa Plant</v>
      </c>
      <c r="E1157" s="12" t="s">
        <v>496</v>
      </c>
      <c r="F1157" s="12" t="s">
        <v>15</v>
      </c>
      <c r="G1157" s="12" t="s">
        <v>11</v>
      </c>
      <c r="H1157" s="12" t="s">
        <v>361</v>
      </c>
      <c r="I1157" s="14">
        <v>45301</v>
      </c>
      <c r="J1157" s="12" t="s">
        <v>491</v>
      </c>
    </row>
    <row r="1158" spans="1:10" s="15" customFormat="1" x14ac:dyDescent="0.15">
      <c r="A1158" s="11">
        <v>45303</v>
      </c>
      <c r="B1158" s="12" t="s">
        <v>14</v>
      </c>
      <c r="C1158" s="12" t="s">
        <v>14</v>
      </c>
      <c r="D1158" s="13" t="str">
        <f>HYPERLINK("https://www.marklines.com/en/global/3125","Honda of Canada Manufacturing, Honda Canada Inc., Alliston Plant")</f>
        <v>Honda of Canada Manufacturing, Honda Canada Inc., Alliston Plant</v>
      </c>
      <c r="E1158" s="12" t="s">
        <v>259</v>
      </c>
      <c r="F1158" s="12" t="s">
        <v>15</v>
      </c>
      <c r="G1158" s="12" t="s">
        <v>260</v>
      </c>
      <c r="H1158" s="12"/>
      <c r="I1158" s="14">
        <v>45301</v>
      </c>
      <c r="J1158" s="12" t="s">
        <v>491</v>
      </c>
    </row>
    <row r="1159" spans="1:10" s="15" customFormat="1" x14ac:dyDescent="0.15">
      <c r="A1159" s="11">
        <v>45303</v>
      </c>
      <c r="B1159" s="12" t="s">
        <v>14</v>
      </c>
      <c r="C1159" s="12" t="s">
        <v>14</v>
      </c>
      <c r="D1159" s="13" t="str">
        <f>HYPERLINK("https://www.marklines.com/en/global/3117","Honda Manufacturing of Indiana, LLC (HMIN), Greensburg Plant")</f>
        <v>Honda Manufacturing of Indiana, LLC (HMIN), Greensburg Plant</v>
      </c>
      <c r="E1159" s="12" t="s">
        <v>497</v>
      </c>
      <c r="F1159" s="12" t="s">
        <v>15</v>
      </c>
      <c r="G1159" s="12" t="s">
        <v>11</v>
      </c>
      <c r="H1159" s="12" t="s">
        <v>498</v>
      </c>
      <c r="I1159" s="14">
        <v>45301</v>
      </c>
      <c r="J1159" s="12" t="s">
        <v>491</v>
      </c>
    </row>
    <row r="1160" spans="1:10" s="15" customFormat="1" x14ac:dyDescent="0.15">
      <c r="A1160" s="11">
        <v>45303</v>
      </c>
      <c r="B1160" s="12" t="s">
        <v>28</v>
      </c>
      <c r="C1160" s="12" t="s">
        <v>43</v>
      </c>
      <c r="D1160" s="13" t="str">
        <f>HYPERLINK("https://www.marklines.com/en/global/1777","Audi Hungaria Zrt., Győr Plant (formerly Audi Hungaria Motor Kft.)")</f>
        <v>Audi Hungaria Zrt., Győr Plant (formerly Audi Hungaria Motor Kft.)</v>
      </c>
      <c r="E1160" s="12" t="s">
        <v>499</v>
      </c>
      <c r="F1160" s="12" t="s">
        <v>17</v>
      </c>
      <c r="G1160" s="12" t="s">
        <v>417</v>
      </c>
      <c r="H1160" s="12"/>
      <c r="I1160" s="14">
        <v>45299</v>
      </c>
      <c r="J1160" s="12" t="s">
        <v>500</v>
      </c>
    </row>
    <row r="1161" spans="1:10" s="15" customFormat="1" x14ac:dyDescent="0.15">
      <c r="A1161" s="11">
        <v>45302</v>
      </c>
      <c r="B1161" s="12" t="s">
        <v>12</v>
      </c>
      <c r="C1161" s="12" t="s">
        <v>179</v>
      </c>
      <c r="D1161" s="13" t="str">
        <f>HYPERLINK("https://www.marklines.com/en/global/10343","Turkey's Automobile Joint Venture Group Inc. (Togg)")</f>
        <v>Turkey's Automobile Joint Venture Group Inc. (Togg)</v>
      </c>
      <c r="E1161" s="12" t="s">
        <v>180</v>
      </c>
      <c r="F1161" s="12" t="s">
        <v>181</v>
      </c>
      <c r="G1161" s="12" t="s">
        <v>182</v>
      </c>
      <c r="H1161" s="12"/>
      <c r="I1161" s="14">
        <v>45302</v>
      </c>
      <c r="J1161" s="12" t="s">
        <v>183</v>
      </c>
    </row>
    <row r="1162" spans="1:10" s="15" customFormat="1" x14ac:dyDescent="0.15">
      <c r="A1162" s="11">
        <v>45302</v>
      </c>
      <c r="B1162" s="12" t="s">
        <v>12</v>
      </c>
      <c r="C1162" s="12" t="s">
        <v>179</v>
      </c>
      <c r="D1162" s="13" t="str">
        <f>HYPERLINK("https://www.marklines.com/en/global/10416","Togg Otomobil Fabrikası, Gemlik Plant")</f>
        <v>Togg Otomobil Fabrikası, Gemlik Plant</v>
      </c>
      <c r="E1162" s="12" t="s">
        <v>184</v>
      </c>
      <c r="F1162" s="12" t="s">
        <v>181</v>
      </c>
      <c r="G1162" s="12" t="s">
        <v>182</v>
      </c>
      <c r="H1162" s="12"/>
      <c r="I1162" s="14">
        <v>45302</v>
      </c>
      <c r="J1162" s="12" t="s">
        <v>183</v>
      </c>
    </row>
    <row r="1163" spans="1:10" s="15" customFormat="1" x14ac:dyDescent="0.15">
      <c r="A1163" s="11">
        <v>45302</v>
      </c>
      <c r="B1163" s="12" t="s">
        <v>28</v>
      </c>
      <c r="C1163" s="12" t="s">
        <v>43</v>
      </c>
      <c r="D1163" s="13" t="str">
        <f>HYPERLINK("https://www.marklines.com/en/global/1955","SEAT S.A., Martorell Plant")</f>
        <v>SEAT S.A., Martorell Plant</v>
      </c>
      <c r="E1163" s="12" t="s">
        <v>185</v>
      </c>
      <c r="F1163" s="12" t="s">
        <v>16</v>
      </c>
      <c r="G1163" s="12" t="s">
        <v>42</v>
      </c>
      <c r="H1163" s="12"/>
      <c r="I1163" s="14">
        <v>45301</v>
      </c>
      <c r="J1163" s="12" t="s">
        <v>186</v>
      </c>
    </row>
    <row r="1164" spans="1:10" s="15" customFormat="1" x14ac:dyDescent="0.15">
      <c r="A1164" s="11">
        <v>45302</v>
      </c>
      <c r="B1164" s="12" t="s">
        <v>28</v>
      </c>
      <c r="C1164" s="12" t="s">
        <v>187</v>
      </c>
      <c r="D1164" s="13" t="str">
        <f>HYPERLINK("https://www.marklines.com/en/global/1955","SEAT S.A., Martorell Plant")</f>
        <v>SEAT S.A., Martorell Plant</v>
      </c>
      <c r="E1164" s="12" t="s">
        <v>185</v>
      </c>
      <c r="F1164" s="12" t="s">
        <v>16</v>
      </c>
      <c r="G1164" s="12" t="s">
        <v>42</v>
      </c>
      <c r="H1164" s="12"/>
      <c r="I1164" s="14">
        <v>45301</v>
      </c>
      <c r="J1164" s="12" t="s">
        <v>186</v>
      </c>
    </row>
    <row r="1165" spans="1:10" s="15" customFormat="1" x14ac:dyDescent="0.15">
      <c r="A1165" s="11">
        <v>45302</v>
      </c>
      <c r="B1165" s="12" t="s">
        <v>28</v>
      </c>
      <c r="C1165" s="12" t="s">
        <v>105</v>
      </c>
      <c r="D1165" s="13" t="str">
        <f>HYPERLINK("https://www.marklines.com/en/global/1955","SEAT S.A., Martorell Plant")</f>
        <v>SEAT S.A., Martorell Plant</v>
      </c>
      <c r="E1165" s="12" t="s">
        <v>185</v>
      </c>
      <c r="F1165" s="12" t="s">
        <v>16</v>
      </c>
      <c r="G1165" s="12" t="s">
        <v>42</v>
      </c>
      <c r="H1165" s="12"/>
      <c r="I1165" s="14">
        <v>45301</v>
      </c>
      <c r="J1165" s="12" t="s">
        <v>186</v>
      </c>
    </row>
    <row r="1166" spans="1:10" s="15" customFormat="1" x14ac:dyDescent="0.15">
      <c r="A1166" s="11">
        <v>45302</v>
      </c>
      <c r="B1166" s="12" t="s">
        <v>19</v>
      </c>
      <c r="C1166" s="12" t="s">
        <v>19</v>
      </c>
      <c r="D1166" s="13" t="str">
        <f>HYPERLINK("https://www.marklines.com/en/global/373","Toyota Motor, Motomachi Plant")</f>
        <v>Toyota Motor, Motomachi Plant</v>
      </c>
      <c r="E1166" s="12" t="s">
        <v>188</v>
      </c>
      <c r="F1166" s="12" t="s">
        <v>18</v>
      </c>
      <c r="G1166" s="12" t="s">
        <v>20</v>
      </c>
      <c r="H1166" s="12" t="s">
        <v>189</v>
      </c>
      <c r="I1166" s="14">
        <v>45301</v>
      </c>
      <c r="J1166" s="12" t="s">
        <v>190</v>
      </c>
    </row>
    <row r="1167" spans="1:10" s="15" customFormat="1" x14ac:dyDescent="0.15">
      <c r="A1167" s="11">
        <v>45302</v>
      </c>
      <c r="B1167" s="12" t="s">
        <v>19</v>
      </c>
      <c r="C1167" s="12" t="s">
        <v>19</v>
      </c>
      <c r="D1167" s="13" t="str">
        <f>HYPERLINK("https://www.marklines.com/en/global/375","Toyota Motor, Takaoka Plant")</f>
        <v>Toyota Motor, Takaoka Plant</v>
      </c>
      <c r="E1167" s="12" t="s">
        <v>191</v>
      </c>
      <c r="F1167" s="12" t="s">
        <v>18</v>
      </c>
      <c r="G1167" s="12" t="s">
        <v>20</v>
      </c>
      <c r="H1167" s="12" t="s">
        <v>189</v>
      </c>
      <c r="I1167" s="14">
        <v>45301</v>
      </c>
      <c r="J1167" s="12" t="s">
        <v>190</v>
      </c>
    </row>
    <row r="1168" spans="1:10" s="15" customFormat="1" x14ac:dyDescent="0.15">
      <c r="A1168" s="11">
        <v>45302</v>
      </c>
      <c r="B1168" s="12" t="s">
        <v>19</v>
      </c>
      <c r="C1168" s="12" t="s">
        <v>19</v>
      </c>
      <c r="D1168" s="13" t="str">
        <f>HYPERLINK("https://www.marklines.com/en/global/381","Toyota Motor, Tahara Plant")</f>
        <v>Toyota Motor, Tahara Plant</v>
      </c>
      <c r="E1168" s="12" t="s">
        <v>192</v>
      </c>
      <c r="F1168" s="12" t="s">
        <v>18</v>
      </c>
      <c r="G1168" s="12" t="s">
        <v>20</v>
      </c>
      <c r="H1168" s="12" t="s">
        <v>189</v>
      </c>
      <c r="I1168" s="14">
        <v>45301</v>
      </c>
      <c r="J1168" s="12" t="s">
        <v>190</v>
      </c>
    </row>
    <row r="1169" spans="1:10" s="15" customFormat="1" x14ac:dyDescent="0.15">
      <c r="A1169" s="11">
        <v>45302</v>
      </c>
      <c r="B1169" s="12" t="s">
        <v>19</v>
      </c>
      <c r="C1169" s="12" t="s">
        <v>19</v>
      </c>
      <c r="D1169" s="13" t="str">
        <f>HYPERLINK("https://www.marklines.com/en/global/379","Toyota Motor, Tsutsumi Plant")</f>
        <v>Toyota Motor, Tsutsumi Plant</v>
      </c>
      <c r="E1169" s="12" t="s">
        <v>193</v>
      </c>
      <c r="F1169" s="12" t="s">
        <v>18</v>
      </c>
      <c r="G1169" s="12" t="s">
        <v>20</v>
      </c>
      <c r="H1169" s="12" t="s">
        <v>189</v>
      </c>
      <c r="I1169" s="14">
        <v>45301</v>
      </c>
      <c r="J1169" s="12" t="s">
        <v>190</v>
      </c>
    </row>
    <row r="1170" spans="1:10" s="15" customFormat="1" x14ac:dyDescent="0.15">
      <c r="A1170" s="11">
        <v>45302</v>
      </c>
      <c r="B1170" s="12" t="s">
        <v>19</v>
      </c>
      <c r="C1170" s="12" t="s">
        <v>19</v>
      </c>
      <c r="D1170" s="13" t="str">
        <f>HYPERLINK("https://www.marklines.com/en/global/420","Toyota Motor East Japan, Miyagi Ohira Plant")</f>
        <v>Toyota Motor East Japan, Miyagi Ohira Plant</v>
      </c>
      <c r="E1170" s="12" t="s">
        <v>194</v>
      </c>
      <c r="F1170" s="12" t="s">
        <v>18</v>
      </c>
      <c r="G1170" s="12" t="s">
        <v>20</v>
      </c>
      <c r="H1170" s="12" t="s">
        <v>195</v>
      </c>
      <c r="I1170" s="14">
        <v>45301</v>
      </c>
      <c r="J1170" s="12" t="s">
        <v>190</v>
      </c>
    </row>
    <row r="1171" spans="1:10" s="15" customFormat="1" x14ac:dyDescent="0.15">
      <c r="A1171" s="11">
        <v>45302</v>
      </c>
      <c r="B1171" s="12" t="s">
        <v>19</v>
      </c>
      <c r="C1171" s="12" t="s">
        <v>19</v>
      </c>
      <c r="D1171" s="13" t="str">
        <f>HYPERLINK("https://www.marklines.com/en/global/424","Toyota Motor East Japan, Iwate Plant")</f>
        <v>Toyota Motor East Japan, Iwate Plant</v>
      </c>
      <c r="E1171" s="12" t="s">
        <v>196</v>
      </c>
      <c r="F1171" s="12" t="s">
        <v>18</v>
      </c>
      <c r="G1171" s="12" t="s">
        <v>20</v>
      </c>
      <c r="H1171" s="12" t="s">
        <v>197</v>
      </c>
      <c r="I1171" s="14">
        <v>45301</v>
      </c>
      <c r="J1171" s="12" t="s">
        <v>190</v>
      </c>
    </row>
    <row r="1172" spans="1:10" s="15" customFormat="1" x14ac:dyDescent="0.15">
      <c r="A1172" s="11">
        <v>45302</v>
      </c>
      <c r="B1172" s="12" t="s">
        <v>19</v>
      </c>
      <c r="C1172" s="12" t="s">
        <v>19</v>
      </c>
      <c r="D1172" s="13" t="str">
        <f>HYPERLINK("https://www.marklines.com/en/global/393","Toyota Motor Kyushu, Miyata Plant")</f>
        <v>Toyota Motor Kyushu, Miyata Plant</v>
      </c>
      <c r="E1172" s="12" t="s">
        <v>198</v>
      </c>
      <c r="F1172" s="12" t="s">
        <v>18</v>
      </c>
      <c r="G1172" s="12" t="s">
        <v>20</v>
      </c>
      <c r="H1172" s="12" t="s">
        <v>199</v>
      </c>
      <c r="I1172" s="14">
        <v>45301</v>
      </c>
      <c r="J1172" s="12" t="s">
        <v>190</v>
      </c>
    </row>
    <row r="1173" spans="1:10" s="15" customFormat="1" x14ac:dyDescent="0.15">
      <c r="A1173" s="11">
        <v>45302</v>
      </c>
      <c r="B1173" s="12" t="s">
        <v>19</v>
      </c>
      <c r="C1173" s="12" t="s">
        <v>19</v>
      </c>
      <c r="D1173" s="13" t="str">
        <f>HYPERLINK("https://www.marklines.com/en/global/409","Toyota Auto Body, Fujimatsu Plant")</f>
        <v>Toyota Auto Body, Fujimatsu Plant</v>
      </c>
      <c r="E1173" s="12" t="s">
        <v>200</v>
      </c>
      <c r="F1173" s="12" t="s">
        <v>18</v>
      </c>
      <c r="G1173" s="12" t="s">
        <v>20</v>
      </c>
      <c r="H1173" s="12" t="s">
        <v>189</v>
      </c>
      <c r="I1173" s="14">
        <v>45301</v>
      </c>
      <c r="J1173" s="12" t="s">
        <v>190</v>
      </c>
    </row>
    <row r="1174" spans="1:10" s="15" customFormat="1" x14ac:dyDescent="0.15">
      <c r="A1174" s="11">
        <v>45302</v>
      </c>
      <c r="B1174" s="12" t="s">
        <v>19</v>
      </c>
      <c r="C1174" s="12" t="s">
        <v>19</v>
      </c>
      <c r="D1174" s="13" t="str">
        <f>HYPERLINK("https://www.marklines.com/en/global/411","Toyota Auto Body, Yoshiwara Plant")</f>
        <v>Toyota Auto Body, Yoshiwara Plant</v>
      </c>
      <c r="E1174" s="12" t="s">
        <v>201</v>
      </c>
      <c r="F1174" s="12" t="s">
        <v>18</v>
      </c>
      <c r="G1174" s="12" t="s">
        <v>20</v>
      </c>
      <c r="H1174" s="12" t="s">
        <v>189</v>
      </c>
      <c r="I1174" s="14">
        <v>45301</v>
      </c>
      <c r="J1174" s="12" t="s">
        <v>190</v>
      </c>
    </row>
    <row r="1175" spans="1:10" s="15" customFormat="1" x14ac:dyDescent="0.15">
      <c r="A1175" s="11">
        <v>45302</v>
      </c>
      <c r="B1175" s="12" t="s">
        <v>19</v>
      </c>
      <c r="C1175" s="12" t="s">
        <v>19</v>
      </c>
      <c r="D1175" s="13" t="str">
        <f>HYPERLINK("https://www.marklines.com/en/global/413","Toyota Auto Body, Inabe Plant")</f>
        <v>Toyota Auto Body, Inabe Plant</v>
      </c>
      <c r="E1175" s="12" t="s">
        <v>202</v>
      </c>
      <c r="F1175" s="12" t="s">
        <v>18</v>
      </c>
      <c r="G1175" s="12" t="s">
        <v>20</v>
      </c>
      <c r="H1175" s="12" t="s">
        <v>203</v>
      </c>
      <c r="I1175" s="14">
        <v>45301</v>
      </c>
      <c r="J1175" s="12" t="s">
        <v>190</v>
      </c>
    </row>
    <row r="1176" spans="1:10" s="15" customFormat="1" x14ac:dyDescent="0.15">
      <c r="A1176" s="11">
        <v>45302</v>
      </c>
      <c r="B1176" s="12" t="s">
        <v>19</v>
      </c>
      <c r="C1176" s="12" t="s">
        <v>19</v>
      </c>
      <c r="D1176" s="13" t="str">
        <f>HYPERLINK("https://www.marklines.com/en/global/417","Gifu Auto Body Co., Ltd., Honsha Plant")</f>
        <v>Gifu Auto Body Co., Ltd., Honsha Plant</v>
      </c>
      <c r="E1176" s="12" t="s">
        <v>204</v>
      </c>
      <c r="F1176" s="12" t="s">
        <v>18</v>
      </c>
      <c r="G1176" s="12" t="s">
        <v>20</v>
      </c>
      <c r="H1176" s="12" t="s">
        <v>205</v>
      </c>
      <c r="I1176" s="14">
        <v>45301</v>
      </c>
      <c r="J1176" s="12" t="s">
        <v>190</v>
      </c>
    </row>
    <row r="1177" spans="1:10" s="15" customFormat="1" x14ac:dyDescent="0.15">
      <c r="A1177" s="11">
        <v>45302</v>
      </c>
      <c r="B1177" s="12" t="s">
        <v>19</v>
      </c>
      <c r="C1177" s="12" t="s">
        <v>19</v>
      </c>
      <c r="D1177" s="13" t="str">
        <f>HYPERLINK("https://www.marklines.com/en/global/433","Toyota Industries Corporation, Nagakusa Plant")</f>
        <v>Toyota Industries Corporation, Nagakusa Plant</v>
      </c>
      <c r="E1177" s="12" t="s">
        <v>206</v>
      </c>
      <c r="F1177" s="12" t="s">
        <v>18</v>
      </c>
      <c r="G1177" s="12" t="s">
        <v>20</v>
      </c>
      <c r="H1177" s="12" t="s">
        <v>189</v>
      </c>
      <c r="I1177" s="14">
        <v>45301</v>
      </c>
      <c r="J1177" s="12" t="s">
        <v>190</v>
      </c>
    </row>
    <row r="1178" spans="1:10" s="15" customFormat="1" x14ac:dyDescent="0.15">
      <c r="A1178" s="11">
        <v>45302</v>
      </c>
      <c r="B1178" s="12" t="s">
        <v>27</v>
      </c>
      <c r="C1178" s="12" t="s">
        <v>27</v>
      </c>
      <c r="D1178" s="13" t="str">
        <f>HYPERLINK("https://www.marklines.com/en/global/2205","BMW AG, Munich Plant")</f>
        <v>BMW AG, Munich Plant</v>
      </c>
      <c r="E1178" s="12" t="s">
        <v>207</v>
      </c>
      <c r="F1178" s="12" t="s">
        <v>16</v>
      </c>
      <c r="G1178" s="12" t="s">
        <v>208</v>
      </c>
      <c r="H1178" s="12"/>
      <c r="I1178" s="14">
        <v>45301</v>
      </c>
      <c r="J1178" s="12" t="s">
        <v>209</v>
      </c>
    </row>
    <row r="1179" spans="1:10" s="15" customFormat="1" x14ac:dyDescent="0.15">
      <c r="A1179" s="11">
        <v>45302</v>
      </c>
      <c r="B1179" s="12" t="s">
        <v>210</v>
      </c>
      <c r="C1179" s="12" t="s">
        <v>210</v>
      </c>
      <c r="D1179" s="13" t="str">
        <f>HYPERLINK("https://www.marklines.com/en/global/1256","Suzuki Motor Gujarat Private Limited (SMG), Hansalpur plant")</f>
        <v>Suzuki Motor Gujarat Private Limited (SMG), Hansalpur plant</v>
      </c>
      <c r="E1179" s="12" t="s">
        <v>211</v>
      </c>
      <c r="F1179" s="12" t="s">
        <v>22</v>
      </c>
      <c r="G1179" s="12" t="s">
        <v>23</v>
      </c>
      <c r="H1179" s="12" t="s">
        <v>212</v>
      </c>
      <c r="I1179" s="14">
        <v>45301</v>
      </c>
      <c r="J1179" s="12" t="s">
        <v>213</v>
      </c>
    </row>
    <row r="1180" spans="1:10" s="15" customFormat="1" x14ac:dyDescent="0.15">
      <c r="A1180" s="11">
        <v>45302</v>
      </c>
      <c r="B1180" s="12" t="s">
        <v>210</v>
      </c>
      <c r="C1180" s="12" t="s">
        <v>210</v>
      </c>
      <c r="D1180" s="13" t="str">
        <f>HYPERLINK("https://www.marklines.com/en/global/1251","Maruti Suzuki India Ltd. (MSIL)")</f>
        <v>Maruti Suzuki India Ltd. (MSIL)</v>
      </c>
      <c r="E1180" s="12" t="s">
        <v>214</v>
      </c>
      <c r="F1180" s="12" t="s">
        <v>22</v>
      </c>
      <c r="G1180" s="12" t="s">
        <v>23</v>
      </c>
      <c r="H1180" s="12" t="s">
        <v>215</v>
      </c>
      <c r="I1180" s="14">
        <v>45301</v>
      </c>
      <c r="J1180" s="12" t="s">
        <v>213</v>
      </c>
    </row>
    <row r="1181" spans="1:10" s="15" customFormat="1" x14ac:dyDescent="0.15">
      <c r="A1181" s="11">
        <v>45302</v>
      </c>
      <c r="B1181" s="12" t="s">
        <v>34</v>
      </c>
      <c r="C1181" s="12" t="s">
        <v>34</v>
      </c>
      <c r="D1181" s="13" t="str">
        <f>HYPERLINK("https://www.marklines.com/en/global/709","former Hyundai Motor Manufacturing Russia (HMMR), Kamenka (St. Petersburg)  Plant")</f>
        <v>former Hyundai Motor Manufacturing Russia (HMMR), Kamenka (St. Petersburg)  Plant</v>
      </c>
      <c r="E1181" s="12" t="s">
        <v>98</v>
      </c>
      <c r="F1181" s="12" t="s">
        <v>17</v>
      </c>
      <c r="G1181" s="12" t="s">
        <v>13</v>
      </c>
      <c r="H1181" s="12"/>
      <c r="I1181" s="14">
        <v>45300</v>
      </c>
      <c r="J1181" s="12" t="s">
        <v>216</v>
      </c>
    </row>
    <row r="1182" spans="1:10" s="15" customFormat="1" x14ac:dyDescent="0.15">
      <c r="A1182" s="11">
        <v>45302</v>
      </c>
      <c r="B1182" s="12" t="s">
        <v>12</v>
      </c>
      <c r="C1182" s="12" t="s">
        <v>12</v>
      </c>
      <c r="D1182" s="13" t="str">
        <f>HYPERLINK("https://www.marklines.com/en/global/709","former Hyundai Motor Manufacturing Russia (HMMR), Kamenka (St. Petersburg)  Plant")</f>
        <v>former Hyundai Motor Manufacturing Russia (HMMR), Kamenka (St. Petersburg)  Plant</v>
      </c>
      <c r="E1182" s="12" t="s">
        <v>98</v>
      </c>
      <c r="F1182" s="12" t="s">
        <v>17</v>
      </c>
      <c r="G1182" s="12" t="s">
        <v>13</v>
      </c>
      <c r="H1182" s="12"/>
      <c r="I1182" s="14">
        <v>45300</v>
      </c>
      <c r="J1182" s="12" t="s">
        <v>216</v>
      </c>
    </row>
    <row r="1183" spans="1:10" s="15" customFormat="1" x14ac:dyDescent="0.15">
      <c r="A1183" s="11">
        <v>45302</v>
      </c>
      <c r="B1183" s="12" t="s">
        <v>50</v>
      </c>
      <c r="C1183" s="12" t="s">
        <v>50</v>
      </c>
      <c r="D1183" s="13" t="str">
        <f>HYPERLINK("https://www.marklines.com/en/global/10671","Tesla Gigafactory Mexico")</f>
        <v>Tesla Gigafactory Mexico</v>
      </c>
      <c r="E1183" s="12" t="s">
        <v>217</v>
      </c>
      <c r="F1183" s="12" t="s">
        <v>15</v>
      </c>
      <c r="G1183" s="12" t="s">
        <v>218</v>
      </c>
      <c r="H1183" s="12"/>
      <c r="I1183" s="14">
        <v>45300</v>
      </c>
      <c r="J1183" s="12" t="s">
        <v>219</v>
      </c>
    </row>
    <row r="1184" spans="1:10" s="15" customFormat="1" x14ac:dyDescent="0.15">
      <c r="A1184" s="11">
        <v>45302</v>
      </c>
      <c r="B1184" s="12" t="s">
        <v>50</v>
      </c>
      <c r="C1184" s="12" t="s">
        <v>50</v>
      </c>
      <c r="D1184" s="13" t="str">
        <f>HYPERLINK("https://www.marklines.com/en/global/9812","Tesla (Shanghai) Co., Ltd.")</f>
        <v>Tesla (Shanghai) Co., Ltd.</v>
      </c>
      <c r="E1184" s="12" t="s">
        <v>125</v>
      </c>
      <c r="F1184" s="12" t="s">
        <v>18</v>
      </c>
      <c r="G1184" s="12" t="s">
        <v>24</v>
      </c>
      <c r="H1184" s="12" t="s">
        <v>56</v>
      </c>
      <c r="I1184" s="14">
        <v>45300</v>
      </c>
      <c r="J1184" s="12" t="s">
        <v>220</v>
      </c>
    </row>
    <row r="1185" spans="1:10" s="15" customFormat="1" x14ac:dyDescent="0.15">
      <c r="A1185" s="11">
        <v>45302</v>
      </c>
      <c r="B1185" s="12" t="s">
        <v>50</v>
      </c>
      <c r="C1185" s="12" t="s">
        <v>50</v>
      </c>
      <c r="D1185" s="13" t="str">
        <f>HYPERLINK("https://www.marklines.com/en/global/3283","Tesla, Fremont Plant")</f>
        <v>Tesla, Fremont Plant</v>
      </c>
      <c r="E1185" s="12" t="s">
        <v>140</v>
      </c>
      <c r="F1185" s="12" t="s">
        <v>15</v>
      </c>
      <c r="G1185" s="12" t="s">
        <v>11</v>
      </c>
      <c r="H1185" s="12" t="s">
        <v>49</v>
      </c>
      <c r="I1185" s="14">
        <v>45300</v>
      </c>
      <c r="J1185" s="12" t="s">
        <v>220</v>
      </c>
    </row>
    <row r="1186" spans="1:10" s="15" customFormat="1" x14ac:dyDescent="0.15">
      <c r="A1186" s="11">
        <v>45302</v>
      </c>
      <c r="B1186" s="12" t="s">
        <v>65</v>
      </c>
      <c r="C1186" s="12" t="s">
        <v>221</v>
      </c>
      <c r="D1186" s="13" t="str">
        <f>HYPERLINK("https://www.marklines.com/en/global/9860","Zhejiang Geely Automobile Co., Ltd. Wuhan Branch")</f>
        <v>Zhejiang Geely Automobile Co., Ltd. Wuhan Branch</v>
      </c>
      <c r="E1186" s="12" t="s">
        <v>222</v>
      </c>
      <c r="F1186" s="12" t="s">
        <v>18</v>
      </c>
      <c r="G1186" s="12" t="s">
        <v>24</v>
      </c>
      <c r="H1186" s="12" t="s">
        <v>76</v>
      </c>
      <c r="I1186" s="14">
        <v>45299</v>
      </c>
      <c r="J1186" s="12" t="s">
        <v>223</v>
      </c>
    </row>
    <row r="1187" spans="1:10" s="15" customFormat="1" x14ac:dyDescent="0.15">
      <c r="A1187" s="11">
        <v>45302</v>
      </c>
      <c r="B1187" s="12" t="s">
        <v>224</v>
      </c>
      <c r="C1187" s="12" t="s">
        <v>225</v>
      </c>
      <c r="D1187" s="13" t="str">
        <f>HYPERLINK("https://www.marklines.com/en/global/589","Mitsubishi Fuso Bus Manufacturing Co., Ltd.")</f>
        <v>Mitsubishi Fuso Bus Manufacturing Co., Ltd.</v>
      </c>
      <c r="E1187" s="12" t="s">
        <v>226</v>
      </c>
      <c r="F1187" s="12" t="s">
        <v>18</v>
      </c>
      <c r="G1187" s="12" t="s">
        <v>20</v>
      </c>
      <c r="H1187" s="12" t="s">
        <v>227</v>
      </c>
      <c r="I1187" s="14">
        <v>45299</v>
      </c>
      <c r="J1187" s="12" t="s">
        <v>228</v>
      </c>
    </row>
    <row r="1188" spans="1:10" s="15" customFormat="1" x14ac:dyDescent="0.15">
      <c r="A1188" s="11">
        <v>45302</v>
      </c>
      <c r="B1188" s="12" t="s">
        <v>65</v>
      </c>
      <c r="C1188" s="12" t="s">
        <v>65</v>
      </c>
      <c r="D1188" s="13" t="str">
        <f>HYPERLINK("https://www.marklines.com/en/global/3807","Zhejiang Geely Holding Group Co., Ltd.")</f>
        <v>Zhejiang Geely Holding Group Co., Ltd.</v>
      </c>
      <c r="E1188" s="12" t="s">
        <v>229</v>
      </c>
      <c r="F1188" s="12" t="s">
        <v>18</v>
      </c>
      <c r="G1188" s="12" t="s">
        <v>24</v>
      </c>
      <c r="H1188" s="12" t="s">
        <v>61</v>
      </c>
      <c r="I1188" s="14">
        <v>45299</v>
      </c>
      <c r="J1188" s="12" t="s">
        <v>230</v>
      </c>
    </row>
    <row r="1189" spans="1:10" s="15" customFormat="1" x14ac:dyDescent="0.15">
      <c r="A1189" s="11">
        <v>45302</v>
      </c>
      <c r="B1189" s="12" t="s">
        <v>27</v>
      </c>
      <c r="C1189" s="12" t="s">
        <v>231</v>
      </c>
      <c r="D1189" s="13" t="str">
        <f>HYPERLINK("https://www.marklines.com/en/global/2373","Rolls-Royce Motor Cars Ltd.")</f>
        <v>Rolls-Royce Motor Cars Ltd.</v>
      </c>
      <c r="E1189" s="12" t="s">
        <v>232</v>
      </c>
      <c r="F1189" s="12" t="s">
        <v>16</v>
      </c>
      <c r="G1189" s="12" t="s">
        <v>233</v>
      </c>
      <c r="H1189" s="12"/>
      <c r="I1189" s="14">
        <v>45299</v>
      </c>
      <c r="J1189" s="12" t="s">
        <v>234</v>
      </c>
    </row>
    <row r="1190" spans="1:10" s="15" customFormat="1" x14ac:dyDescent="0.15">
      <c r="A1190" s="11">
        <v>45302</v>
      </c>
      <c r="B1190" s="12" t="s">
        <v>27</v>
      </c>
      <c r="C1190" s="12" t="s">
        <v>231</v>
      </c>
      <c r="D1190" s="13" t="str">
        <f>HYPERLINK("https://www.marklines.com/en/global/2375","Rolls-Royce Motor Cars, Goodwood Plant")</f>
        <v>Rolls-Royce Motor Cars, Goodwood Plant</v>
      </c>
      <c r="E1190" s="12" t="s">
        <v>235</v>
      </c>
      <c r="F1190" s="12" t="s">
        <v>16</v>
      </c>
      <c r="G1190" s="12" t="s">
        <v>233</v>
      </c>
      <c r="H1190" s="12"/>
      <c r="I1190" s="14">
        <v>45299</v>
      </c>
      <c r="J1190" s="12" t="s">
        <v>234</v>
      </c>
    </row>
    <row r="1191" spans="1:10" s="15" customFormat="1" x14ac:dyDescent="0.15">
      <c r="A1191" s="11">
        <v>45302</v>
      </c>
      <c r="B1191" s="12" t="s">
        <v>19</v>
      </c>
      <c r="C1191" s="12" t="s">
        <v>19</v>
      </c>
      <c r="D1191" s="13" t="str">
        <f>HYPERLINK("https://www.marklines.com/en/global/373","Toyota Motor, Motomachi Plant")</f>
        <v>Toyota Motor, Motomachi Plant</v>
      </c>
      <c r="E1191" s="12" t="s">
        <v>188</v>
      </c>
      <c r="F1191" s="12" t="s">
        <v>18</v>
      </c>
      <c r="G1191" s="12" t="s">
        <v>20</v>
      </c>
      <c r="H1191" s="12" t="s">
        <v>189</v>
      </c>
      <c r="I1191" s="14">
        <v>45298</v>
      </c>
      <c r="J1191" s="12" t="s">
        <v>236</v>
      </c>
    </row>
    <row r="1192" spans="1:10" s="15" customFormat="1" x14ac:dyDescent="0.15">
      <c r="A1192" s="11">
        <v>45302</v>
      </c>
      <c r="B1192" s="12" t="s">
        <v>19</v>
      </c>
      <c r="C1192" s="12" t="s">
        <v>19</v>
      </c>
      <c r="D1192" s="13" t="str">
        <f>HYPERLINK("https://www.marklines.com/en/global/375","Toyota Motor, Takaoka Plant")</f>
        <v>Toyota Motor, Takaoka Plant</v>
      </c>
      <c r="E1192" s="12" t="s">
        <v>191</v>
      </c>
      <c r="F1192" s="12" t="s">
        <v>18</v>
      </c>
      <c r="G1192" s="12" t="s">
        <v>20</v>
      </c>
      <c r="H1192" s="12" t="s">
        <v>189</v>
      </c>
      <c r="I1192" s="14">
        <v>45298</v>
      </c>
      <c r="J1192" s="12" t="s">
        <v>236</v>
      </c>
    </row>
    <row r="1193" spans="1:10" s="15" customFormat="1" x14ac:dyDescent="0.15">
      <c r="A1193" s="11">
        <v>45302</v>
      </c>
      <c r="B1193" s="12" t="s">
        <v>19</v>
      </c>
      <c r="C1193" s="12" t="s">
        <v>19</v>
      </c>
      <c r="D1193" s="13" t="str">
        <f>HYPERLINK("https://www.marklines.com/en/global/381","Toyota Motor, Tahara Plant")</f>
        <v>Toyota Motor, Tahara Plant</v>
      </c>
      <c r="E1193" s="12" t="s">
        <v>192</v>
      </c>
      <c r="F1193" s="12" t="s">
        <v>18</v>
      </c>
      <c r="G1193" s="12" t="s">
        <v>20</v>
      </c>
      <c r="H1193" s="12" t="s">
        <v>189</v>
      </c>
      <c r="I1193" s="14">
        <v>45298</v>
      </c>
      <c r="J1193" s="12" t="s">
        <v>236</v>
      </c>
    </row>
    <row r="1194" spans="1:10" s="15" customFormat="1" x14ac:dyDescent="0.15">
      <c r="A1194" s="11">
        <v>45302</v>
      </c>
      <c r="B1194" s="12" t="s">
        <v>19</v>
      </c>
      <c r="C1194" s="12" t="s">
        <v>19</v>
      </c>
      <c r="D1194" s="13" t="str">
        <f>HYPERLINK("https://www.marklines.com/en/global/379","Toyota Motor, Tsutsumi Plant")</f>
        <v>Toyota Motor, Tsutsumi Plant</v>
      </c>
      <c r="E1194" s="12" t="s">
        <v>193</v>
      </c>
      <c r="F1194" s="12" t="s">
        <v>18</v>
      </c>
      <c r="G1194" s="12" t="s">
        <v>20</v>
      </c>
      <c r="H1194" s="12" t="s">
        <v>189</v>
      </c>
      <c r="I1194" s="14">
        <v>45298</v>
      </c>
      <c r="J1194" s="12" t="s">
        <v>236</v>
      </c>
    </row>
    <row r="1195" spans="1:10" s="15" customFormat="1" x14ac:dyDescent="0.15">
      <c r="A1195" s="11">
        <v>45302</v>
      </c>
      <c r="B1195" s="12" t="s">
        <v>19</v>
      </c>
      <c r="C1195" s="12" t="s">
        <v>19</v>
      </c>
      <c r="D1195" s="13" t="str">
        <f>HYPERLINK("https://www.marklines.com/en/global/420","Toyota Motor East Japan, Miyagi Ohira Plant")</f>
        <v>Toyota Motor East Japan, Miyagi Ohira Plant</v>
      </c>
      <c r="E1195" s="12" t="s">
        <v>194</v>
      </c>
      <c r="F1195" s="12" t="s">
        <v>18</v>
      </c>
      <c r="G1195" s="12" t="s">
        <v>20</v>
      </c>
      <c r="H1195" s="12" t="s">
        <v>195</v>
      </c>
      <c r="I1195" s="14">
        <v>45298</v>
      </c>
      <c r="J1195" s="12" t="s">
        <v>236</v>
      </c>
    </row>
    <row r="1196" spans="1:10" s="15" customFormat="1" x14ac:dyDescent="0.15">
      <c r="A1196" s="11">
        <v>45302</v>
      </c>
      <c r="B1196" s="12" t="s">
        <v>19</v>
      </c>
      <c r="C1196" s="12" t="s">
        <v>19</v>
      </c>
      <c r="D1196" s="13" t="str">
        <f>HYPERLINK("https://www.marklines.com/en/global/424","Toyota Motor East Japan, Iwate Plant")</f>
        <v>Toyota Motor East Japan, Iwate Plant</v>
      </c>
      <c r="E1196" s="12" t="s">
        <v>196</v>
      </c>
      <c r="F1196" s="12" t="s">
        <v>18</v>
      </c>
      <c r="G1196" s="12" t="s">
        <v>20</v>
      </c>
      <c r="H1196" s="12" t="s">
        <v>197</v>
      </c>
      <c r="I1196" s="14">
        <v>45298</v>
      </c>
      <c r="J1196" s="12" t="s">
        <v>236</v>
      </c>
    </row>
    <row r="1197" spans="1:10" s="15" customFormat="1" x14ac:dyDescent="0.15">
      <c r="A1197" s="11">
        <v>45302</v>
      </c>
      <c r="B1197" s="12" t="s">
        <v>19</v>
      </c>
      <c r="C1197" s="12" t="s">
        <v>19</v>
      </c>
      <c r="D1197" s="13" t="str">
        <f>HYPERLINK("https://www.marklines.com/en/global/393","Toyota Motor Kyushu, Miyata Plant")</f>
        <v>Toyota Motor Kyushu, Miyata Plant</v>
      </c>
      <c r="E1197" s="12" t="s">
        <v>198</v>
      </c>
      <c r="F1197" s="12" t="s">
        <v>18</v>
      </c>
      <c r="G1197" s="12" t="s">
        <v>20</v>
      </c>
      <c r="H1197" s="12" t="s">
        <v>199</v>
      </c>
      <c r="I1197" s="14">
        <v>45298</v>
      </c>
      <c r="J1197" s="12" t="s">
        <v>236</v>
      </c>
    </row>
    <row r="1198" spans="1:10" s="15" customFormat="1" x14ac:dyDescent="0.15">
      <c r="A1198" s="11">
        <v>45302</v>
      </c>
      <c r="B1198" s="12" t="s">
        <v>19</v>
      </c>
      <c r="C1198" s="12" t="s">
        <v>19</v>
      </c>
      <c r="D1198" s="13" t="str">
        <f>HYPERLINK("https://www.marklines.com/en/global/409","Toyota Auto Body, Fujimatsu Plant")</f>
        <v>Toyota Auto Body, Fujimatsu Plant</v>
      </c>
      <c r="E1198" s="12" t="s">
        <v>200</v>
      </c>
      <c r="F1198" s="12" t="s">
        <v>18</v>
      </c>
      <c r="G1198" s="12" t="s">
        <v>20</v>
      </c>
      <c r="H1198" s="12" t="s">
        <v>189</v>
      </c>
      <c r="I1198" s="14">
        <v>45298</v>
      </c>
      <c r="J1198" s="12" t="s">
        <v>236</v>
      </c>
    </row>
    <row r="1199" spans="1:10" s="15" customFormat="1" x14ac:dyDescent="0.15">
      <c r="A1199" s="11">
        <v>45302</v>
      </c>
      <c r="B1199" s="12" t="s">
        <v>19</v>
      </c>
      <c r="C1199" s="12" t="s">
        <v>19</v>
      </c>
      <c r="D1199" s="13" t="str">
        <f>HYPERLINK("https://www.marklines.com/en/global/411","Toyota Auto Body, Yoshiwara Plant")</f>
        <v>Toyota Auto Body, Yoshiwara Plant</v>
      </c>
      <c r="E1199" s="12" t="s">
        <v>201</v>
      </c>
      <c r="F1199" s="12" t="s">
        <v>18</v>
      </c>
      <c r="G1199" s="12" t="s">
        <v>20</v>
      </c>
      <c r="H1199" s="12" t="s">
        <v>189</v>
      </c>
      <c r="I1199" s="14">
        <v>45298</v>
      </c>
      <c r="J1199" s="12" t="s">
        <v>236</v>
      </c>
    </row>
    <row r="1200" spans="1:10" s="15" customFormat="1" x14ac:dyDescent="0.15">
      <c r="A1200" s="11">
        <v>45302</v>
      </c>
      <c r="B1200" s="12" t="s">
        <v>19</v>
      </c>
      <c r="C1200" s="12" t="s">
        <v>19</v>
      </c>
      <c r="D1200" s="13" t="str">
        <f>HYPERLINK("https://www.marklines.com/en/global/413","Toyota Auto Body, Inabe Plant")</f>
        <v>Toyota Auto Body, Inabe Plant</v>
      </c>
      <c r="E1200" s="12" t="s">
        <v>202</v>
      </c>
      <c r="F1200" s="12" t="s">
        <v>18</v>
      </c>
      <c r="G1200" s="12" t="s">
        <v>20</v>
      </c>
      <c r="H1200" s="12" t="s">
        <v>203</v>
      </c>
      <c r="I1200" s="14">
        <v>45298</v>
      </c>
      <c r="J1200" s="12" t="s">
        <v>236</v>
      </c>
    </row>
    <row r="1201" spans="1:10" s="15" customFormat="1" x14ac:dyDescent="0.15">
      <c r="A1201" s="11">
        <v>45302</v>
      </c>
      <c r="B1201" s="12" t="s">
        <v>19</v>
      </c>
      <c r="C1201" s="12" t="s">
        <v>19</v>
      </c>
      <c r="D1201" s="13" t="str">
        <f>HYPERLINK("https://www.marklines.com/en/global/417","Gifu Auto Body Co., Ltd., Honsha Plant")</f>
        <v>Gifu Auto Body Co., Ltd., Honsha Plant</v>
      </c>
      <c r="E1201" s="12" t="s">
        <v>204</v>
      </c>
      <c r="F1201" s="12" t="s">
        <v>18</v>
      </c>
      <c r="G1201" s="12" t="s">
        <v>20</v>
      </c>
      <c r="H1201" s="12" t="s">
        <v>205</v>
      </c>
      <c r="I1201" s="14">
        <v>45298</v>
      </c>
      <c r="J1201" s="12" t="s">
        <v>236</v>
      </c>
    </row>
    <row r="1202" spans="1:10" s="15" customFormat="1" x14ac:dyDescent="0.15">
      <c r="A1202" s="11">
        <v>45302</v>
      </c>
      <c r="B1202" s="12" t="s">
        <v>19</v>
      </c>
      <c r="C1202" s="12" t="s">
        <v>19</v>
      </c>
      <c r="D1202" s="13" t="str">
        <f>HYPERLINK("https://www.marklines.com/en/global/433","Toyota Industries Corporation, Nagakusa Plant")</f>
        <v>Toyota Industries Corporation, Nagakusa Plant</v>
      </c>
      <c r="E1202" s="12" t="s">
        <v>206</v>
      </c>
      <c r="F1202" s="12" t="s">
        <v>18</v>
      </c>
      <c r="G1202" s="12" t="s">
        <v>20</v>
      </c>
      <c r="H1202" s="12" t="s">
        <v>189</v>
      </c>
      <c r="I1202" s="14">
        <v>45298</v>
      </c>
      <c r="J1202" s="12" t="s">
        <v>236</v>
      </c>
    </row>
    <row r="1203" spans="1:10" s="15" customFormat="1" x14ac:dyDescent="0.15">
      <c r="A1203" s="11">
        <v>45302</v>
      </c>
      <c r="B1203" s="12" t="s">
        <v>237</v>
      </c>
      <c r="C1203" s="12" t="s">
        <v>237</v>
      </c>
      <c r="D1203" s="13" t="str">
        <f>HYPERLINK("https://www.marklines.com/en/global/3971","Dongfeng Motor Corporation ")</f>
        <v xml:space="preserve">Dongfeng Motor Corporation </v>
      </c>
      <c r="E1203" s="12" t="s">
        <v>238</v>
      </c>
      <c r="F1203" s="12" t="s">
        <v>18</v>
      </c>
      <c r="G1203" s="12" t="s">
        <v>24</v>
      </c>
      <c r="H1203" s="12" t="s">
        <v>76</v>
      </c>
      <c r="I1203" s="14">
        <v>45297</v>
      </c>
      <c r="J1203" s="12" t="s">
        <v>239</v>
      </c>
    </row>
    <row r="1204" spans="1:10" s="15" customFormat="1" x14ac:dyDescent="0.15">
      <c r="A1204" s="11">
        <v>45302</v>
      </c>
      <c r="B1204" s="12" t="s">
        <v>240</v>
      </c>
      <c r="C1204" s="12" t="s">
        <v>241</v>
      </c>
      <c r="D1204" s="13" t="str">
        <f>HYPERLINK("https://www.marklines.com/en/global/899","Kenworth Mexicana, S.A. de C.V., Mexicali Plant")</f>
        <v>Kenworth Mexicana, S.A. de C.V., Mexicali Plant</v>
      </c>
      <c r="E1204" s="12" t="s">
        <v>242</v>
      </c>
      <c r="F1204" s="12" t="s">
        <v>15</v>
      </c>
      <c r="G1204" s="12" t="s">
        <v>218</v>
      </c>
      <c r="H1204" s="12"/>
      <c r="I1204" s="14">
        <v>45296</v>
      </c>
      <c r="J1204" s="12" t="s">
        <v>243</v>
      </c>
    </row>
    <row r="1205" spans="1:10" s="15" customFormat="1" x14ac:dyDescent="0.15">
      <c r="A1205" s="11">
        <v>45302</v>
      </c>
      <c r="B1205" s="12" t="s">
        <v>12</v>
      </c>
      <c r="C1205" s="12" t="s">
        <v>244</v>
      </c>
      <c r="D1205" s="13" t="str">
        <f>HYPERLINK("https://www.marklines.com/en/global/1439","Temsa Transportation Vehicles Sanayi Ve Ticaret Anonim Sirketi (Formerly Temsa Termomekanik Sanayi ve Ticaret A.S.)")</f>
        <v>Temsa Transportation Vehicles Sanayi Ve Ticaret Anonim Sirketi (Formerly Temsa Termomekanik Sanayi ve Ticaret A.S.)</v>
      </c>
      <c r="E1205" s="12" t="s">
        <v>245</v>
      </c>
      <c r="F1205" s="12" t="s">
        <v>181</v>
      </c>
      <c r="G1205" s="12" t="s">
        <v>182</v>
      </c>
      <c r="H1205" s="12"/>
      <c r="I1205" s="14">
        <v>45295</v>
      </c>
      <c r="J1205" s="12" t="s">
        <v>246</v>
      </c>
    </row>
    <row r="1206" spans="1:10" s="15" customFormat="1" x14ac:dyDescent="0.15">
      <c r="A1206" s="11">
        <v>45302</v>
      </c>
      <c r="B1206" s="12" t="s">
        <v>12</v>
      </c>
      <c r="C1206" s="12" t="s">
        <v>244</v>
      </c>
      <c r="D1206" s="13" t="str">
        <f>HYPERLINK("https://www.marklines.com/en/global/1440","Temsa Transportation Vehicles, Adana Plant (Formerly Temsa Termomekanik, Adana Plant)")</f>
        <v>Temsa Transportation Vehicles, Adana Plant (Formerly Temsa Termomekanik, Adana Plant)</v>
      </c>
      <c r="E1206" s="12" t="s">
        <v>247</v>
      </c>
      <c r="F1206" s="12" t="s">
        <v>181</v>
      </c>
      <c r="G1206" s="12" t="s">
        <v>182</v>
      </c>
      <c r="H1206" s="12"/>
      <c r="I1206" s="14">
        <v>45295</v>
      </c>
      <c r="J1206" s="12" t="s">
        <v>246</v>
      </c>
    </row>
    <row r="1207" spans="1:10" s="15" customFormat="1" x14ac:dyDescent="0.15">
      <c r="A1207" s="11">
        <v>45301</v>
      </c>
      <c r="B1207" s="12" t="s">
        <v>248</v>
      </c>
      <c r="C1207" s="12" t="s">
        <v>249</v>
      </c>
      <c r="D1207" s="13" t="str">
        <f>HYPERLINK("https://www.marklines.com/en/global/1159","MG Motor India Pvt. Ltd., Panchmahal (Halol) Plant (former General Motors India)")</f>
        <v>MG Motor India Pvt. Ltd., Panchmahal (Halol) Plant (former General Motors India)</v>
      </c>
      <c r="E1207" s="12" t="s">
        <v>250</v>
      </c>
      <c r="F1207" s="12" t="s">
        <v>22</v>
      </c>
      <c r="G1207" s="12" t="s">
        <v>23</v>
      </c>
      <c r="H1207" s="12" t="s">
        <v>212</v>
      </c>
      <c r="I1207" s="14">
        <v>45301</v>
      </c>
      <c r="J1207" s="12" t="s">
        <v>251</v>
      </c>
    </row>
    <row r="1208" spans="1:10" s="15" customFormat="1" x14ac:dyDescent="0.15">
      <c r="A1208" s="11">
        <v>45301</v>
      </c>
      <c r="B1208" s="12" t="s">
        <v>252</v>
      </c>
      <c r="C1208" s="12" t="s">
        <v>252</v>
      </c>
      <c r="D1208" s="13" t="str">
        <f>HYPERLINK("https://www.marklines.com/en/global/1089","Renault Nissan Automotive India (RNAIPL), Oragadam (Chennai) Plant")</f>
        <v>Renault Nissan Automotive India (RNAIPL), Oragadam (Chennai) Plant</v>
      </c>
      <c r="E1208" s="12" t="s">
        <v>253</v>
      </c>
      <c r="F1208" s="12" t="s">
        <v>22</v>
      </c>
      <c r="G1208" s="12" t="s">
        <v>23</v>
      </c>
      <c r="H1208" s="12" t="s">
        <v>254</v>
      </c>
      <c r="I1208" s="14">
        <v>45300</v>
      </c>
      <c r="J1208" s="12" t="s">
        <v>255</v>
      </c>
    </row>
    <row r="1209" spans="1:10" s="15" customFormat="1" x14ac:dyDescent="0.15">
      <c r="A1209" s="11">
        <v>45301</v>
      </c>
      <c r="B1209" s="12" t="s">
        <v>12</v>
      </c>
      <c r="C1209" s="12" t="s">
        <v>12</v>
      </c>
      <c r="D1209" s="13" t="str">
        <f>HYPERLINK("https://www.marklines.com/en/global/10366","Sazgar Engineeringworks Ltd., Kasur, Punjab Car Plant")</f>
        <v>Sazgar Engineeringworks Ltd., Kasur, Punjab Car Plant</v>
      </c>
      <c r="E1209" s="12" t="s">
        <v>256</v>
      </c>
      <c r="F1209" s="12" t="s">
        <v>22</v>
      </c>
      <c r="G1209" s="12" t="s">
        <v>257</v>
      </c>
      <c r="H1209" s="12"/>
      <c r="I1209" s="14">
        <v>45300</v>
      </c>
      <c r="J1209" s="12" t="s">
        <v>258</v>
      </c>
    </row>
    <row r="1210" spans="1:10" s="15" customFormat="1" x14ac:dyDescent="0.15">
      <c r="A1210" s="11">
        <v>45301</v>
      </c>
      <c r="B1210" s="12" t="s">
        <v>14</v>
      </c>
      <c r="C1210" s="12" t="s">
        <v>14</v>
      </c>
      <c r="D1210" s="13" t="str">
        <f>HYPERLINK("https://www.marklines.com/en/global/3125","Honda of Canada Manufacturing, Honda Canada Inc., Alliston Plant")</f>
        <v>Honda of Canada Manufacturing, Honda Canada Inc., Alliston Plant</v>
      </c>
      <c r="E1210" s="12" t="s">
        <v>259</v>
      </c>
      <c r="F1210" s="12" t="s">
        <v>15</v>
      </c>
      <c r="G1210" s="12" t="s">
        <v>260</v>
      </c>
      <c r="H1210" s="12"/>
      <c r="I1210" s="14">
        <v>45299</v>
      </c>
      <c r="J1210" s="12" t="s">
        <v>261</v>
      </c>
    </row>
    <row r="1211" spans="1:10" s="15" customFormat="1" x14ac:dyDescent="0.15">
      <c r="A1211" s="11">
        <v>45301</v>
      </c>
      <c r="B1211" s="12" t="s">
        <v>237</v>
      </c>
      <c r="C1211" s="12" t="s">
        <v>262</v>
      </c>
      <c r="D1211" s="13" t="str">
        <f>HYPERLINK("https://www.marklines.com/en/global/10725","Dongfeng Automobile Nammi Technology (Xiangyang) Co., Ltd. (formerly Dongfeng Automobile Nano Technology (Xiangyang) Co., Ltd.) ")</f>
        <v xml:space="preserve">Dongfeng Automobile Nammi Technology (Xiangyang) Co., Ltd. (formerly Dongfeng Automobile Nano Technology (Xiangyang) Co., Ltd.) </v>
      </c>
      <c r="E1211" s="12" t="s">
        <v>263</v>
      </c>
      <c r="F1211" s="12" t="s">
        <v>18</v>
      </c>
      <c r="G1211" s="12" t="s">
        <v>24</v>
      </c>
      <c r="H1211" s="12" t="s">
        <v>76</v>
      </c>
      <c r="I1211" s="14">
        <v>45298</v>
      </c>
      <c r="J1211" s="12" t="s">
        <v>264</v>
      </c>
    </row>
    <row r="1212" spans="1:10" s="15" customFormat="1" x14ac:dyDescent="0.15">
      <c r="A1212" s="11">
        <v>45301</v>
      </c>
      <c r="B1212" s="12" t="s">
        <v>65</v>
      </c>
      <c r="C1212" s="12" t="s">
        <v>265</v>
      </c>
      <c r="D1212" s="13" t="str">
        <f>HYPERLINK("https://www.marklines.com/en/global/9811","Zhejiang Geely Automobile Co., Ltd. Hangzhou Branch")</f>
        <v>Zhejiang Geely Automobile Co., Ltd. Hangzhou Branch</v>
      </c>
      <c r="E1212" s="12" t="s">
        <v>266</v>
      </c>
      <c r="F1212" s="12" t="s">
        <v>18</v>
      </c>
      <c r="G1212" s="12" t="s">
        <v>24</v>
      </c>
      <c r="H1212" s="12" t="s">
        <v>61</v>
      </c>
      <c r="I1212" s="14">
        <v>45297</v>
      </c>
      <c r="J1212" s="12" t="s">
        <v>267</v>
      </c>
    </row>
    <row r="1213" spans="1:10" s="15" customFormat="1" x14ac:dyDescent="0.15">
      <c r="A1213" s="11">
        <v>45301</v>
      </c>
      <c r="B1213" s="12" t="s">
        <v>268</v>
      </c>
      <c r="C1213" s="12" t="s">
        <v>268</v>
      </c>
      <c r="D1213" s="13" t="str">
        <f>HYPERLINK("https://www.marklines.com/en/global/10356","Anhui Jianghuai Automobile Group Co., Ltd. Car Branch")</f>
        <v>Anhui Jianghuai Automobile Group Co., Ltd. Car Branch</v>
      </c>
      <c r="E1213" s="12" t="s">
        <v>269</v>
      </c>
      <c r="F1213" s="12" t="s">
        <v>18</v>
      </c>
      <c r="G1213" s="12" t="s">
        <v>24</v>
      </c>
      <c r="H1213" s="12" t="s">
        <v>55</v>
      </c>
      <c r="I1213" s="14">
        <v>45296</v>
      </c>
      <c r="J1213" s="12" t="s">
        <v>270</v>
      </c>
    </row>
    <row r="1214" spans="1:10" s="15" customFormat="1" x14ac:dyDescent="0.15">
      <c r="A1214" s="11">
        <v>45300</v>
      </c>
      <c r="B1214" s="12" t="s">
        <v>86</v>
      </c>
      <c r="C1214" s="12" t="s">
        <v>86</v>
      </c>
      <c r="D1214" s="13" t="str">
        <f>HYPERLINK("https://www.marklines.com/en/global/10385","Sokolnichesky Carriage Repair and Construction Plant (SVARZ)")</f>
        <v>Sokolnichesky Carriage Repair and Construction Plant (SVARZ)</v>
      </c>
      <c r="E1214" s="12" t="s">
        <v>123</v>
      </c>
      <c r="F1214" s="12" t="s">
        <v>17</v>
      </c>
      <c r="G1214" s="12" t="s">
        <v>13</v>
      </c>
      <c r="H1214" s="12"/>
      <c r="I1214" s="14">
        <v>45300</v>
      </c>
      <c r="J1214" s="12" t="s">
        <v>271</v>
      </c>
    </row>
    <row r="1215" spans="1:10" s="15" customFormat="1" x14ac:dyDescent="0.15">
      <c r="A1215" s="11">
        <v>45300</v>
      </c>
      <c r="B1215" s="12" t="s">
        <v>86</v>
      </c>
      <c r="C1215" s="12" t="s">
        <v>86</v>
      </c>
      <c r="D1215" s="13" t="str">
        <f>HYPERLINK("https://www.marklines.com/en/global/741","Trucks Vostok Rus LLC (TVR), Naberezhnye Chelny Plant (formerly OOO Daimler Kamaz Rus (DK Rus), OOO Mercedes-Benz Trucks Vostok) ")</f>
        <v xml:space="preserve">Trucks Vostok Rus LLC (TVR), Naberezhnye Chelny Plant (formerly OOO Daimler Kamaz Rus (DK Rus), OOO Mercedes-Benz Trucks Vostok) </v>
      </c>
      <c r="E1215" s="12" t="s">
        <v>122</v>
      </c>
      <c r="F1215" s="12" t="s">
        <v>17</v>
      </c>
      <c r="G1215" s="12" t="s">
        <v>13</v>
      </c>
      <c r="H1215" s="12"/>
      <c r="I1215" s="14">
        <v>45300</v>
      </c>
      <c r="J1215" s="12" t="s">
        <v>271</v>
      </c>
    </row>
    <row r="1216" spans="1:10" s="15" customFormat="1" x14ac:dyDescent="0.15">
      <c r="A1216" s="11">
        <v>45300</v>
      </c>
      <c r="B1216" s="12" t="s">
        <v>86</v>
      </c>
      <c r="C1216" s="12" t="s">
        <v>86</v>
      </c>
      <c r="D1216" s="13" t="str">
        <f>HYPERLINK("https://www.marklines.com/en/global/9057","Neftekamsk Motor Plant OJSC (OAO Neftekamskij avtozavod (NefAZ))")</f>
        <v>Neftekamsk Motor Plant OJSC (OAO Neftekamskij avtozavod (NefAZ))</v>
      </c>
      <c r="E1216" s="12" t="s">
        <v>88</v>
      </c>
      <c r="F1216" s="12" t="s">
        <v>17</v>
      </c>
      <c r="G1216" s="12" t="s">
        <v>13</v>
      </c>
      <c r="H1216" s="12"/>
      <c r="I1216" s="14">
        <v>45300</v>
      </c>
      <c r="J1216" s="12" t="s">
        <v>271</v>
      </c>
    </row>
    <row r="1217" spans="1:10" s="15" customFormat="1" x14ac:dyDescent="0.15">
      <c r="A1217" s="11">
        <v>45300</v>
      </c>
      <c r="B1217" s="12" t="s">
        <v>86</v>
      </c>
      <c r="C1217" s="12" t="s">
        <v>86</v>
      </c>
      <c r="D1217" s="13" t="str">
        <f>HYPERLINK("https://www.marklines.com/en/global/737","Kamaz, Naberezhnye Chelny Plant")</f>
        <v>Kamaz, Naberezhnye Chelny Plant</v>
      </c>
      <c r="E1217" s="12" t="s">
        <v>87</v>
      </c>
      <c r="F1217" s="12" t="s">
        <v>17</v>
      </c>
      <c r="G1217" s="12" t="s">
        <v>13</v>
      </c>
      <c r="H1217" s="12"/>
      <c r="I1217" s="14">
        <v>45300</v>
      </c>
      <c r="J1217" s="12" t="s">
        <v>271</v>
      </c>
    </row>
    <row r="1218" spans="1:10" s="15" customFormat="1" x14ac:dyDescent="0.15">
      <c r="A1218" s="11">
        <v>45300</v>
      </c>
      <c r="B1218" s="12" t="s">
        <v>86</v>
      </c>
      <c r="C1218" s="12" t="s">
        <v>86</v>
      </c>
      <c r="D1218" s="13" t="str">
        <f>HYPERLINK("https://www.marklines.com/en/global/8718","Trucks Vostok Rus LLC (TVR), Naberezhnye Chelny Plant (for FUSO trucks) (formerly OOO Daimler Kamaz Rus (DK Rus), OOO Fuso KAMAZ Trucks Rus)")</f>
        <v>Trucks Vostok Rus LLC (TVR), Naberezhnye Chelny Plant (for FUSO trucks) (formerly OOO Daimler Kamaz Rus (DK Rus), OOO Fuso KAMAZ Trucks Rus)</v>
      </c>
      <c r="E1218" s="12" t="s">
        <v>121</v>
      </c>
      <c r="F1218" s="12" t="s">
        <v>17</v>
      </c>
      <c r="G1218" s="12" t="s">
        <v>13</v>
      </c>
      <c r="H1218" s="12"/>
      <c r="I1218" s="14">
        <v>45300</v>
      </c>
      <c r="J1218" s="12" t="s">
        <v>271</v>
      </c>
    </row>
    <row r="1219" spans="1:10" s="15" customFormat="1" x14ac:dyDescent="0.15">
      <c r="A1219" s="11">
        <v>45300</v>
      </c>
      <c r="B1219" s="12" t="s">
        <v>28</v>
      </c>
      <c r="C1219" s="12" t="s">
        <v>35</v>
      </c>
      <c r="D1219" s="13" t="str">
        <f>HYPERLINK("https://www.marklines.com/en/global/2267","Volkswagen AG, Emden Plant")</f>
        <v>Volkswagen AG, Emden Plant</v>
      </c>
      <c r="E1219" s="12" t="s">
        <v>272</v>
      </c>
      <c r="F1219" s="12" t="s">
        <v>16</v>
      </c>
      <c r="G1219" s="12" t="s">
        <v>208</v>
      </c>
      <c r="H1219" s="12"/>
      <c r="I1219" s="14">
        <v>45299</v>
      </c>
      <c r="J1219" s="12" t="s">
        <v>273</v>
      </c>
    </row>
    <row r="1220" spans="1:10" s="15" customFormat="1" x14ac:dyDescent="0.15">
      <c r="A1220" s="11">
        <v>45300</v>
      </c>
      <c r="B1220" s="12" t="s">
        <v>34</v>
      </c>
      <c r="C1220" s="12" t="s">
        <v>34</v>
      </c>
      <c r="D1220" s="13" t="str">
        <f>HYPERLINK("https://www.marklines.com/en/global/1177","Hyundai Motor India (HMIL), Chennai Plant")</f>
        <v>Hyundai Motor India (HMIL), Chennai Plant</v>
      </c>
      <c r="E1220" s="12" t="s">
        <v>274</v>
      </c>
      <c r="F1220" s="12" t="s">
        <v>22</v>
      </c>
      <c r="G1220" s="12" t="s">
        <v>23</v>
      </c>
      <c r="H1220" s="12" t="s">
        <v>254</v>
      </c>
      <c r="I1220" s="14">
        <v>45299</v>
      </c>
      <c r="J1220" s="12" t="s">
        <v>275</v>
      </c>
    </row>
    <row r="1221" spans="1:10" s="15" customFormat="1" x14ac:dyDescent="0.15">
      <c r="A1221" s="11">
        <v>45300</v>
      </c>
      <c r="B1221" s="12" t="s">
        <v>14</v>
      </c>
      <c r="C1221" s="12" t="s">
        <v>14</v>
      </c>
      <c r="D1221" s="13" t="str">
        <f>HYPERLINK("https://www.marklines.com/en/global/3125","Honda of Canada Manufacturing, Honda Canada Inc., Alliston Plant")</f>
        <v>Honda of Canada Manufacturing, Honda Canada Inc., Alliston Plant</v>
      </c>
      <c r="E1221" s="12" t="s">
        <v>259</v>
      </c>
      <c r="F1221" s="12" t="s">
        <v>15</v>
      </c>
      <c r="G1221" s="12" t="s">
        <v>260</v>
      </c>
      <c r="H1221" s="12"/>
      <c r="I1221" s="14">
        <v>45298</v>
      </c>
      <c r="J1221" s="12" t="s">
        <v>276</v>
      </c>
    </row>
    <row r="1222" spans="1:10" s="15" customFormat="1" x14ac:dyDescent="0.15">
      <c r="A1222" s="11">
        <v>45300</v>
      </c>
      <c r="B1222" s="12" t="s">
        <v>36</v>
      </c>
      <c r="C1222" s="12" t="s">
        <v>277</v>
      </c>
      <c r="D1222" s="13" t="str">
        <f>HYPERLINK("https://www.marklines.com/en/global/1323","Stellantis, FCA Italy, Cassino Plant")</f>
        <v>Stellantis, FCA Italy, Cassino Plant</v>
      </c>
      <c r="E1222" s="12" t="s">
        <v>278</v>
      </c>
      <c r="F1222" s="12" t="s">
        <v>16</v>
      </c>
      <c r="G1222" s="12" t="s">
        <v>37</v>
      </c>
      <c r="H1222" s="12"/>
      <c r="I1222" s="14">
        <v>45296</v>
      </c>
      <c r="J1222" s="12" t="s">
        <v>279</v>
      </c>
    </row>
    <row r="1223" spans="1:10" s="15" customFormat="1" x14ac:dyDescent="0.15">
      <c r="A1223" s="11">
        <v>45300</v>
      </c>
      <c r="B1223" s="12" t="s">
        <v>36</v>
      </c>
      <c r="C1223" s="12" t="s">
        <v>81</v>
      </c>
      <c r="D1223" s="13" t="str">
        <f>HYPERLINK("https://www.marklines.com/en/global/1361","Stellantis, Maserati S.p.A., Modena Plant")</f>
        <v>Stellantis, Maserati S.p.A., Modena Plant</v>
      </c>
      <c r="E1223" s="12" t="s">
        <v>280</v>
      </c>
      <c r="F1223" s="12" t="s">
        <v>16</v>
      </c>
      <c r="G1223" s="12" t="s">
        <v>37</v>
      </c>
      <c r="H1223" s="12"/>
      <c r="I1223" s="14">
        <v>45296</v>
      </c>
      <c r="J1223" s="12" t="s">
        <v>279</v>
      </c>
    </row>
    <row r="1224" spans="1:10" s="15" customFormat="1" x14ac:dyDescent="0.15">
      <c r="A1224" s="11">
        <v>45300</v>
      </c>
      <c r="B1224" s="12" t="s">
        <v>36</v>
      </c>
      <c r="C1224" s="12" t="s">
        <v>81</v>
      </c>
      <c r="D1224" s="13" t="str">
        <f>HYPERLINK("https://www.marklines.com/en/global/1327","Stellantis, FCA Italy, Mirafiori (Turin) Plant")</f>
        <v>Stellantis, FCA Italy, Mirafiori (Turin) Plant</v>
      </c>
      <c r="E1224" s="12" t="s">
        <v>82</v>
      </c>
      <c r="F1224" s="12" t="s">
        <v>16</v>
      </c>
      <c r="G1224" s="12" t="s">
        <v>37</v>
      </c>
      <c r="H1224" s="12"/>
      <c r="I1224" s="14">
        <v>45296</v>
      </c>
      <c r="J1224" s="12" t="s">
        <v>279</v>
      </c>
    </row>
    <row r="1225" spans="1:10" s="15" customFormat="1" x14ac:dyDescent="0.15">
      <c r="A1225" s="11">
        <v>45300</v>
      </c>
      <c r="B1225" s="12" t="s">
        <v>36</v>
      </c>
      <c r="C1225" s="12" t="s">
        <v>81</v>
      </c>
      <c r="D1225" s="13" t="str">
        <f>HYPERLINK("https://www.marklines.com/en/global/1323","Stellantis, FCA Italy, Cassino Plant")</f>
        <v>Stellantis, FCA Italy, Cassino Plant</v>
      </c>
      <c r="E1225" s="12" t="s">
        <v>278</v>
      </c>
      <c r="F1225" s="12" t="s">
        <v>16</v>
      </c>
      <c r="G1225" s="12" t="s">
        <v>37</v>
      </c>
      <c r="H1225" s="12"/>
      <c r="I1225" s="14">
        <v>45296</v>
      </c>
      <c r="J1225" s="12" t="s">
        <v>279</v>
      </c>
    </row>
    <row r="1226" spans="1:10" s="15" customFormat="1" x14ac:dyDescent="0.15">
      <c r="A1226" s="11">
        <v>45300</v>
      </c>
      <c r="B1226" s="12" t="s">
        <v>281</v>
      </c>
      <c r="C1226" s="12" t="s">
        <v>281</v>
      </c>
      <c r="D1226" s="13" t="str">
        <f>HYPERLINK("https://www.marklines.com/en/global/553","Isuzu Motors, Fujisawa Plant")</f>
        <v>Isuzu Motors, Fujisawa Plant</v>
      </c>
      <c r="E1226" s="12" t="s">
        <v>282</v>
      </c>
      <c r="F1226" s="12" t="s">
        <v>18</v>
      </c>
      <c r="G1226" s="12" t="s">
        <v>20</v>
      </c>
      <c r="H1226" s="12" t="s">
        <v>283</v>
      </c>
      <c r="I1226" s="14">
        <v>45296</v>
      </c>
      <c r="J1226" s="12" t="s">
        <v>1710</v>
      </c>
    </row>
    <row r="1227" spans="1:10" s="15" customFormat="1" x14ac:dyDescent="0.15">
      <c r="A1227" s="11">
        <v>45300</v>
      </c>
      <c r="B1227" s="12" t="s">
        <v>36</v>
      </c>
      <c r="C1227" s="12" t="s">
        <v>36</v>
      </c>
      <c r="D1227" s="13" t="str">
        <f>HYPERLINK("https://www.marklines.com/en/global/10380","Symbio S.A.S (formerly Symbio FCell SA)")</f>
        <v>Symbio S.A.S (formerly Symbio FCell SA)</v>
      </c>
      <c r="E1227" s="12" t="s">
        <v>284</v>
      </c>
      <c r="F1227" s="12" t="s">
        <v>16</v>
      </c>
      <c r="G1227" s="12" t="s">
        <v>285</v>
      </c>
      <c r="H1227" s="12"/>
      <c r="I1227" s="14">
        <v>45295</v>
      </c>
      <c r="J1227" s="12" t="s">
        <v>286</v>
      </c>
    </row>
    <row r="1228" spans="1:10" s="15" customFormat="1" x14ac:dyDescent="0.15">
      <c r="A1228" s="11">
        <v>45300</v>
      </c>
      <c r="B1228" s="12" t="s">
        <v>36</v>
      </c>
      <c r="C1228" s="12" t="s">
        <v>36</v>
      </c>
      <c r="D1228" s="13" t="str">
        <f>HYPERLINK("https://www.marklines.com/en/global/10780","Symbio SymphonHy")</f>
        <v>Symbio SymphonHy</v>
      </c>
      <c r="E1228" s="12" t="s">
        <v>287</v>
      </c>
      <c r="F1228" s="12" t="s">
        <v>16</v>
      </c>
      <c r="G1228" s="12" t="s">
        <v>285</v>
      </c>
      <c r="H1228" s="12"/>
      <c r="I1228" s="14">
        <v>45295</v>
      </c>
      <c r="J1228" s="12" t="s">
        <v>286</v>
      </c>
    </row>
    <row r="1229" spans="1:10" s="15" customFormat="1" x14ac:dyDescent="0.15">
      <c r="A1229" s="11">
        <v>45300</v>
      </c>
      <c r="B1229" s="12" t="s">
        <v>57</v>
      </c>
      <c r="C1229" s="12" t="s">
        <v>57</v>
      </c>
      <c r="D1229" s="13" t="str">
        <f>HYPERLINK("https://www.marklines.com/en/global/9500","BYD Co., Ltd.")</f>
        <v>BYD Co., Ltd.</v>
      </c>
      <c r="E1229" s="12" t="s">
        <v>120</v>
      </c>
      <c r="F1229" s="12" t="s">
        <v>18</v>
      </c>
      <c r="G1229" s="12" t="s">
        <v>24</v>
      </c>
      <c r="H1229" s="12" t="s">
        <v>63</v>
      </c>
      <c r="I1229" s="14">
        <v>45295</v>
      </c>
      <c r="J1229" s="12" t="s">
        <v>288</v>
      </c>
    </row>
    <row r="1230" spans="1:10" s="15" customFormat="1" x14ac:dyDescent="0.15">
      <c r="A1230" s="11">
        <v>45300</v>
      </c>
      <c r="B1230" s="12" t="s">
        <v>289</v>
      </c>
      <c r="C1230" s="12" t="s">
        <v>289</v>
      </c>
      <c r="D1230" s="13" t="str">
        <f>HYPERLINK("https://www.marklines.com/en/global/55","Yulon Motor, Sanyi Plant")</f>
        <v>Yulon Motor, Sanyi Plant</v>
      </c>
      <c r="E1230" s="12" t="s">
        <v>290</v>
      </c>
      <c r="F1230" s="12" t="s">
        <v>18</v>
      </c>
      <c r="G1230" s="12" t="s">
        <v>291</v>
      </c>
      <c r="H1230" s="12"/>
      <c r="I1230" s="14">
        <v>45287</v>
      </c>
      <c r="J1230" s="12" t="s">
        <v>292</v>
      </c>
    </row>
    <row r="1231" spans="1:10" s="15" customFormat="1" x14ac:dyDescent="0.15">
      <c r="A1231" s="11">
        <v>45299</v>
      </c>
      <c r="B1231" s="12" t="s">
        <v>68</v>
      </c>
      <c r="C1231" s="12" t="s">
        <v>68</v>
      </c>
      <c r="D1231" s="13" t="str">
        <f>HYPERLINK("https://www.marklines.com/en/global/3879","Chery Automobile Co., Ltd. ")</f>
        <v xml:space="preserve">Chery Automobile Co., Ltd. </v>
      </c>
      <c r="E1231" s="12" t="s">
        <v>92</v>
      </c>
      <c r="F1231" s="12" t="s">
        <v>18</v>
      </c>
      <c r="G1231" s="12" t="s">
        <v>24</v>
      </c>
      <c r="H1231" s="12" t="s">
        <v>55</v>
      </c>
      <c r="I1231" s="14">
        <v>45294</v>
      </c>
      <c r="J1231" s="12" t="s">
        <v>178</v>
      </c>
    </row>
    <row r="1232" spans="1:10" s="15" customFormat="1" x14ac:dyDescent="0.15">
      <c r="A1232" s="11">
        <v>45299</v>
      </c>
      <c r="B1232" s="12" t="s">
        <v>12</v>
      </c>
      <c r="C1232" s="12" t="s">
        <v>59</v>
      </c>
      <c r="D1232" s="13" t="str">
        <f>HYPERLINK("https://www.marklines.com/en/global/10641","NWTN (Zhejiang) Motor Co., Ltd.")</f>
        <v>NWTN (Zhejiang) Motor Co., Ltd.</v>
      </c>
      <c r="E1232" s="12" t="s">
        <v>60</v>
      </c>
      <c r="F1232" s="12" t="s">
        <v>18</v>
      </c>
      <c r="G1232" s="12" t="s">
        <v>24</v>
      </c>
      <c r="H1232" s="12" t="s">
        <v>61</v>
      </c>
      <c r="I1232" s="14">
        <v>45292</v>
      </c>
      <c r="J1232" s="12" t="s">
        <v>175</v>
      </c>
    </row>
    <row r="1233" spans="1:10" s="15" customFormat="1" x14ac:dyDescent="0.15">
      <c r="A1233" s="11">
        <v>45299</v>
      </c>
      <c r="B1233" s="12" t="s">
        <v>12</v>
      </c>
      <c r="C1233" s="12" t="s">
        <v>177</v>
      </c>
      <c r="D1233" s="13" t="str">
        <f>HYPERLINK("https://www.marklines.com/en/global/9973","Evergrande New Energy Automobile Investment Holdings Group Co., Ltd.")</f>
        <v>Evergrande New Energy Automobile Investment Holdings Group Co., Ltd.</v>
      </c>
      <c r="E1233" s="12" t="s">
        <v>176</v>
      </c>
      <c r="F1233" s="12" t="s">
        <v>18</v>
      </c>
      <c r="G1233" s="12" t="s">
        <v>24</v>
      </c>
      <c r="H1233" s="12" t="s">
        <v>63</v>
      </c>
      <c r="I1233" s="14">
        <v>45292</v>
      </c>
      <c r="J1233" s="12" t="s">
        <v>175</v>
      </c>
    </row>
    <row r="1234" spans="1:10" s="15" customFormat="1" x14ac:dyDescent="0.15">
      <c r="A1234" s="11">
        <v>45297</v>
      </c>
      <c r="B1234" s="12" t="s">
        <v>50</v>
      </c>
      <c r="C1234" s="12" t="s">
        <v>50</v>
      </c>
      <c r="D1234" s="13" t="str">
        <f>HYPERLINK("https://www.marklines.com/en/global/3283","Tesla, Fremont Plant")</f>
        <v>Tesla, Fremont Plant</v>
      </c>
      <c r="E1234" s="12" t="s">
        <v>140</v>
      </c>
      <c r="F1234" s="12" t="s">
        <v>15</v>
      </c>
      <c r="G1234" s="12" t="s">
        <v>11</v>
      </c>
      <c r="H1234" s="12" t="s">
        <v>49</v>
      </c>
      <c r="I1234" s="14">
        <v>45296</v>
      </c>
      <c r="J1234" s="12" t="s">
        <v>174</v>
      </c>
    </row>
    <row r="1235" spans="1:10" s="15" customFormat="1" x14ac:dyDescent="0.15">
      <c r="A1235" s="11">
        <v>45296</v>
      </c>
      <c r="B1235" s="12" t="s">
        <v>36</v>
      </c>
      <c r="C1235" s="12" t="s">
        <v>38</v>
      </c>
      <c r="D1235" s="13" t="str">
        <f>HYPERLINK("https://www.marklines.com/en/global/1327","Stellantis, FCA Italy, Mirafiori (Turin) Plant")</f>
        <v>Stellantis, FCA Italy, Mirafiori (Turin) Plant</v>
      </c>
      <c r="E1235" s="12" t="s">
        <v>82</v>
      </c>
      <c r="F1235" s="12" t="s">
        <v>16</v>
      </c>
      <c r="G1235" s="12" t="s">
        <v>37</v>
      </c>
      <c r="H1235" s="12"/>
      <c r="I1235" s="14">
        <v>45295</v>
      </c>
      <c r="J1235" s="12" t="s">
        <v>173</v>
      </c>
    </row>
    <row r="1236" spans="1:10" s="15" customFormat="1" x14ac:dyDescent="0.15">
      <c r="A1236" s="11">
        <v>45296</v>
      </c>
      <c r="B1236" s="12" t="s">
        <v>36</v>
      </c>
      <c r="C1236" s="12" t="s">
        <v>81</v>
      </c>
      <c r="D1236" s="13" t="str">
        <f>HYPERLINK("https://www.marklines.com/en/global/1307","Stellantis, Avvocato Gianni Agnelli Plant (formerly Maserati S.p.A., Giovanni Agnelli (Grugliasco) Plant)")</f>
        <v>Stellantis, Avvocato Gianni Agnelli Plant (formerly Maserati S.p.A., Giovanni Agnelli (Grugliasco) Plant)</v>
      </c>
      <c r="E1236" s="12" t="s">
        <v>101</v>
      </c>
      <c r="F1236" s="12" t="s">
        <v>16</v>
      </c>
      <c r="G1236" s="12" t="s">
        <v>37</v>
      </c>
      <c r="H1236" s="12"/>
      <c r="I1236" s="14">
        <v>45295</v>
      </c>
      <c r="J1236" s="12" t="s">
        <v>173</v>
      </c>
    </row>
    <row r="1237" spans="1:10" s="15" customFormat="1" x14ac:dyDescent="0.15">
      <c r="A1237" s="11">
        <v>45296</v>
      </c>
      <c r="B1237" s="12" t="s">
        <v>36</v>
      </c>
      <c r="C1237" s="12" t="s">
        <v>81</v>
      </c>
      <c r="D1237" s="13" t="str">
        <f>HYPERLINK("https://www.marklines.com/en/global/1327","Stellantis, FCA Italy, Mirafiori (Turin) Plant")</f>
        <v>Stellantis, FCA Italy, Mirafiori (Turin) Plant</v>
      </c>
      <c r="E1237" s="12" t="s">
        <v>82</v>
      </c>
      <c r="F1237" s="12" t="s">
        <v>16</v>
      </c>
      <c r="G1237" s="12" t="s">
        <v>37</v>
      </c>
      <c r="H1237" s="12"/>
      <c r="I1237" s="14">
        <v>45295</v>
      </c>
      <c r="J1237" s="12" t="s">
        <v>173</v>
      </c>
    </row>
    <row r="1238" spans="1:10" s="15" customFormat="1" x14ac:dyDescent="0.15">
      <c r="A1238" s="11">
        <v>45296</v>
      </c>
      <c r="B1238" s="12" t="s">
        <v>36</v>
      </c>
      <c r="C1238" s="12" t="s">
        <v>36</v>
      </c>
      <c r="D1238" s="13" t="str">
        <f>HYPERLINK("https://www.marklines.com/en/global/1931","Stellantis, Opel Espana de Automoviles, S.A., Zaragoza (Figueruelas) Plant")</f>
        <v>Stellantis, Opel Espana de Automoviles, S.A., Zaragoza (Figueruelas) Plant</v>
      </c>
      <c r="E1238" s="12" t="s">
        <v>52</v>
      </c>
      <c r="F1238" s="12" t="s">
        <v>16</v>
      </c>
      <c r="G1238" s="12" t="s">
        <v>42</v>
      </c>
      <c r="H1238" s="12"/>
      <c r="I1238" s="14">
        <v>45295</v>
      </c>
      <c r="J1238" s="12" t="s">
        <v>172</v>
      </c>
    </row>
    <row r="1239" spans="1:10" s="15" customFormat="1" x14ac:dyDescent="0.15">
      <c r="A1239" s="11">
        <v>45296</v>
      </c>
      <c r="B1239" s="12" t="s">
        <v>36</v>
      </c>
      <c r="C1239" s="12" t="s">
        <v>36</v>
      </c>
      <c r="D1239" s="13" t="str">
        <f>HYPERLINK("https://www.marklines.com/en/global/1939","Stellantis, Peugeot Citroen Automoviles Espana S.A., Vigo Plant")</f>
        <v>Stellantis, Peugeot Citroen Automoviles Espana S.A., Vigo Plant</v>
      </c>
      <c r="E1239" s="12" t="s">
        <v>54</v>
      </c>
      <c r="F1239" s="12" t="s">
        <v>16</v>
      </c>
      <c r="G1239" s="12" t="s">
        <v>42</v>
      </c>
      <c r="H1239" s="12"/>
      <c r="I1239" s="14">
        <v>45295</v>
      </c>
      <c r="J1239" s="12" t="s">
        <v>172</v>
      </c>
    </row>
    <row r="1240" spans="1:10" s="15" customFormat="1" x14ac:dyDescent="0.15">
      <c r="A1240" s="11">
        <v>45296</v>
      </c>
      <c r="B1240" s="12" t="s">
        <v>36</v>
      </c>
      <c r="C1240" s="12" t="s">
        <v>36</v>
      </c>
      <c r="D1240" s="13" t="str">
        <f>HYPERLINK("https://www.marklines.com/en/global/1935","Stellantis, Peugeot Citroen Automoviles Espana S.A., Villaverde (Madrid) Plant")</f>
        <v>Stellantis, Peugeot Citroen Automoviles Espana S.A., Villaverde (Madrid) Plant</v>
      </c>
      <c r="E1240" s="12" t="s">
        <v>53</v>
      </c>
      <c r="F1240" s="12" t="s">
        <v>16</v>
      </c>
      <c r="G1240" s="12" t="s">
        <v>42</v>
      </c>
      <c r="H1240" s="12"/>
      <c r="I1240" s="14">
        <v>45295</v>
      </c>
      <c r="J1240" s="12" t="s">
        <v>172</v>
      </c>
    </row>
    <row r="1241" spans="1:10" s="15" customFormat="1" x14ac:dyDescent="0.15">
      <c r="A1241" s="11">
        <v>45296</v>
      </c>
      <c r="B1241" s="12" t="s">
        <v>36</v>
      </c>
      <c r="C1241" s="12" t="s">
        <v>38</v>
      </c>
      <c r="D1241" s="13" t="str">
        <f>HYPERLINK("https://www.marklines.com/en/global/1659","Stellantis, Fiat Powertrain Polska Sp. z o.o., Bielsko-Biala Plant")</f>
        <v>Stellantis, Fiat Powertrain Polska Sp. z o.o., Bielsko-Biala Plant</v>
      </c>
      <c r="E1241" s="12" t="s">
        <v>171</v>
      </c>
      <c r="F1241" s="12" t="s">
        <v>17</v>
      </c>
      <c r="G1241" s="12" t="s">
        <v>26</v>
      </c>
      <c r="H1241" s="12"/>
      <c r="I1241" s="14">
        <v>45295</v>
      </c>
      <c r="J1241" s="12" t="s">
        <v>170</v>
      </c>
    </row>
    <row r="1242" spans="1:10" s="15" customFormat="1" x14ac:dyDescent="0.15">
      <c r="A1242" s="11">
        <v>45296</v>
      </c>
      <c r="B1242" s="12" t="s">
        <v>12</v>
      </c>
      <c r="C1242" s="12" t="s">
        <v>12</v>
      </c>
      <c r="D1242" s="13" t="str">
        <f>HYPERLINK("https://www.marklines.com/en/global/10544","EKA Mobility, Pithampur Plant")</f>
        <v>EKA Mobility, Pithampur Plant</v>
      </c>
      <c r="E1242" s="12" t="s">
        <v>169</v>
      </c>
      <c r="F1242" s="12" t="s">
        <v>22</v>
      </c>
      <c r="G1242" s="12" t="s">
        <v>23</v>
      </c>
      <c r="H1242" s="12" t="s">
        <v>104</v>
      </c>
      <c r="I1242" s="14">
        <v>45295</v>
      </c>
      <c r="J1242" s="12" t="s">
        <v>168</v>
      </c>
    </row>
    <row r="1243" spans="1:10" s="15" customFormat="1" x14ac:dyDescent="0.15">
      <c r="A1243" s="11">
        <v>45296</v>
      </c>
      <c r="B1243" s="12" t="s">
        <v>19</v>
      </c>
      <c r="C1243" s="12" t="s">
        <v>19</v>
      </c>
      <c r="D1243" s="13" t="str">
        <f>HYPERLINK("https://www.marklines.com/en/global/987","Perodua Manufacturing Sdn. Bhd. (PMSB), Rawang Plant")</f>
        <v>Perodua Manufacturing Sdn. Bhd. (PMSB), Rawang Plant</v>
      </c>
      <c r="E1243" s="12" t="s">
        <v>124</v>
      </c>
      <c r="F1243" s="12" t="s">
        <v>29</v>
      </c>
      <c r="G1243" s="12" t="s">
        <v>75</v>
      </c>
      <c r="H1243" s="12"/>
      <c r="I1243" s="14">
        <v>45295</v>
      </c>
      <c r="J1243" s="12" t="s">
        <v>167</v>
      </c>
    </row>
    <row r="1244" spans="1:10" s="15" customFormat="1" x14ac:dyDescent="0.15">
      <c r="A1244" s="11">
        <v>45296</v>
      </c>
      <c r="B1244" s="12" t="s">
        <v>94</v>
      </c>
      <c r="C1244" s="12" t="s">
        <v>94</v>
      </c>
      <c r="D1244" s="13" t="str">
        <f>HYPERLINK("https://www.marklines.com/en/global/10448","Nikola Coolidge Manufacturing Facility")</f>
        <v>Nikola Coolidge Manufacturing Facility</v>
      </c>
      <c r="E1244" s="12" t="s">
        <v>95</v>
      </c>
      <c r="F1244" s="12" t="s">
        <v>15</v>
      </c>
      <c r="G1244" s="12" t="s">
        <v>11</v>
      </c>
      <c r="H1244" s="12" t="s">
        <v>74</v>
      </c>
      <c r="I1244" s="14">
        <v>45295</v>
      </c>
      <c r="J1244" s="12" t="s">
        <v>166</v>
      </c>
    </row>
    <row r="1245" spans="1:10" s="15" customFormat="1" x14ac:dyDescent="0.15">
      <c r="A1245" s="11">
        <v>45296</v>
      </c>
      <c r="B1245" s="12" t="s">
        <v>28</v>
      </c>
      <c r="C1245" s="12" t="s">
        <v>35</v>
      </c>
      <c r="D1245" s="13" t="str">
        <f>HYPERLINK("https://www.marklines.com/en/global/3615","SAIC Volkswagen Automotive Co., Ltd.")</f>
        <v>SAIC Volkswagen Automotive Co., Ltd.</v>
      </c>
      <c r="E1245" s="12" t="s">
        <v>116</v>
      </c>
      <c r="F1245" s="12" t="s">
        <v>18</v>
      </c>
      <c r="G1245" s="12" t="s">
        <v>24</v>
      </c>
      <c r="H1245" s="12" t="s">
        <v>56</v>
      </c>
      <c r="I1245" s="14">
        <v>45293</v>
      </c>
      <c r="J1245" s="12" t="s">
        <v>164</v>
      </c>
    </row>
    <row r="1246" spans="1:10" s="15" customFormat="1" x14ac:dyDescent="0.15">
      <c r="A1246" s="11">
        <v>45296</v>
      </c>
      <c r="B1246" s="12" t="s">
        <v>28</v>
      </c>
      <c r="C1246" s="12" t="s">
        <v>43</v>
      </c>
      <c r="D1246" s="13" t="str">
        <f>HYPERLINK("https://www.marklines.com/en/global/9821","SAIC Volkswagen Automotive Company Limited New Energy Vehicle Branch (formerly SAIC Volkswagen Automotive Company Limited, Anting NEV Plant) ")</f>
        <v xml:space="preserve">SAIC Volkswagen Automotive Company Limited New Energy Vehicle Branch (formerly SAIC Volkswagen Automotive Company Limited, Anting NEV Plant) </v>
      </c>
      <c r="E1246" s="12" t="s">
        <v>165</v>
      </c>
      <c r="F1246" s="12" t="s">
        <v>18</v>
      </c>
      <c r="G1246" s="12" t="s">
        <v>24</v>
      </c>
      <c r="H1246" s="12" t="s">
        <v>56</v>
      </c>
      <c r="I1246" s="14">
        <v>45293</v>
      </c>
      <c r="J1246" s="12" t="s">
        <v>164</v>
      </c>
    </row>
    <row r="1247" spans="1:10" s="15" customFormat="1" x14ac:dyDescent="0.15">
      <c r="A1247" s="11">
        <v>45296</v>
      </c>
      <c r="B1247" s="12" t="s">
        <v>27</v>
      </c>
      <c r="C1247" s="12" t="s">
        <v>27</v>
      </c>
      <c r="D1247" s="13" t="str">
        <f>HYPERLINK("https://www.marklines.com/en/global/3375","BMW Brilliance Automotive Limited (BBA), Dadong Plant")</f>
        <v>BMW Brilliance Automotive Limited (BBA), Dadong Plant</v>
      </c>
      <c r="E1247" s="12" t="s">
        <v>118</v>
      </c>
      <c r="F1247" s="12" t="s">
        <v>18</v>
      </c>
      <c r="G1247" s="12" t="s">
        <v>24</v>
      </c>
      <c r="H1247" s="12" t="s">
        <v>73</v>
      </c>
      <c r="I1247" s="14">
        <v>45293</v>
      </c>
      <c r="J1247" s="12" t="s">
        <v>163</v>
      </c>
    </row>
    <row r="1248" spans="1:10" s="15" customFormat="1" x14ac:dyDescent="0.15">
      <c r="A1248" s="11">
        <v>45296</v>
      </c>
      <c r="B1248" s="12" t="s">
        <v>58</v>
      </c>
      <c r="C1248" s="12" t="s">
        <v>69</v>
      </c>
      <c r="D1248" s="13" t="str">
        <f>HYPERLINK("https://www.marklines.com/en/global/3425","Beiqi Foton Motor Co., Ltd.")</f>
        <v>Beiqi Foton Motor Co., Ltd.</v>
      </c>
      <c r="E1248" s="12" t="s">
        <v>70</v>
      </c>
      <c r="F1248" s="12" t="s">
        <v>18</v>
      </c>
      <c r="G1248" s="12" t="s">
        <v>24</v>
      </c>
      <c r="H1248" s="12" t="s">
        <v>71</v>
      </c>
      <c r="I1248" s="14">
        <v>45289</v>
      </c>
      <c r="J1248" s="12" t="s">
        <v>162</v>
      </c>
    </row>
    <row r="1249" spans="1:10" s="15" customFormat="1" x14ac:dyDescent="0.15">
      <c r="A1249" s="11">
        <v>45295</v>
      </c>
      <c r="B1249" s="12" t="s">
        <v>28</v>
      </c>
      <c r="C1249" s="12" t="s">
        <v>35</v>
      </c>
      <c r="D1249" s="13" t="str">
        <f>HYPERLINK("https://www.marklines.com/en/global/1965","Volkswagen Navarra, S.A., Pamplona (Landaben) Plant")</f>
        <v>Volkswagen Navarra, S.A., Pamplona (Landaben) Plant</v>
      </c>
      <c r="E1249" s="12" t="s">
        <v>64</v>
      </c>
      <c r="F1249" s="12" t="s">
        <v>16</v>
      </c>
      <c r="G1249" s="12" t="s">
        <v>42</v>
      </c>
      <c r="H1249" s="12"/>
      <c r="I1249" s="14">
        <v>45294</v>
      </c>
      <c r="J1249" s="12" t="s">
        <v>161</v>
      </c>
    </row>
    <row r="1250" spans="1:10" s="15" customFormat="1" x14ac:dyDescent="0.15">
      <c r="A1250" s="11">
        <v>45295</v>
      </c>
      <c r="B1250" s="12" t="s">
        <v>28</v>
      </c>
      <c r="C1250" s="12" t="s">
        <v>44</v>
      </c>
      <c r="D1250" s="13" t="str">
        <f>HYPERLINK("https://www.marklines.com/en/global/1965","Volkswagen Navarra, S.A., Pamplona (Landaben) Plant")</f>
        <v>Volkswagen Navarra, S.A., Pamplona (Landaben) Plant</v>
      </c>
      <c r="E1250" s="12" t="s">
        <v>64</v>
      </c>
      <c r="F1250" s="12" t="s">
        <v>16</v>
      </c>
      <c r="G1250" s="12" t="s">
        <v>42</v>
      </c>
      <c r="H1250" s="12"/>
      <c r="I1250" s="14">
        <v>45294</v>
      </c>
      <c r="J1250" s="12" t="s">
        <v>161</v>
      </c>
    </row>
    <row r="1251" spans="1:10" s="15" customFormat="1" x14ac:dyDescent="0.15">
      <c r="A1251" s="11">
        <v>45295</v>
      </c>
      <c r="B1251" s="12" t="s">
        <v>28</v>
      </c>
      <c r="C1251" s="12" t="s">
        <v>35</v>
      </c>
      <c r="D1251" s="13" t="str">
        <f>HYPERLINK("https://www.marklines.com/en/global/817","AGR Automotive Group (AGR LLC), Kaluga plant (formerly Volkswagen Russia)")</f>
        <v>AGR Automotive Group (AGR LLC), Kaluga plant (formerly Volkswagen Russia)</v>
      </c>
      <c r="E1251" s="12" t="s">
        <v>114</v>
      </c>
      <c r="F1251" s="12" t="s">
        <v>17</v>
      </c>
      <c r="G1251" s="12" t="s">
        <v>13</v>
      </c>
      <c r="H1251" s="12"/>
      <c r="I1251" s="14">
        <v>45294</v>
      </c>
      <c r="J1251" s="12" t="s">
        <v>160</v>
      </c>
    </row>
    <row r="1252" spans="1:10" s="15" customFormat="1" x14ac:dyDescent="0.15">
      <c r="A1252" s="11">
        <v>45295</v>
      </c>
      <c r="B1252" s="12" t="s">
        <v>12</v>
      </c>
      <c r="C1252" s="12" t="s">
        <v>12</v>
      </c>
      <c r="D1252" s="13" t="str">
        <f>HYPERLINK("https://www.marklines.com/en/global/817","AGR Automotive Group (AGR LLC), Kaluga plant (formerly Volkswagen Russia)")</f>
        <v>AGR Automotive Group (AGR LLC), Kaluga plant (formerly Volkswagen Russia)</v>
      </c>
      <c r="E1252" s="12" t="s">
        <v>114</v>
      </c>
      <c r="F1252" s="12" t="s">
        <v>17</v>
      </c>
      <c r="G1252" s="12" t="s">
        <v>13</v>
      </c>
      <c r="H1252" s="12"/>
      <c r="I1252" s="14">
        <v>45294</v>
      </c>
      <c r="J1252" s="12" t="s">
        <v>160</v>
      </c>
    </row>
    <row r="1253" spans="1:10" s="15" customFormat="1" x14ac:dyDescent="0.15">
      <c r="A1253" s="11">
        <v>45295</v>
      </c>
      <c r="B1253" s="12" t="s">
        <v>102</v>
      </c>
      <c r="C1253" s="12" t="s">
        <v>103</v>
      </c>
      <c r="D1253" s="13" t="str">
        <f>HYPERLINK("https://www.marklines.com/en/global/1609","TCIE Vietnam Pte Ltd., Danang Plant")</f>
        <v>TCIE Vietnam Pte Ltd., Danang Plant</v>
      </c>
      <c r="E1253" s="12" t="s">
        <v>159</v>
      </c>
      <c r="F1253" s="12" t="s">
        <v>29</v>
      </c>
      <c r="G1253" s="12" t="s">
        <v>47</v>
      </c>
      <c r="H1253" s="12"/>
      <c r="I1253" s="14">
        <v>45294</v>
      </c>
      <c r="J1253" s="12" t="s">
        <v>158</v>
      </c>
    </row>
    <row r="1254" spans="1:10" s="15" customFormat="1" x14ac:dyDescent="0.15">
      <c r="A1254" s="11">
        <v>45295</v>
      </c>
      <c r="B1254" s="12" t="s">
        <v>30</v>
      </c>
      <c r="C1254" s="12" t="s">
        <v>30</v>
      </c>
      <c r="D1254" s="13" t="str">
        <f>HYPERLINK("https://www.marklines.com/en/global/10767","EP Manufacturing - PEPS-JV, Pegoh Plant (tentative name)")</f>
        <v>EP Manufacturing - PEPS-JV, Pegoh Plant (tentative name)</v>
      </c>
      <c r="E1254" s="12" t="s">
        <v>91</v>
      </c>
      <c r="F1254" s="12" t="s">
        <v>29</v>
      </c>
      <c r="G1254" s="12" t="s">
        <v>75</v>
      </c>
      <c r="H1254" s="12"/>
      <c r="I1254" s="14">
        <v>45294</v>
      </c>
      <c r="J1254" s="12" t="s">
        <v>157</v>
      </c>
    </row>
    <row r="1255" spans="1:10" s="15" customFormat="1" x14ac:dyDescent="0.15">
      <c r="A1255" s="11">
        <v>45295</v>
      </c>
      <c r="B1255" s="12" t="s">
        <v>84</v>
      </c>
      <c r="C1255" s="12" t="s">
        <v>84</v>
      </c>
      <c r="D1255" s="13" t="str">
        <f>HYPERLINK("https://www.marklines.com/en/global/10668","Zhaoqing Xiaopeng New Energy Investment Co., Ltd. Guangzhou Branch ")</f>
        <v xml:space="preserve">Zhaoqing Xiaopeng New Energy Investment Co., Ltd. Guangzhou Branch </v>
      </c>
      <c r="E1255" s="12" t="s">
        <v>85</v>
      </c>
      <c r="F1255" s="12" t="s">
        <v>18</v>
      </c>
      <c r="G1255" s="12" t="s">
        <v>24</v>
      </c>
      <c r="H1255" s="12" t="s">
        <v>63</v>
      </c>
      <c r="I1255" s="14">
        <v>45292</v>
      </c>
      <c r="J1255" s="12" t="s">
        <v>156</v>
      </c>
    </row>
    <row r="1256" spans="1:10" s="15" customFormat="1" x14ac:dyDescent="0.15">
      <c r="A1256" s="11">
        <v>45295</v>
      </c>
      <c r="B1256" s="12" t="s">
        <v>14</v>
      </c>
      <c r="C1256" s="12" t="s">
        <v>14</v>
      </c>
      <c r="D1256" s="13" t="str">
        <f>HYPERLINK("https://www.marklines.com/en/global/3981","Dongfeng Honda Automobile Co., Ltd. ")</f>
        <v xml:space="preserve">Dongfeng Honda Automobile Co., Ltd. </v>
      </c>
      <c r="E1256" s="12" t="s">
        <v>99</v>
      </c>
      <c r="F1256" s="12" t="s">
        <v>18</v>
      </c>
      <c r="G1256" s="12" t="s">
        <v>24</v>
      </c>
      <c r="H1256" s="12" t="s">
        <v>76</v>
      </c>
      <c r="I1256" s="14">
        <v>45291</v>
      </c>
      <c r="J1256" s="12" t="s">
        <v>155</v>
      </c>
    </row>
    <row r="1257" spans="1:10" s="15" customFormat="1" x14ac:dyDescent="0.15">
      <c r="A1257" s="11">
        <v>45295</v>
      </c>
      <c r="B1257" s="12" t="s">
        <v>28</v>
      </c>
      <c r="C1257" s="12" t="s">
        <v>105</v>
      </c>
      <c r="D1257" s="13" t="str">
        <f>HYPERLINK("https://www.marklines.com/en/global/9517","Volkswagen (Anhui) Automotive Company Limited  (formerly JAC Volkswagen Automotive Co., Ltd.)")</f>
        <v>Volkswagen (Anhui) Automotive Company Limited  (formerly JAC Volkswagen Automotive Co., Ltd.)</v>
      </c>
      <c r="E1257" s="12" t="s">
        <v>115</v>
      </c>
      <c r="F1257" s="12" t="s">
        <v>18</v>
      </c>
      <c r="G1257" s="12" t="s">
        <v>24</v>
      </c>
      <c r="H1257" s="12" t="s">
        <v>55</v>
      </c>
      <c r="I1257" s="14">
        <v>45290</v>
      </c>
      <c r="J1257" s="12" t="s">
        <v>154</v>
      </c>
    </row>
    <row r="1258" spans="1:10" s="15" customFormat="1" x14ac:dyDescent="0.15">
      <c r="A1258" s="11">
        <v>45295</v>
      </c>
      <c r="B1258" s="12" t="s">
        <v>12</v>
      </c>
      <c r="C1258" s="12" t="s">
        <v>152</v>
      </c>
      <c r="D1258" s="13" t="str">
        <f>HYPERLINK("https://www.marklines.com/en/global/10581","Xiaomi Auto Co., Ltd.")</f>
        <v>Xiaomi Auto Co., Ltd.</v>
      </c>
      <c r="E1258" s="12" t="s">
        <v>112</v>
      </c>
      <c r="F1258" s="12" t="s">
        <v>18</v>
      </c>
      <c r="G1258" s="12" t="s">
        <v>24</v>
      </c>
      <c r="H1258" s="12" t="s">
        <v>71</v>
      </c>
      <c r="I1258" s="14">
        <v>45288</v>
      </c>
      <c r="J1258" s="12" t="s">
        <v>153</v>
      </c>
    </row>
    <row r="1259" spans="1:10" s="15" customFormat="1" x14ac:dyDescent="0.15">
      <c r="A1259" s="11">
        <v>45295</v>
      </c>
      <c r="B1259" s="12" t="s">
        <v>12</v>
      </c>
      <c r="C1259" s="12" t="s">
        <v>152</v>
      </c>
      <c r="D1259" s="13" t="str">
        <f>HYPERLINK("https://www.marklines.com/en/global/10580","Xiaomi Auto Technology Co., Ltd.")</f>
        <v>Xiaomi Auto Technology Co., Ltd.</v>
      </c>
      <c r="E1259" s="12" t="s">
        <v>113</v>
      </c>
      <c r="F1259" s="12" t="s">
        <v>18</v>
      </c>
      <c r="G1259" s="12" t="s">
        <v>24</v>
      </c>
      <c r="H1259" s="12" t="s">
        <v>71</v>
      </c>
      <c r="I1259" s="14">
        <v>45288</v>
      </c>
      <c r="J1259" s="12" t="s">
        <v>151</v>
      </c>
    </row>
    <row r="1260" spans="1:10" s="15" customFormat="1" x14ac:dyDescent="0.15">
      <c r="A1260" s="11">
        <v>45295</v>
      </c>
      <c r="B1260" s="12" t="s">
        <v>12</v>
      </c>
      <c r="C1260" s="12" t="s">
        <v>117</v>
      </c>
      <c r="D1260" s="13" t="str">
        <f>HYPERLINK("https://www.marklines.com/en/global/10789","Skywell Automobile (Huainan) Co., Ltd.")</f>
        <v>Skywell Automobile (Huainan) Co., Ltd.</v>
      </c>
      <c r="E1260" s="12" t="s">
        <v>150</v>
      </c>
      <c r="F1260" s="12" t="s">
        <v>18</v>
      </c>
      <c r="G1260" s="12" t="s">
        <v>24</v>
      </c>
      <c r="H1260" s="12" t="s">
        <v>55</v>
      </c>
      <c r="I1260" s="14">
        <v>45288</v>
      </c>
      <c r="J1260" s="12" t="s">
        <v>149</v>
      </c>
    </row>
    <row r="1261" spans="1:10" s="15" customFormat="1" x14ac:dyDescent="0.15">
      <c r="A1261" s="11">
        <v>45295</v>
      </c>
      <c r="B1261" s="12" t="s">
        <v>68</v>
      </c>
      <c r="C1261" s="12" t="s">
        <v>68</v>
      </c>
      <c r="D1261" s="13" t="str">
        <f>HYPERLINK("https://www.marklines.com/en/global/10481","Chery Automobile Co., Ltd. Qingdao Branch")</f>
        <v>Chery Automobile Co., Ltd. Qingdao Branch</v>
      </c>
      <c r="E1261" s="12" t="s">
        <v>148</v>
      </c>
      <c r="F1261" s="12" t="s">
        <v>18</v>
      </c>
      <c r="G1261" s="12" t="s">
        <v>24</v>
      </c>
      <c r="H1261" s="12" t="s">
        <v>62</v>
      </c>
      <c r="I1261" s="14">
        <v>45288</v>
      </c>
      <c r="J1261" s="12" t="s">
        <v>147</v>
      </c>
    </row>
    <row r="1262" spans="1:10" s="15" customFormat="1" x14ac:dyDescent="0.15">
      <c r="A1262" s="11">
        <v>45295</v>
      </c>
      <c r="B1262" s="12" t="s">
        <v>50</v>
      </c>
      <c r="C1262" s="12" t="s">
        <v>50</v>
      </c>
      <c r="D1262" s="13" t="str">
        <f>HYPERLINK("https://www.marklines.com/en/global/9812","Tesla (Shanghai) Co., Ltd.")</f>
        <v>Tesla (Shanghai) Co., Ltd.</v>
      </c>
      <c r="E1262" s="12" t="s">
        <v>125</v>
      </c>
      <c r="F1262" s="12" t="s">
        <v>18</v>
      </c>
      <c r="G1262" s="12" t="s">
        <v>24</v>
      </c>
      <c r="H1262" s="12" t="s">
        <v>56</v>
      </c>
      <c r="I1262" s="14">
        <v>45287</v>
      </c>
      <c r="J1262" s="12" t="s">
        <v>146</v>
      </c>
    </row>
    <row r="1263" spans="1:10" s="15" customFormat="1" x14ac:dyDescent="0.15">
      <c r="A1263" s="11">
        <v>45295</v>
      </c>
      <c r="B1263" s="12" t="s">
        <v>78</v>
      </c>
      <c r="C1263" s="12" t="s">
        <v>78</v>
      </c>
      <c r="D1263" s="13" t="str">
        <f>HYPERLINK("https://www.marklines.com/en/global/495","Suzuki Motor, Kosai Plant")</f>
        <v>Suzuki Motor, Kosai Plant</v>
      </c>
      <c r="E1263" s="12" t="s">
        <v>106</v>
      </c>
      <c r="F1263" s="12" t="s">
        <v>18</v>
      </c>
      <c r="G1263" s="12" t="s">
        <v>20</v>
      </c>
      <c r="H1263" s="12" t="s">
        <v>107</v>
      </c>
      <c r="I1263" s="14">
        <v>45285</v>
      </c>
      <c r="J1263" s="12" t="s">
        <v>145</v>
      </c>
    </row>
    <row r="1264" spans="1:10" s="15" customFormat="1" x14ac:dyDescent="0.15">
      <c r="A1264" s="11">
        <v>45294</v>
      </c>
      <c r="B1264" s="12" t="s">
        <v>27</v>
      </c>
      <c r="C1264" s="12" t="s">
        <v>27</v>
      </c>
      <c r="D1264" s="13" t="str">
        <f>HYPERLINK("https://www.marklines.com/en/global/8991","BMW Brazil, Araquari Plant")</f>
        <v>BMW Brazil, Araquari Plant</v>
      </c>
      <c r="E1264" s="12" t="s">
        <v>144</v>
      </c>
      <c r="F1264" s="12" t="s">
        <v>66</v>
      </c>
      <c r="G1264" s="12" t="s">
        <v>67</v>
      </c>
      <c r="H1264" s="12"/>
      <c r="I1264" s="14">
        <v>45293</v>
      </c>
      <c r="J1264" s="12" t="s">
        <v>143</v>
      </c>
    </row>
    <row r="1265" spans="1:10" s="15" customFormat="1" x14ac:dyDescent="0.15">
      <c r="A1265" s="11">
        <v>45294</v>
      </c>
      <c r="B1265" s="12" t="s">
        <v>31</v>
      </c>
      <c r="C1265" s="12" t="s">
        <v>31</v>
      </c>
      <c r="D1265" s="13" t="str">
        <f>HYPERLINK("https://www.marklines.com/en/global/3153","Rivian, Normal Plant (former Mitsubishi Motors North America, Normal Plant)")</f>
        <v>Rivian, Normal Plant (former Mitsubishi Motors North America, Normal Plant)</v>
      </c>
      <c r="E1265" s="12" t="s">
        <v>32</v>
      </c>
      <c r="F1265" s="12" t="s">
        <v>15</v>
      </c>
      <c r="G1265" s="12" t="s">
        <v>11</v>
      </c>
      <c r="H1265" s="12" t="s">
        <v>33</v>
      </c>
      <c r="I1265" s="14">
        <v>45293</v>
      </c>
      <c r="J1265" s="12" t="s">
        <v>142</v>
      </c>
    </row>
    <row r="1266" spans="1:10" s="15" customFormat="1" x14ac:dyDescent="0.15">
      <c r="A1266" s="11">
        <v>45294</v>
      </c>
      <c r="B1266" s="12" t="s">
        <v>12</v>
      </c>
      <c r="C1266" s="12" t="s">
        <v>12</v>
      </c>
      <c r="D1266" s="13" t="str">
        <f>HYPERLINK("https://www.marklines.com/en/global/757","JSC Moscow Automobile Plant Moskvich, Moscow Plant (former CJSC Renault Russia)")</f>
        <v>JSC Moscow Automobile Plant Moskvich, Moscow Plant (former CJSC Renault Russia)</v>
      </c>
      <c r="E1266" s="12" t="s">
        <v>45</v>
      </c>
      <c r="F1266" s="12" t="s">
        <v>17</v>
      </c>
      <c r="G1266" s="12" t="s">
        <v>13</v>
      </c>
      <c r="H1266" s="12"/>
      <c r="I1266" s="14">
        <v>45291</v>
      </c>
      <c r="J1266" s="12" t="s">
        <v>141</v>
      </c>
    </row>
    <row r="1267" spans="1:10" s="15" customFormat="1" x14ac:dyDescent="0.15">
      <c r="A1267" s="11">
        <v>45294</v>
      </c>
      <c r="B1267" s="12" t="s">
        <v>50</v>
      </c>
      <c r="C1267" s="12" t="s">
        <v>50</v>
      </c>
      <c r="D1267" s="13" t="str">
        <f>HYPERLINK("https://www.marklines.com/en/global/9812","Tesla (Shanghai) Co., Ltd.")</f>
        <v>Tesla (Shanghai) Co., Ltd.</v>
      </c>
      <c r="E1267" s="12" t="s">
        <v>125</v>
      </c>
      <c r="F1267" s="12" t="s">
        <v>18</v>
      </c>
      <c r="G1267" s="12" t="s">
        <v>24</v>
      </c>
      <c r="H1267" s="12" t="s">
        <v>56</v>
      </c>
      <c r="I1267" s="14">
        <v>45290</v>
      </c>
      <c r="J1267" s="12" t="s">
        <v>139</v>
      </c>
    </row>
    <row r="1268" spans="1:10" s="15" customFormat="1" x14ac:dyDescent="0.15">
      <c r="A1268" s="11">
        <v>45294</v>
      </c>
      <c r="B1268" s="12" t="s">
        <v>50</v>
      </c>
      <c r="C1268" s="12" t="s">
        <v>50</v>
      </c>
      <c r="D1268" s="13" t="str">
        <f>HYPERLINK("https://www.marklines.com/en/global/3283","Tesla, Fremont Plant")</f>
        <v>Tesla, Fremont Plant</v>
      </c>
      <c r="E1268" s="12" t="s">
        <v>140</v>
      </c>
      <c r="F1268" s="12" t="s">
        <v>15</v>
      </c>
      <c r="G1268" s="12" t="s">
        <v>11</v>
      </c>
      <c r="H1268" s="12" t="s">
        <v>49</v>
      </c>
      <c r="I1268" s="14">
        <v>45290</v>
      </c>
      <c r="J1268" s="12" t="s">
        <v>139</v>
      </c>
    </row>
    <row r="1269" spans="1:10" s="15" customFormat="1" x14ac:dyDescent="0.15">
      <c r="A1269" s="11">
        <v>45294</v>
      </c>
      <c r="B1269" s="12" t="s">
        <v>36</v>
      </c>
      <c r="C1269" s="12" t="s">
        <v>38</v>
      </c>
      <c r="D1269" s="13" t="str">
        <f>HYPERLINK("https://www.marklines.com/en/global/1327","Stellantis, FCA Italy, Mirafiori (Turin) Plant")</f>
        <v>Stellantis, FCA Italy, Mirafiori (Turin) Plant</v>
      </c>
      <c r="E1269" s="12" t="s">
        <v>82</v>
      </c>
      <c r="F1269" s="12" t="s">
        <v>16</v>
      </c>
      <c r="G1269" s="12" t="s">
        <v>37</v>
      </c>
      <c r="H1269" s="12"/>
      <c r="I1269" s="14">
        <v>45289</v>
      </c>
      <c r="J1269" s="12" t="s">
        <v>138</v>
      </c>
    </row>
    <row r="1270" spans="1:10" s="15" customFormat="1" x14ac:dyDescent="0.15">
      <c r="A1270" s="11">
        <v>45294</v>
      </c>
      <c r="B1270" s="12" t="s">
        <v>36</v>
      </c>
      <c r="C1270" s="12" t="s">
        <v>81</v>
      </c>
      <c r="D1270" s="13" t="str">
        <f>HYPERLINK("https://www.marklines.com/en/global/1327","Stellantis, FCA Italy, Mirafiori (Turin) Plant")</f>
        <v>Stellantis, FCA Italy, Mirafiori (Turin) Plant</v>
      </c>
      <c r="E1270" s="12" t="s">
        <v>82</v>
      </c>
      <c r="F1270" s="12" t="s">
        <v>16</v>
      </c>
      <c r="G1270" s="12" t="s">
        <v>37</v>
      </c>
      <c r="H1270" s="12"/>
      <c r="I1270" s="14">
        <v>45289</v>
      </c>
      <c r="J1270" s="12" t="s">
        <v>138</v>
      </c>
    </row>
    <row r="1271" spans="1:10" s="15" customFormat="1" x14ac:dyDescent="0.15">
      <c r="A1271" s="11">
        <v>45294</v>
      </c>
      <c r="B1271" s="12" t="s">
        <v>108</v>
      </c>
      <c r="C1271" s="12" t="s">
        <v>108</v>
      </c>
      <c r="D1271" s="13" t="str">
        <f>HYPERLINK("https://www.marklines.com/en/global/10491","Canoo, Pryor Assembly Plant")</f>
        <v>Canoo, Pryor Assembly Plant</v>
      </c>
      <c r="E1271" s="12" t="s">
        <v>111</v>
      </c>
      <c r="F1271" s="12" t="s">
        <v>15</v>
      </c>
      <c r="G1271" s="12" t="s">
        <v>11</v>
      </c>
      <c r="H1271" s="12" t="s">
        <v>110</v>
      </c>
      <c r="I1271" s="14">
        <v>45289</v>
      </c>
      <c r="J1271" s="12" t="s">
        <v>137</v>
      </c>
    </row>
    <row r="1272" spans="1:10" s="15" customFormat="1" x14ac:dyDescent="0.15">
      <c r="A1272" s="11">
        <v>45294</v>
      </c>
      <c r="B1272" s="12" t="s">
        <v>108</v>
      </c>
      <c r="C1272" s="12" t="s">
        <v>108</v>
      </c>
      <c r="D1272" s="13" t="str">
        <f>HYPERLINK("https://www.marklines.com/en/global/10687","Canoo, Oklahoma City Vehicle Manufacturing Facility (tentative name)")</f>
        <v>Canoo, Oklahoma City Vehicle Manufacturing Facility (tentative name)</v>
      </c>
      <c r="E1272" s="12" t="s">
        <v>109</v>
      </c>
      <c r="F1272" s="12" t="s">
        <v>15</v>
      </c>
      <c r="G1272" s="12" t="s">
        <v>11</v>
      </c>
      <c r="H1272" s="12" t="s">
        <v>110</v>
      </c>
      <c r="I1272" s="14">
        <v>45289</v>
      </c>
      <c r="J1272" s="12" t="s">
        <v>137</v>
      </c>
    </row>
    <row r="1273" spans="1:10" s="15" customFormat="1" x14ac:dyDescent="0.15">
      <c r="A1273" s="11">
        <v>45294</v>
      </c>
      <c r="B1273" s="12" t="s">
        <v>12</v>
      </c>
      <c r="C1273" s="12" t="s">
        <v>79</v>
      </c>
      <c r="D1273" s="13" t="str">
        <f>HYPERLINK("https://www.marklines.com/en/global/803","JSC UralAZ (Ural Avtomobilny Zavod), Chelyabinsk Plant")</f>
        <v>JSC UralAZ (Ural Avtomobilny Zavod), Chelyabinsk Plant</v>
      </c>
      <c r="E1273" s="12" t="s">
        <v>80</v>
      </c>
      <c r="F1273" s="12" t="s">
        <v>17</v>
      </c>
      <c r="G1273" s="12" t="s">
        <v>13</v>
      </c>
      <c r="H1273" s="12"/>
      <c r="I1273" s="14">
        <v>45288</v>
      </c>
      <c r="J1273" s="12" t="s">
        <v>136</v>
      </c>
    </row>
    <row r="1274" spans="1:10" s="15" customFormat="1" x14ac:dyDescent="0.15">
      <c r="A1274" s="11">
        <v>45294</v>
      </c>
      <c r="B1274" s="12" t="s">
        <v>65</v>
      </c>
      <c r="C1274" s="12" t="s">
        <v>96</v>
      </c>
      <c r="D1274" s="13" t="str">
        <f>HYPERLINK("https://www.marklines.com/en/global/10391","Zhejiang Geely Automobile Co., Ltd. Meishan Plant")</f>
        <v>Zhejiang Geely Automobile Co., Ltd. Meishan Plant</v>
      </c>
      <c r="E1274" s="12" t="s">
        <v>97</v>
      </c>
      <c r="F1274" s="12" t="s">
        <v>18</v>
      </c>
      <c r="G1274" s="12" t="s">
        <v>24</v>
      </c>
      <c r="H1274" s="12" t="s">
        <v>61</v>
      </c>
      <c r="I1274" s="14">
        <v>45287</v>
      </c>
      <c r="J1274" s="12" t="s">
        <v>135</v>
      </c>
    </row>
    <row r="1275" spans="1:10" s="15" customFormat="1" x14ac:dyDescent="0.15">
      <c r="A1275" s="11">
        <v>45294</v>
      </c>
      <c r="B1275" s="12" t="s">
        <v>34</v>
      </c>
      <c r="C1275" s="12" t="s">
        <v>34</v>
      </c>
      <c r="D1275" s="13" t="str">
        <f>HYPERLINK("https://www.marklines.com/en/global/709","Hyundai Motor Manufacturing Russia (HMMR), Kamenka (St. Petersburg)  Plant")</f>
        <v>Hyundai Motor Manufacturing Russia (HMMR), Kamenka (St. Petersburg)  Plant</v>
      </c>
      <c r="E1275" s="12" t="s">
        <v>98</v>
      </c>
      <c r="F1275" s="12" t="s">
        <v>17</v>
      </c>
      <c r="G1275" s="12" t="s">
        <v>13</v>
      </c>
      <c r="H1275" s="12"/>
      <c r="I1275" s="14">
        <v>45286</v>
      </c>
      <c r="J1275" s="12" t="s">
        <v>134</v>
      </c>
    </row>
    <row r="1276" spans="1:10" s="15" customFormat="1" x14ac:dyDescent="0.15">
      <c r="A1276" s="11">
        <v>45294</v>
      </c>
      <c r="B1276" s="12" t="s">
        <v>12</v>
      </c>
      <c r="C1276" s="12" t="s">
        <v>12</v>
      </c>
      <c r="D1276" s="13" t="str">
        <f>HYPERLINK("https://www.marklines.com/en/global/709","Hyundai Motor Manufacturing Russia (HMMR), Kamenka (St. Petersburg)  Plant")</f>
        <v>Hyundai Motor Manufacturing Russia (HMMR), Kamenka (St. Petersburg)  Plant</v>
      </c>
      <c r="E1276" s="12" t="s">
        <v>98</v>
      </c>
      <c r="F1276" s="12" t="s">
        <v>17</v>
      </c>
      <c r="G1276" s="12" t="s">
        <v>13</v>
      </c>
      <c r="H1276" s="12"/>
      <c r="I1276" s="14">
        <v>45286</v>
      </c>
      <c r="J1276" s="12" t="s">
        <v>134</v>
      </c>
    </row>
    <row r="1277" spans="1:10" s="15" customFormat="1" x14ac:dyDescent="0.15">
      <c r="A1277" s="11">
        <v>45294</v>
      </c>
      <c r="B1277" s="12" t="s">
        <v>48</v>
      </c>
      <c r="C1277" s="12" t="s">
        <v>119</v>
      </c>
      <c r="D1277" s="13" t="str">
        <f>HYPERLINK("https://www.marklines.com/en/global/9540","SERES Automobile Co., Ltd. (formerly Chongqing Jinkang New Energy Automobile Co., Ltd.)")</f>
        <v>SERES Automobile Co., Ltd. (formerly Chongqing Jinkang New Energy Automobile Co., Ltd.)</v>
      </c>
      <c r="E1277" s="12" t="s">
        <v>93</v>
      </c>
      <c r="F1277" s="12" t="s">
        <v>18</v>
      </c>
      <c r="G1277" s="12" t="s">
        <v>24</v>
      </c>
      <c r="H1277" s="12" t="s">
        <v>25</v>
      </c>
      <c r="I1277" s="14">
        <v>45286</v>
      </c>
      <c r="J1277" s="12" t="s">
        <v>133</v>
      </c>
    </row>
    <row r="1278" spans="1:10" s="15" customFormat="1" x14ac:dyDescent="0.15">
      <c r="A1278" s="11">
        <v>45294</v>
      </c>
      <c r="B1278" s="12" t="s">
        <v>57</v>
      </c>
      <c r="C1278" s="12" t="s">
        <v>57</v>
      </c>
      <c r="D1278" s="13" t="str">
        <f>HYPERLINK("https://www.marklines.com/en/global/9500","BYD Co., Ltd.")</f>
        <v>BYD Co., Ltd.</v>
      </c>
      <c r="E1278" s="12" t="s">
        <v>120</v>
      </c>
      <c r="F1278" s="12" t="s">
        <v>18</v>
      </c>
      <c r="G1278" s="12" t="s">
        <v>24</v>
      </c>
      <c r="H1278" s="12" t="s">
        <v>63</v>
      </c>
      <c r="I1278" s="14">
        <v>45286</v>
      </c>
      <c r="J1278" s="12" t="s">
        <v>132</v>
      </c>
    </row>
    <row r="1279" spans="1:10" s="15" customFormat="1" x14ac:dyDescent="0.15">
      <c r="A1279" s="11">
        <v>45294</v>
      </c>
      <c r="B1279" s="12" t="s">
        <v>51</v>
      </c>
      <c r="C1279" s="12" t="s">
        <v>51</v>
      </c>
      <c r="D1279" s="13" t="str">
        <f>HYPERLINK("https://www.marklines.com/en/global/9503","Shanghai NIO Automobile Co., Ltd.")</f>
        <v>Shanghai NIO Automobile Co., Ltd.</v>
      </c>
      <c r="E1279" s="12" t="s">
        <v>83</v>
      </c>
      <c r="F1279" s="12" t="s">
        <v>18</v>
      </c>
      <c r="G1279" s="12" t="s">
        <v>24</v>
      </c>
      <c r="H1279" s="12" t="s">
        <v>56</v>
      </c>
      <c r="I1279" s="14">
        <v>45285</v>
      </c>
      <c r="J1279" s="12" t="s">
        <v>131</v>
      </c>
    </row>
    <row r="1280" spans="1:10" s="15" customFormat="1" x14ac:dyDescent="0.15">
      <c r="A1280" s="11">
        <v>45293</v>
      </c>
      <c r="B1280" s="12" t="s">
        <v>86</v>
      </c>
      <c r="C1280" s="12" t="s">
        <v>86</v>
      </c>
      <c r="D1280" s="13" t="str">
        <f>HYPERLINK("https://www.marklines.com/en/global/10385","Sokolnichesky Carriage Repair and Construction Plant (SVARZ)")</f>
        <v>Sokolnichesky Carriage Repair and Construction Plant (SVARZ)</v>
      </c>
      <c r="E1280" s="12" t="s">
        <v>123</v>
      </c>
      <c r="F1280" s="12" t="s">
        <v>17</v>
      </c>
      <c r="G1280" s="12" t="s">
        <v>13</v>
      </c>
      <c r="H1280" s="12"/>
      <c r="I1280" s="14">
        <v>45290</v>
      </c>
      <c r="J1280" s="12" t="s">
        <v>130</v>
      </c>
    </row>
    <row r="1281" spans="1:10" s="15" customFormat="1" x14ac:dyDescent="0.15">
      <c r="A1281" s="11">
        <v>45293</v>
      </c>
      <c r="B1281" s="12" t="s">
        <v>86</v>
      </c>
      <c r="C1281" s="12" t="s">
        <v>86</v>
      </c>
      <c r="D1281" s="13" t="str">
        <f>HYPERLINK("https://www.marklines.com/en/global/741","Trucks Vostok Rus LLC (TVR), Naberezhnye Chelny Plant (formerly OOO Daimler Kamaz Rus (DK Rus), OOO Mercedes-Benz Trucks Vostok) ")</f>
        <v xml:space="preserve">Trucks Vostok Rus LLC (TVR), Naberezhnye Chelny Plant (formerly OOO Daimler Kamaz Rus (DK Rus), OOO Mercedes-Benz Trucks Vostok) </v>
      </c>
      <c r="E1281" s="12" t="s">
        <v>122</v>
      </c>
      <c r="F1281" s="12" t="s">
        <v>17</v>
      </c>
      <c r="G1281" s="12" t="s">
        <v>13</v>
      </c>
      <c r="H1281" s="12"/>
      <c r="I1281" s="14">
        <v>45290</v>
      </c>
      <c r="J1281" s="12" t="s">
        <v>130</v>
      </c>
    </row>
    <row r="1282" spans="1:10" s="15" customFormat="1" x14ac:dyDescent="0.15">
      <c r="A1282" s="11">
        <v>45293</v>
      </c>
      <c r="B1282" s="12" t="s">
        <v>86</v>
      </c>
      <c r="C1282" s="12" t="s">
        <v>86</v>
      </c>
      <c r="D1282" s="13" t="str">
        <f>HYPERLINK("https://www.marklines.com/en/global/9057","Neftekamsk Motor Plant OJSC (OAO Neftekamskij avtozavod (NefAZ))")</f>
        <v>Neftekamsk Motor Plant OJSC (OAO Neftekamskij avtozavod (NefAZ))</v>
      </c>
      <c r="E1282" s="12" t="s">
        <v>88</v>
      </c>
      <c r="F1282" s="12" t="s">
        <v>17</v>
      </c>
      <c r="G1282" s="12" t="s">
        <v>13</v>
      </c>
      <c r="H1282" s="12"/>
      <c r="I1282" s="14">
        <v>45290</v>
      </c>
      <c r="J1282" s="12" t="s">
        <v>130</v>
      </c>
    </row>
    <row r="1283" spans="1:10" s="15" customFormat="1" x14ac:dyDescent="0.15">
      <c r="A1283" s="11">
        <v>45293</v>
      </c>
      <c r="B1283" s="12" t="s">
        <v>86</v>
      </c>
      <c r="C1283" s="12" t="s">
        <v>86</v>
      </c>
      <c r="D1283" s="13" t="str">
        <f>HYPERLINK("https://www.marklines.com/en/global/737","Kamaz, Naberezhnye Chelny Plant")</f>
        <v>Kamaz, Naberezhnye Chelny Plant</v>
      </c>
      <c r="E1283" s="12" t="s">
        <v>87</v>
      </c>
      <c r="F1283" s="12" t="s">
        <v>17</v>
      </c>
      <c r="G1283" s="12" t="s">
        <v>13</v>
      </c>
      <c r="H1283" s="12"/>
      <c r="I1283" s="14">
        <v>45290</v>
      </c>
      <c r="J1283" s="12" t="s">
        <v>130</v>
      </c>
    </row>
    <row r="1284" spans="1:10" s="15" customFormat="1" x14ac:dyDescent="0.15">
      <c r="A1284" s="11">
        <v>45293</v>
      </c>
      <c r="B1284" s="12" t="s">
        <v>86</v>
      </c>
      <c r="C1284" s="12" t="s">
        <v>86</v>
      </c>
      <c r="D1284" s="13" t="str">
        <f>HYPERLINK("https://www.marklines.com/en/global/8718","Trucks Vostok Rus LLC (TVR), Naberezhnye Chelny Plant (for FUSO trucks) (formerly OOO Daimler Kamaz Rus (DK Rus), OOO Fuso KAMAZ Trucks Rus)")</f>
        <v>Trucks Vostok Rus LLC (TVR), Naberezhnye Chelny Plant (for FUSO trucks) (formerly OOO Daimler Kamaz Rus (DK Rus), OOO Fuso KAMAZ Trucks Rus)</v>
      </c>
      <c r="E1284" s="12" t="s">
        <v>121</v>
      </c>
      <c r="F1284" s="12" t="s">
        <v>17</v>
      </c>
      <c r="G1284" s="12" t="s">
        <v>13</v>
      </c>
      <c r="H1284" s="12"/>
      <c r="I1284" s="14">
        <v>45290</v>
      </c>
      <c r="J1284" s="12" t="s">
        <v>130</v>
      </c>
    </row>
    <row r="1285" spans="1:10" s="15" customFormat="1" x14ac:dyDescent="0.15">
      <c r="A1285" s="11">
        <v>45293</v>
      </c>
      <c r="B1285" s="12" t="s">
        <v>39</v>
      </c>
      <c r="C1285" s="12" t="s">
        <v>40</v>
      </c>
      <c r="D1285" s="13" t="str">
        <f>HYPERLINK("https://www.marklines.com/en/global/675","AvtoVAZ, Togliatti Plant")</f>
        <v>AvtoVAZ, Togliatti Plant</v>
      </c>
      <c r="E1285" s="12" t="s">
        <v>41</v>
      </c>
      <c r="F1285" s="12" t="s">
        <v>17</v>
      </c>
      <c r="G1285" s="12" t="s">
        <v>13</v>
      </c>
      <c r="H1285" s="12"/>
      <c r="I1285" s="14">
        <v>45289</v>
      </c>
      <c r="J1285" s="12" t="s">
        <v>128</v>
      </c>
    </row>
    <row r="1286" spans="1:10" s="15" customFormat="1" x14ac:dyDescent="0.15">
      <c r="A1286" s="11">
        <v>45293</v>
      </c>
      <c r="B1286" s="12" t="s">
        <v>39</v>
      </c>
      <c r="C1286" s="12" t="s">
        <v>40</v>
      </c>
      <c r="D1286" s="13" t="str">
        <f>HYPERLINK("https://www.marklines.com/en/global/727","LLC ""LADA Izhevsk"" (Former: OJSC Izh-Avto)")</f>
        <v>LLC "LADA Izhevsk" (Former: OJSC Izh-Avto)</v>
      </c>
      <c r="E1286" s="12" t="s">
        <v>129</v>
      </c>
      <c r="F1286" s="12" t="s">
        <v>17</v>
      </c>
      <c r="G1286" s="12" t="s">
        <v>13</v>
      </c>
      <c r="H1286" s="12"/>
      <c r="I1286" s="14">
        <v>45289</v>
      </c>
      <c r="J1286" s="12" t="s">
        <v>128</v>
      </c>
    </row>
    <row r="1287" spans="1:10" s="15" customFormat="1" x14ac:dyDescent="0.15">
      <c r="A1287" s="11">
        <v>45293</v>
      </c>
      <c r="B1287" s="12" t="s">
        <v>39</v>
      </c>
      <c r="C1287" s="12" t="s">
        <v>40</v>
      </c>
      <c r="D1287" s="13" t="str">
        <f>HYPERLINK("https://www.marklines.com/en/global/729","LLC ""LADA Izhevsk"", LADA Izhevsk Automotive Plant (formerly OJSC Izh-Avto, Izhevsk Automobilny Zavod) ")</f>
        <v xml:space="preserve">LLC "LADA Izhevsk", LADA Izhevsk Automotive Plant (formerly OJSC Izh-Avto, Izhevsk Automobilny Zavod) </v>
      </c>
      <c r="E1287" s="12" t="s">
        <v>46</v>
      </c>
      <c r="F1287" s="12" t="s">
        <v>17</v>
      </c>
      <c r="G1287" s="12" t="s">
        <v>13</v>
      </c>
      <c r="H1287" s="12"/>
      <c r="I1287" s="14">
        <v>45289</v>
      </c>
      <c r="J1287" s="12" t="s">
        <v>128</v>
      </c>
    </row>
    <row r="1288" spans="1:10" s="15" customFormat="1" x14ac:dyDescent="0.15">
      <c r="A1288" s="11">
        <v>45293</v>
      </c>
      <c r="B1288" s="12" t="s">
        <v>39</v>
      </c>
      <c r="C1288" s="12" t="s">
        <v>40</v>
      </c>
      <c r="D1288" s="13" t="str">
        <f>HYPERLINK("https://www.marklines.com/en/global/749","LLC Lada, St. Petersburg (former Nissan Manufacturing Rus OOO, Kamenka (St. Petersburg) Plant)")</f>
        <v>LLC Lada, St. Petersburg (former Nissan Manufacturing Rus OOO, Kamenka (St. Petersburg) Plant)</v>
      </c>
      <c r="E1288" s="12" t="s">
        <v>100</v>
      </c>
      <c r="F1288" s="12" t="s">
        <v>17</v>
      </c>
      <c r="G1288" s="12" t="s">
        <v>13</v>
      </c>
      <c r="H1288" s="12"/>
      <c r="I1288" s="14">
        <v>45289</v>
      </c>
      <c r="J1288" s="12" t="s">
        <v>128</v>
      </c>
    </row>
    <row r="1289" spans="1:10" s="15" customFormat="1" x14ac:dyDescent="0.15">
      <c r="A1289" s="11">
        <v>45293</v>
      </c>
      <c r="B1289" s="12" t="s">
        <v>72</v>
      </c>
      <c r="C1289" s="12" t="s">
        <v>72</v>
      </c>
      <c r="D1289" s="13" t="str">
        <f>HYPERLINK("https://www.marklines.com/en/global/4163","Chongqing Changan Automobile Co., Ltd.")</f>
        <v>Chongqing Changan Automobile Co., Ltd.</v>
      </c>
      <c r="E1289" s="12" t="s">
        <v>77</v>
      </c>
      <c r="F1289" s="12" t="s">
        <v>18</v>
      </c>
      <c r="G1289" s="12" t="s">
        <v>24</v>
      </c>
      <c r="H1289" s="12" t="s">
        <v>25</v>
      </c>
      <c r="I1289" s="14">
        <v>45287</v>
      </c>
      <c r="J1289" s="12" t="s">
        <v>127</v>
      </c>
    </row>
    <row r="1290" spans="1:10" s="15" customFormat="1" x14ac:dyDescent="0.15">
      <c r="A1290" s="11">
        <v>45293</v>
      </c>
      <c r="B1290" s="12" t="s">
        <v>21</v>
      </c>
      <c r="C1290" s="12" t="s">
        <v>21</v>
      </c>
      <c r="D1290" s="13" t="str">
        <f>HYPERLINK("https://www.marklines.com/en/global/1861","Ford Otomotiv Sanayi A.S., Craiova Plant (formerly Ford Romania S.A.)")</f>
        <v>Ford Otomotiv Sanayi A.S., Craiova Plant (formerly Ford Romania S.A.)</v>
      </c>
      <c r="E1290" s="12" t="s">
        <v>89</v>
      </c>
      <c r="F1290" s="12" t="s">
        <v>17</v>
      </c>
      <c r="G1290" s="12" t="s">
        <v>90</v>
      </c>
      <c r="H1290" s="12"/>
      <c r="I1290" s="14">
        <v>45285</v>
      </c>
      <c r="J1290" s="12" t="s">
        <v>126</v>
      </c>
    </row>
    <row r="1291" spans="1:10" x14ac:dyDescent="0.15">
      <c r="A1291" s="7"/>
      <c r="B1291" s="8"/>
      <c r="C1291" s="8"/>
      <c r="D1291" s="9"/>
      <c r="E1291" s="8"/>
      <c r="F1291" s="8"/>
      <c r="G1291" s="8"/>
      <c r="H1291" s="8"/>
      <c r="I1291" s="10"/>
      <c r="J1291" s="8"/>
    </row>
    <row r="1292" spans="1:10" x14ac:dyDescent="0.15">
      <c r="A1292" s="7"/>
      <c r="B1292" s="8"/>
      <c r="C1292" s="8"/>
      <c r="D1292" s="9"/>
      <c r="E1292" s="8"/>
      <c r="F1292" s="8"/>
      <c r="G1292" s="8"/>
      <c r="H1292" s="8"/>
      <c r="I1292" s="10"/>
      <c r="J1292" s="8"/>
    </row>
    <row r="1293" spans="1:10" x14ac:dyDescent="0.15">
      <c r="A1293" s="7"/>
      <c r="B1293" s="8"/>
      <c r="C1293" s="8"/>
      <c r="D1293" s="9"/>
      <c r="E1293" s="8"/>
      <c r="F1293" s="8"/>
      <c r="G1293" s="8"/>
      <c r="H1293" s="8"/>
      <c r="I1293" s="10"/>
      <c r="J1293" s="8"/>
    </row>
    <row r="1294" spans="1:10" x14ac:dyDescent="0.15">
      <c r="A1294" s="7"/>
      <c r="B1294" s="8"/>
      <c r="C1294" s="8"/>
      <c r="D1294" s="9"/>
      <c r="E1294" s="8"/>
      <c r="F1294" s="8"/>
      <c r="G1294" s="8"/>
      <c r="H1294" s="8"/>
      <c r="I1294" s="10"/>
      <c r="J1294" s="8"/>
    </row>
    <row r="1295" spans="1:10" x14ac:dyDescent="0.15">
      <c r="A1295" s="7"/>
      <c r="B1295" s="8"/>
      <c r="C1295" s="8"/>
      <c r="D1295" s="9"/>
      <c r="E1295" s="8"/>
      <c r="F1295" s="8"/>
      <c r="G1295" s="8"/>
      <c r="H1295" s="8"/>
      <c r="I1295" s="10"/>
      <c r="J1295" s="8"/>
    </row>
    <row r="1296" spans="1:10" x14ac:dyDescent="0.15">
      <c r="A1296" s="7"/>
      <c r="B1296" s="8"/>
      <c r="C1296" s="8"/>
      <c r="D1296" s="9"/>
      <c r="E1296" s="8"/>
      <c r="F1296" s="8"/>
      <c r="G1296" s="8"/>
      <c r="H1296" s="8"/>
      <c r="I1296" s="10"/>
      <c r="J1296" s="8"/>
    </row>
    <row r="1297" spans="1:10" x14ac:dyDescent="0.15">
      <c r="A1297" s="7"/>
      <c r="B1297" s="8"/>
      <c r="C1297" s="8"/>
      <c r="D1297" s="9"/>
      <c r="E1297" s="8"/>
      <c r="F1297" s="8"/>
      <c r="G1297" s="8"/>
      <c r="H1297" s="8"/>
      <c r="I1297" s="10"/>
      <c r="J1297" s="8"/>
    </row>
    <row r="1298" spans="1:10" x14ac:dyDescent="0.15">
      <c r="A1298" s="7"/>
      <c r="B1298" s="8"/>
      <c r="C1298" s="8"/>
      <c r="D1298" s="9"/>
      <c r="E1298" s="8"/>
      <c r="F1298" s="8"/>
      <c r="G1298" s="8"/>
      <c r="H1298" s="8"/>
      <c r="I1298" s="10"/>
      <c r="J1298" s="8"/>
    </row>
    <row r="1299" spans="1:10" x14ac:dyDescent="0.15">
      <c r="A1299" s="7"/>
      <c r="B1299" s="8"/>
      <c r="C1299" s="8"/>
      <c r="D1299" s="9"/>
      <c r="E1299" s="8"/>
      <c r="F1299" s="8"/>
      <c r="G1299" s="8"/>
      <c r="H1299" s="8"/>
      <c r="I1299" s="10"/>
      <c r="J1299" s="8"/>
    </row>
    <row r="1300" spans="1:10" x14ac:dyDescent="0.15">
      <c r="A1300" s="7"/>
      <c r="B1300" s="8"/>
      <c r="C1300" s="8"/>
      <c r="D1300" s="9"/>
      <c r="E1300" s="8"/>
      <c r="F1300" s="8"/>
      <c r="G1300" s="8"/>
      <c r="H1300" s="8"/>
      <c r="I1300" s="10"/>
      <c r="J1300" s="8"/>
    </row>
    <row r="1301" spans="1:10" x14ac:dyDescent="0.15">
      <c r="A1301" s="7"/>
      <c r="B1301" s="8"/>
      <c r="C1301" s="8"/>
      <c r="D1301" s="9"/>
      <c r="E1301" s="8"/>
      <c r="F1301" s="8"/>
      <c r="G1301" s="8"/>
      <c r="H1301" s="8"/>
      <c r="I1301" s="10"/>
      <c r="J1301" s="8"/>
    </row>
    <row r="1302" spans="1:10" x14ac:dyDescent="0.15">
      <c r="A1302" s="7"/>
      <c r="B1302" s="8"/>
      <c r="C1302" s="8"/>
      <c r="D1302" s="9"/>
      <c r="E1302" s="8"/>
      <c r="F1302" s="8"/>
      <c r="G1302" s="8"/>
      <c r="H1302" s="8"/>
      <c r="I1302" s="10"/>
      <c r="J1302" s="8"/>
    </row>
    <row r="1303" spans="1:10" x14ac:dyDescent="0.15">
      <c r="A1303" s="7"/>
      <c r="B1303" s="8"/>
      <c r="C1303" s="8"/>
      <c r="D1303" s="9"/>
      <c r="E1303" s="8"/>
      <c r="F1303" s="8"/>
      <c r="G1303" s="8"/>
      <c r="H1303" s="8"/>
      <c r="I1303" s="10"/>
      <c r="J1303" s="8"/>
    </row>
    <row r="1304" spans="1:10" x14ac:dyDescent="0.15">
      <c r="A1304" s="7"/>
      <c r="B1304" s="8"/>
      <c r="C1304" s="8"/>
      <c r="D1304" s="9"/>
      <c r="E1304" s="8"/>
      <c r="F1304" s="8"/>
      <c r="G1304" s="8"/>
      <c r="H1304" s="8"/>
      <c r="I1304" s="10"/>
      <c r="J1304" s="8"/>
    </row>
    <row r="1305" spans="1:10" x14ac:dyDescent="0.15">
      <c r="A1305" s="7"/>
      <c r="B1305" s="8"/>
      <c r="C1305" s="8"/>
      <c r="D1305" s="9"/>
      <c r="E1305" s="8"/>
      <c r="F1305" s="8"/>
      <c r="G1305" s="8"/>
      <c r="H1305" s="8"/>
      <c r="I1305" s="10"/>
      <c r="J1305" s="8"/>
    </row>
    <row r="1306" spans="1:10" x14ac:dyDescent="0.15">
      <c r="A1306" s="7"/>
      <c r="B1306" s="8"/>
      <c r="C1306" s="8"/>
      <c r="D1306" s="9"/>
      <c r="E1306" s="8"/>
      <c r="F1306" s="8"/>
      <c r="G1306" s="8"/>
      <c r="H1306" s="8"/>
      <c r="I1306" s="10"/>
      <c r="J1306" s="8"/>
    </row>
    <row r="1307" spans="1:10" x14ac:dyDescent="0.15">
      <c r="A1307" s="7"/>
      <c r="B1307" s="8"/>
      <c r="C1307" s="8"/>
      <c r="D1307" s="9"/>
      <c r="E1307" s="8"/>
      <c r="F1307" s="8"/>
      <c r="G1307" s="8"/>
      <c r="H1307" s="8"/>
      <c r="I1307" s="10"/>
      <c r="J1307" s="8"/>
    </row>
    <row r="1308" spans="1:10" x14ac:dyDescent="0.15">
      <c r="A1308" s="7"/>
      <c r="B1308" s="8"/>
      <c r="C1308" s="8"/>
      <c r="D1308" s="9"/>
      <c r="E1308" s="8"/>
      <c r="F1308" s="8"/>
      <c r="G1308" s="8"/>
      <c r="H1308" s="8"/>
      <c r="I1308" s="10"/>
      <c r="J1308" s="8"/>
    </row>
    <row r="1309" spans="1:10" x14ac:dyDescent="0.15">
      <c r="A1309" s="7"/>
      <c r="B1309" s="8"/>
      <c r="C1309" s="8"/>
      <c r="D1309" s="9"/>
      <c r="E1309" s="8"/>
      <c r="F1309" s="8"/>
      <c r="G1309" s="8"/>
      <c r="H1309" s="8"/>
      <c r="I1309" s="10"/>
      <c r="J1309" s="8"/>
    </row>
    <row r="1310" spans="1:10" x14ac:dyDescent="0.15">
      <c r="A1310" s="7"/>
      <c r="B1310" s="8"/>
      <c r="C1310" s="8"/>
      <c r="D1310" s="9"/>
      <c r="E1310" s="8"/>
      <c r="F1310" s="8"/>
      <c r="G1310" s="8"/>
      <c r="H1310" s="8"/>
      <c r="I1310" s="10"/>
      <c r="J1310" s="8"/>
    </row>
    <row r="1311" spans="1:10" x14ac:dyDescent="0.15">
      <c r="A1311" s="7"/>
      <c r="B1311" s="8"/>
      <c r="C1311" s="8"/>
      <c r="D1311" s="9"/>
      <c r="E1311" s="8"/>
      <c r="F1311" s="8"/>
      <c r="G1311" s="8"/>
      <c r="H1311" s="8"/>
      <c r="I1311" s="10"/>
      <c r="J1311" s="8"/>
    </row>
    <row r="1312" spans="1:10" x14ac:dyDescent="0.15">
      <c r="A1312" s="7"/>
      <c r="B1312" s="8"/>
      <c r="C1312" s="8"/>
      <c r="D1312" s="9"/>
      <c r="E1312" s="8"/>
      <c r="F1312" s="8"/>
      <c r="G1312" s="8"/>
      <c r="H1312" s="8"/>
      <c r="I1312" s="10"/>
      <c r="J1312" s="8"/>
    </row>
    <row r="1313" spans="1:10" x14ac:dyDescent="0.15">
      <c r="A1313" s="7"/>
      <c r="B1313" s="8"/>
      <c r="C1313" s="8"/>
      <c r="D1313" s="9"/>
      <c r="E1313" s="8"/>
      <c r="F1313" s="8"/>
      <c r="G1313" s="8"/>
      <c r="H1313" s="8"/>
      <c r="I1313" s="10"/>
      <c r="J1313" s="8"/>
    </row>
    <row r="1314" spans="1:10" x14ac:dyDescent="0.15">
      <c r="A1314" s="7"/>
      <c r="B1314" s="8"/>
      <c r="C1314" s="8"/>
      <c r="D1314" s="9"/>
      <c r="E1314" s="8"/>
      <c r="F1314" s="8"/>
      <c r="G1314" s="8"/>
      <c r="H1314" s="8"/>
      <c r="I1314" s="10"/>
      <c r="J1314" s="8"/>
    </row>
    <row r="1315" spans="1:10" x14ac:dyDescent="0.15">
      <c r="A1315" s="7"/>
      <c r="B1315" s="8"/>
      <c r="C1315" s="8"/>
      <c r="D1315" s="9"/>
      <c r="E1315" s="8"/>
      <c r="F1315" s="8"/>
      <c r="G1315" s="8"/>
      <c r="H1315" s="8"/>
      <c r="I1315" s="10"/>
      <c r="J1315" s="8"/>
    </row>
    <row r="1316" spans="1:10" x14ac:dyDescent="0.15">
      <c r="A1316" s="7"/>
      <c r="B1316" s="8"/>
      <c r="C1316" s="8"/>
      <c r="D1316" s="9"/>
      <c r="E1316" s="8"/>
      <c r="F1316" s="8"/>
      <c r="G1316" s="8"/>
      <c r="H1316" s="8"/>
      <c r="I1316" s="10"/>
      <c r="J1316" s="8"/>
    </row>
    <row r="1317" spans="1:10" x14ac:dyDescent="0.15">
      <c r="A1317" s="7"/>
      <c r="B1317" s="8"/>
      <c r="C1317" s="8"/>
      <c r="D1317" s="9"/>
      <c r="E1317" s="8"/>
      <c r="F1317" s="8"/>
      <c r="G1317" s="8"/>
      <c r="H1317" s="8"/>
      <c r="I1317" s="10"/>
      <c r="J1317" s="8"/>
    </row>
    <row r="1318" spans="1:10" x14ac:dyDescent="0.15">
      <c r="A1318" s="7"/>
      <c r="B1318" s="8"/>
      <c r="C1318" s="8"/>
      <c r="D1318" s="9"/>
      <c r="E1318" s="8"/>
      <c r="F1318" s="8"/>
      <c r="G1318" s="8"/>
      <c r="H1318" s="8"/>
      <c r="I1318" s="10"/>
      <c r="J1318" s="8"/>
    </row>
    <row r="1319" spans="1:10" x14ac:dyDescent="0.15">
      <c r="A1319" s="7"/>
      <c r="B1319" s="8"/>
      <c r="C1319" s="8"/>
      <c r="D1319" s="9"/>
      <c r="E1319" s="8"/>
      <c r="F1319" s="8"/>
      <c r="G1319" s="8"/>
      <c r="H1319" s="8"/>
      <c r="I1319" s="10"/>
      <c r="J1319" s="8"/>
    </row>
    <row r="1320" spans="1:10" x14ac:dyDescent="0.15">
      <c r="A1320" s="7"/>
      <c r="B1320" s="8"/>
      <c r="C1320" s="8"/>
      <c r="D1320" s="9"/>
      <c r="E1320" s="8"/>
      <c r="F1320" s="8"/>
      <c r="G1320" s="8"/>
      <c r="H1320" s="8"/>
      <c r="I1320" s="10"/>
      <c r="J1320" s="8"/>
    </row>
    <row r="1321" spans="1:10" x14ac:dyDescent="0.15">
      <c r="A1321" s="7"/>
      <c r="B1321" s="8"/>
      <c r="C1321" s="8"/>
      <c r="D1321" s="9"/>
      <c r="E1321" s="8"/>
      <c r="F1321" s="8"/>
      <c r="G1321" s="8"/>
      <c r="H1321" s="8"/>
      <c r="I1321" s="10"/>
      <c r="J1321" s="8"/>
    </row>
    <row r="1322" spans="1:10" x14ac:dyDescent="0.15">
      <c r="A1322" s="7"/>
      <c r="B1322" s="8"/>
      <c r="C1322" s="8"/>
      <c r="D1322" s="9"/>
      <c r="E1322" s="8"/>
      <c r="F1322" s="8"/>
      <c r="G1322" s="8"/>
      <c r="H1322" s="8"/>
      <c r="I1322" s="10"/>
      <c r="J1322" s="8"/>
    </row>
    <row r="1323" spans="1:10" x14ac:dyDescent="0.15">
      <c r="A1323" s="7"/>
      <c r="B1323" s="8"/>
      <c r="C1323" s="8"/>
      <c r="D1323" s="9"/>
      <c r="E1323" s="8"/>
      <c r="F1323" s="8"/>
      <c r="G1323" s="8"/>
      <c r="H1323" s="8"/>
      <c r="I1323" s="10"/>
      <c r="J1323" s="8"/>
    </row>
    <row r="1324" spans="1:10" x14ac:dyDescent="0.15">
      <c r="A1324" s="7"/>
      <c r="B1324" s="8"/>
      <c r="C1324" s="8"/>
      <c r="D1324" s="9"/>
      <c r="E1324" s="8"/>
      <c r="F1324" s="8"/>
      <c r="G1324" s="8"/>
      <c r="H1324" s="8"/>
      <c r="I1324" s="10"/>
      <c r="J1324" s="8"/>
    </row>
    <row r="1325" spans="1:10" x14ac:dyDescent="0.15">
      <c r="A1325" s="7"/>
      <c r="B1325" s="8"/>
      <c r="C1325" s="8"/>
      <c r="D1325" s="9"/>
      <c r="E1325" s="8"/>
      <c r="F1325" s="8"/>
      <c r="G1325" s="8"/>
      <c r="H1325" s="8"/>
      <c r="I1325" s="10"/>
      <c r="J1325" s="8"/>
    </row>
    <row r="1326" spans="1:10" x14ac:dyDescent="0.15">
      <c r="A1326" s="7"/>
      <c r="B1326" s="8"/>
      <c r="C1326" s="8"/>
      <c r="D1326" s="9"/>
      <c r="E1326" s="8"/>
      <c r="F1326" s="8"/>
      <c r="G1326" s="8"/>
      <c r="H1326" s="8"/>
      <c r="I1326" s="10"/>
      <c r="J1326" s="8"/>
    </row>
    <row r="1327" spans="1:10" x14ac:dyDescent="0.15">
      <c r="A1327" s="7"/>
      <c r="B1327" s="8"/>
      <c r="C1327" s="8"/>
      <c r="D1327" s="9"/>
      <c r="E1327" s="8"/>
      <c r="F1327" s="8"/>
      <c r="G1327" s="8"/>
      <c r="H1327" s="8"/>
      <c r="I1327" s="10"/>
      <c r="J1327" s="8"/>
    </row>
    <row r="1328" spans="1:10" x14ac:dyDescent="0.15">
      <c r="A1328" s="7"/>
      <c r="B1328" s="8"/>
      <c r="C1328" s="8"/>
      <c r="D1328" s="9"/>
      <c r="E1328" s="8"/>
      <c r="F1328" s="8"/>
      <c r="G1328" s="8"/>
      <c r="H1328" s="8"/>
      <c r="I1328" s="10"/>
      <c r="J1328" s="8"/>
    </row>
    <row r="1329" spans="1:10" x14ac:dyDescent="0.15">
      <c r="A1329" s="7"/>
      <c r="B1329" s="8"/>
      <c r="C1329" s="8"/>
      <c r="D1329" s="9"/>
      <c r="E1329" s="8"/>
      <c r="F1329" s="8"/>
      <c r="G1329" s="8"/>
      <c r="H1329" s="8"/>
      <c r="I1329" s="10"/>
      <c r="J1329" s="8"/>
    </row>
    <row r="1330" spans="1:10" x14ac:dyDescent="0.15">
      <c r="A1330" s="7"/>
      <c r="B1330" s="8"/>
      <c r="C1330" s="8"/>
      <c r="D1330" s="9"/>
      <c r="E1330" s="8"/>
      <c r="F1330" s="8"/>
      <c r="G1330" s="8"/>
      <c r="H1330" s="8"/>
      <c r="I1330" s="10"/>
      <c r="J1330" s="8"/>
    </row>
    <row r="1331" spans="1:10" x14ac:dyDescent="0.15">
      <c r="A1331" s="7"/>
      <c r="B1331" s="8"/>
      <c r="C1331" s="8"/>
      <c r="D1331" s="9"/>
      <c r="E1331" s="8"/>
      <c r="F1331" s="8"/>
      <c r="G1331" s="8"/>
      <c r="H1331" s="8"/>
      <c r="I1331" s="10"/>
      <c r="J1331" s="8"/>
    </row>
    <row r="1332" spans="1:10" x14ac:dyDescent="0.15">
      <c r="A1332" s="7"/>
      <c r="B1332" s="8"/>
      <c r="C1332" s="8"/>
      <c r="D1332" s="9"/>
      <c r="E1332" s="8"/>
      <c r="F1332" s="8"/>
      <c r="G1332" s="8"/>
      <c r="H1332" s="8"/>
      <c r="I1332" s="10"/>
      <c r="J1332" s="8"/>
    </row>
    <row r="1333" spans="1:10" x14ac:dyDescent="0.15">
      <c r="A1333" s="7"/>
      <c r="B1333" s="8"/>
      <c r="C1333" s="8"/>
      <c r="D1333" s="9"/>
      <c r="E1333" s="8"/>
      <c r="F1333" s="8"/>
      <c r="G1333" s="8"/>
      <c r="H1333" s="8"/>
      <c r="I1333" s="10"/>
      <c r="J1333" s="8"/>
    </row>
    <row r="1334" spans="1:10" x14ac:dyDescent="0.15">
      <c r="A1334" s="7"/>
      <c r="B1334" s="8"/>
      <c r="C1334" s="8"/>
      <c r="D1334" s="9"/>
      <c r="E1334" s="8"/>
      <c r="F1334" s="8"/>
      <c r="G1334" s="8"/>
      <c r="H1334" s="8"/>
      <c r="I1334" s="10"/>
      <c r="J1334" s="8"/>
    </row>
    <row r="1335" spans="1:10" x14ac:dyDescent="0.15">
      <c r="A1335" s="7"/>
      <c r="B1335" s="8"/>
      <c r="C1335" s="8"/>
      <c r="D1335" s="9"/>
      <c r="E1335" s="8"/>
      <c r="F1335" s="8"/>
      <c r="G1335" s="8"/>
      <c r="H1335" s="8"/>
      <c r="I1335" s="10"/>
      <c r="J1335" s="8"/>
    </row>
    <row r="1336" spans="1:10" x14ac:dyDescent="0.15">
      <c r="A1336" s="7"/>
      <c r="B1336" s="8"/>
      <c r="C1336" s="8"/>
      <c r="D1336" s="9"/>
      <c r="E1336" s="8"/>
      <c r="F1336" s="8"/>
      <c r="G1336" s="8"/>
      <c r="H1336" s="8"/>
      <c r="I1336" s="10"/>
      <c r="J1336" s="8"/>
    </row>
    <row r="1337" spans="1:10" x14ac:dyDescent="0.15">
      <c r="A1337" s="7"/>
      <c r="B1337" s="8"/>
      <c r="C1337" s="8"/>
      <c r="D1337" s="9"/>
      <c r="E1337" s="8"/>
      <c r="F1337" s="8"/>
      <c r="G1337" s="8"/>
      <c r="H1337" s="8"/>
      <c r="I1337" s="10"/>
      <c r="J1337" s="8"/>
    </row>
    <row r="1338" spans="1:10" x14ac:dyDescent="0.15">
      <c r="A1338" s="7"/>
      <c r="B1338" s="8"/>
      <c r="C1338" s="8"/>
      <c r="D1338" s="9"/>
      <c r="E1338" s="8"/>
      <c r="F1338" s="8"/>
      <c r="G1338" s="8"/>
      <c r="H1338" s="8"/>
      <c r="I1338" s="10"/>
      <c r="J1338" s="8"/>
    </row>
    <row r="1339" spans="1:10" x14ac:dyDescent="0.15">
      <c r="A1339" s="7"/>
      <c r="B1339" s="8"/>
      <c r="C1339" s="8"/>
      <c r="D1339" s="9"/>
      <c r="E1339" s="8"/>
      <c r="F1339" s="8"/>
      <c r="G1339" s="8"/>
      <c r="H1339" s="8"/>
      <c r="I1339" s="10"/>
      <c r="J1339" s="8"/>
    </row>
    <row r="1340" spans="1:10" x14ac:dyDescent="0.15">
      <c r="A1340" s="7"/>
      <c r="B1340" s="8"/>
      <c r="C1340" s="8"/>
      <c r="D1340" s="9"/>
      <c r="E1340" s="8"/>
      <c r="F1340" s="8"/>
      <c r="G1340" s="8"/>
      <c r="H1340" s="8"/>
      <c r="I1340" s="10"/>
      <c r="J1340" s="8"/>
    </row>
    <row r="1341" spans="1:10" x14ac:dyDescent="0.15">
      <c r="A1341" s="7"/>
      <c r="B1341" s="8"/>
      <c r="C1341" s="8"/>
      <c r="D1341" s="9"/>
      <c r="E1341" s="8"/>
      <c r="F1341" s="8"/>
      <c r="G1341" s="8"/>
      <c r="H1341" s="8"/>
      <c r="I1341" s="10"/>
      <c r="J1341" s="8"/>
    </row>
    <row r="1342" spans="1:10" x14ac:dyDescent="0.15">
      <c r="A1342" s="7"/>
      <c r="B1342" s="8"/>
      <c r="C1342" s="8"/>
      <c r="D1342" s="9"/>
      <c r="E1342" s="8"/>
      <c r="F1342" s="8"/>
      <c r="G1342" s="8"/>
      <c r="H1342" s="8"/>
      <c r="I1342" s="10"/>
      <c r="J1342" s="8"/>
    </row>
    <row r="1343" spans="1:10" x14ac:dyDescent="0.15">
      <c r="A1343" s="7"/>
      <c r="B1343" s="8"/>
      <c r="C1343" s="8"/>
      <c r="D1343" s="9"/>
      <c r="E1343" s="8"/>
      <c r="F1343" s="8"/>
      <c r="G1343" s="8"/>
      <c r="H1343" s="8"/>
      <c r="I1343" s="10"/>
      <c r="J1343" s="8"/>
    </row>
    <row r="1344" spans="1:10" x14ac:dyDescent="0.15">
      <c r="A1344" s="7"/>
      <c r="B1344" s="8"/>
      <c r="C1344" s="8"/>
      <c r="D1344" s="9"/>
      <c r="E1344" s="8"/>
      <c r="F1344" s="8"/>
      <c r="G1344" s="8"/>
      <c r="H1344" s="8"/>
      <c r="I1344" s="10"/>
      <c r="J1344" s="8"/>
    </row>
    <row r="1345" spans="1:10" x14ac:dyDescent="0.15">
      <c r="A1345" s="7"/>
      <c r="B1345" s="8"/>
      <c r="C1345" s="8"/>
      <c r="D1345" s="9"/>
      <c r="E1345" s="8"/>
      <c r="F1345" s="8"/>
      <c r="G1345" s="8"/>
      <c r="H1345" s="8"/>
      <c r="I1345" s="10"/>
      <c r="J1345" s="8"/>
    </row>
    <row r="1346" spans="1:10" x14ac:dyDescent="0.15">
      <c r="A1346" s="7"/>
      <c r="B1346" s="8"/>
      <c r="C1346" s="8"/>
      <c r="D1346" s="9"/>
      <c r="E1346" s="8"/>
      <c r="F1346" s="8"/>
      <c r="G1346" s="8"/>
      <c r="H1346" s="8"/>
      <c r="I1346" s="10"/>
      <c r="J1346" s="8"/>
    </row>
    <row r="1347" spans="1:10" x14ac:dyDescent="0.15">
      <c r="A1347" s="7"/>
      <c r="B1347" s="8"/>
      <c r="C1347" s="8"/>
      <c r="D1347" s="9"/>
      <c r="E1347" s="8"/>
      <c r="F1347" s="8"/>
      <c r="G1347" s="8"/>
      <c r="H1347" s="8"/>
      <c r="I1347" s="10"/>
      <c r="J1347" s="8"/>
    </row>
    <row r="1348" spans="1:10" x14ac:dyDescent="0.15">
      <c r="A1348" s="7"/>
      <c r="B1348" s="8"/>
      <c r="C1348" s="8"/>
      <c r="D1348" s="9"/>
      <c r="E1348" s="8"/>
      <c r="F1348" s="8"/>
      <c r="G1348" s="8"/>
      <c r="H1348" s="8"/>
      <c r="I1348" s="10"/>
      <c r="J1348" s="8"/>
    </row>
    <row r="1349" spans="1:10" x14ac:dyDescent="0.15">
      <c r="A1349" s="7"/>
      <c r="B1349" s="8"/>
      <c r="C1349" s="8"/>
      <c r="D1349" s="9"/>
      <c r="E1349" s="8"/>
      <c r="F1349" s="8"/>
      <c r="G1349" s="8"/>
      <c r="H1349" s="8"/>
      <c r="I1349" s="10"/>
      <c r="J1349" s="8"/>
    </row>
    <row r="1350" spans="1:10" x14ac:dyDescent="0.15">
      <c r="A1350" s="7"/>
      <c r="B1350" s="8"/>
      <c r="C1350" s="8"/>
      <c r="D1350" s="9"/>
      <c r="E1350" s="8"/>
      <c r="F1350" s="8"/>
      <c r="G1350" s="8"/>
      <c r="H1350" s="8"/>
      <c r="I1350" s="10"/>
      <c r="J1350" s="8"/>
    </row>
    <row r="1351" spans="1:10" x14ac:dyDescent="0.15">
      <c r="A1351" s="7"/>
      <c r="B1351" s="8"/>
      <c r="C1351" s="8"/>
      <c r="D1351" s="9"/>
      <c r="E1351" s="8"/>
      <c r="F1351" s="8"/>
      <c r="G1351" s="8"/>
      <c r="H1351" s="8"/>
      <c r="I1351" s="10"/>
      <c r="J1351" s="8"/>
    </row>
    <row r="1352" spans="1:10" x14ac:dyDescent="0.15">
      <c r="A1352" s="7"/>
      <c r="B1352" s="8"/>
      <c r="C1352" s="8"/>
      <c r="D1352" s="9"/>
      <c r="E1352" s="8"/>
      <c r="F1352" s="8"/>
      <c r="G1352" s="8"/>
      <c r="H1352" s="8"/>
      <c r="I1352" s="10"/>
      <c r="J1352" s="8"/>
    </row>
    <row r="1353" spans="1:10" x14ac:dyDescent="0.15">
      <c r="A1353" s="7"/>
      <c r="B1353" s="8"/>
      <c r="C1353" s="8"/>
      <c r="D1353" s="9"/>
      <c r="E1353" s="8"/>
      <c r="F1353" s="8"/>
      <c r="G1353" s="8"/>
      <c r="H1353" s="8"/>
      <c r="I1353" s="10"/>
      <c r="J1353" s="8"/>
    </row>
    <row r="1354" spans="1:10" x14ac:dyDescent="0.15">
      <c r="A1354" s="7"/>
      <c r="B1354" s="8"/>
      <c r="C1354" s="8"/>
      <c r="D1354" s="9"/>
      <c r="E1354" s="8"/>
      <c r="F1354" s="8"/>
      <c r="G1354" s="8"/>
      <c r="H1354" s="8"/>
      <c r="I1354" s="10"/>
      <c r="J1354" s="8"/>
    </row>
    <row r="1355" spans="1:10" x14ac:dyDescent="0.15">
      <c r="A1355" s="7"/>
      <c r="B1355" s="8"/>
      <c r="C1355" s="8"/>
      <c r="D1355" s="9"/>
      <c r="E1355" s="8"/>
      <c r="F1355" s="8"/>
      <c r="G1355" s="8"/>
      <c r="H1355" s="8"/>
      <c r="I1355" s="10"/>
      <c r="J1355" s="8"/>
    </row>
    <row r="1356" spans="1:10" x14ac:dyDescent="0.15">
      <c r="A1356" s="7"/>
      <c r="B1356" s="8"/>
      <c r="C1356" s="8"/>
      <c r="D1356" s="9"/>
      <c r="E1356" s="8"/>
      <c r="F1356" s="8"/>
      <c r="G1356" s="8"/>
      <c r="H1356" s="8"/>
      <c r="I1356" s="10"/>
      <c r="J1356" s="8"/>
    </row>
    <row r="1357" spans="1:10" x14ac:dyDescent="0.15">
      <c r="A1357" s="7"/>
      <c r="B1357" s="8"/>
      <c r="C1357" s="8"/>
      <c r="D1357" s="9"/>
      <c r="E1357" s="8"/>
      <c r="F1357" s="8"/>
      <c r="G1357" s="8"/>
      <c r="H1357" s="8"/>
      <c r="I1357" s="10"/>
      <c r="J1357" s="8"/>
    </row>
    <row r="1358" spans="1:10" x14ac:dyDescent="0.15">
      <c r="A1358" s="7"/>
      <c r="B1358" s="8"/>
      <c r="C1358" s="8"/>
      <c r="D1358" s="9"/>
      <c r="E1358" s="8"/>
      <c r="F1358" s="8"/>
      <c r="G1358" s="8"/>
      <c r="H1358" s="8"/>
      <c r="I1358" s="10"/>
      <c r="J1358" s="8"/>
    </row>
    <row r="1359" spans="1:10" x14ac:dyDescent="0.15">
      <c r="A1359" s="7"/>
      <c r="B1359" s="8"/>
      <c r="C1359" s="8"/>
      <c r="D1359" s="9"/>
      <c r="E1359" s="8"/>
      <c r="F1359" s="8"/>
      <c r="G1359" s="8"/>
      <c r="H1359" s="8"/>
      <c r="I1359" s="10"/>
      <c r="J1359" s="8"/>
    </row>
    <row r="1360" spans="1:10" x14ac:dyDescent="0.15">
      <c r="A1360" s="7"/>
      <c r="B1360" s="8"/>
      <c r="C1360" s="8"/>
      <c r="D1360" s="9"/>
      <c r="E1360" s="8"/>
      <c r="F1360" s="8"/>
      <c r="G1360" s="8"/>
      <c r="H1360" s="8"/>
      <c r="I1360" s="10"/>
      <c r="J1360" s="8"/>
    </row>
    <row r="1361" spans="1:10" x14ac:dyDescent="0.15">
      <c r="A1361" s="7"/>
      <c r="B1361" s="8"/>
      <c r="C1361" s="8"/>
      <c r="D1361" s="9"/>
      <c r="E1361" s="8"/>
      <c r="F1361" s="8"/>
      <c r="G1361" s="8"/>
      <c r="H1361" s="8"/>
      <c r="I1361" s="10"/>
      <c r="J1361" s="8"/>
    </row>
    <row r="1362" spans="1:10" x14ac:dyDescent="0.15">
      <c r="A1362" s="7"/>
      <c r="B1362" s="8"/>
      <c r="C1362" s="8"/>
      <c r="D1362" s="9"/>
      <c r="E1362" s="8"/>
      <c r="F1362" s="8"/>
      <c r="G1362" s="8"/>
      <c r="H1362" s="8"/>
      <c r="I1362" s="10"/>
      <c r="J1362" s="8"/>
    </row>
    <row r="1363" spans="1:10" x14ac:dyDescent="0.15">
      <c r="A1363" s="7"/>
      <c r="B1363" s="8"/>
      <c r="C1363" s="8"/>
      <c r="D1363" s="9"/>
      <c r="E1363" s="8"/>
      <c r="F1363" s="8"/>
      <c r="G1363" s="8"/>
      <c r="H1363" s="8"/>
      <c r="I1363" s="10"/>
      <c r="J1363" s="8"/>
    </row>
    <row r="1364" spans="1:10" x14ac:dyDescent="0.15">
      <c r="A1364" s="7"/>
      <c r="B1364" s="8"/>
      <c r="C1364" s="8"/>
      <c r="D1364" s="9"/>
      <c r="E1364" s="8"/>
      <c r="F1364" s="8"/>
      <c r="G1364" s="8"/>
      <c r="H1364" s="8"/>
      <c r="I1364" s="10"/>
      <c r="J1364" s="8"/>
    </row>
    <row r="1365" spans="1:10" x14ac:dyDescent="0.15">
      <c r="A1365" s="7"/>
      <c r="B1365" s="8"/>
      <c r="C1365" s="8"/>
      <c r="D1365" s="9"/>
      <c r="E1365" s="8"/>
      <c r="F1365" s="8"/>
      <c r="G1365" s="8"/>
      <c r="H1365" s="8"/>
      <c r="I1365" s="10"/>
      <c r="J1365" s="8"/>
    </row>
    <row r="1366" spans="1:10" x14ac:dyDescent="0.15">
      <c r="A1366" s="7"/>
      <c r="B1366" s="8"/>
      <c r="C1366" s="8"/>
      <c r="D1366" s="9"/>
      <c r="E1366" s="8"/>
      <c r="F1366" s="8"/>
      <c r="G1366" s="8"/>
      <c r="H1366" s="8"/>
      <c r="I1366" s="10"/>
      <c r="J1366" s="8"/>
    </row>
    <row r="1367" spans="1:10" x14ac:dyDescent="0.15">
      <c r="A1367" s="7"/>
      <c r="B1367" s="8"/>
      <c r="C1367" s="8"/>
      <c r="D1367" s="9"/>
      <c r="E1367" s="8"/>
      <c r="F1367" s="8"/>
      <c r="G1367" s="8"/>
      <c r="H1367" s="8"/>
      <c r="I1367" s="10"/>
      <c r="J1367" s="8"/>
    </row>
    <row r="1368" spans="1:10" x14ac:dyDescent="0.15">
      <c r="A1368" s="7"/>
      <c r="B1368" s="8"/>
      <c r="C1368" s="8"/>
      <c r="D1368" s="9"/>
      <c r="E1368" s="8"/>
      <c r="F1368" s="8"/>
      <c r="G1368" s="8"/>
      <c r="H1368" s="8"/>
      <c r="I1368" s="10"/>
      <c r="J1368" s="8"/>
    </row>
    <row r="1369" spans="1:10" x14ac:dyDescent="0.15">
      <c r="A1369" s="7"/>
      <c r="B1369" s="8"/>
      <c r="C1369" s="8"/>
      <c r="D1369" s="9"/>
      <c r="E1369" s="8"/>
      <c r="F1369" s="8"/>
      <c r="G1369" s="8"/>
      <c r="H1369" s="8"/>
      <c r="I1369" s="10"/>
      <c r="J1369" s="8"/>
    </row>
    <row r="1370" spans="1:10" x14ac:dyDescent="0.15">
      <c r="A1370" s="7"/>
      <c r="B1370" s="8"/>
      <c r="C1370" s="8"/>
      <c r="D1370" s="9"/>
      <c r="E1370" s="8"/>
      <c r="F1370" s="8"/>
      <c r="G1370" s="8"/>
      <c r="H1370" s="8"/>
      <c r="I1370" s="10"/>
      <c r="J1370" s="8"/>
    </row>
    <row r="1371" spans="1:10" x14ac:dyDescent="0.15">
      <c r="A1371" s="7"/>
      <c r="B1371" s="8"/>
      <c r="C1371" s="8"/>
      <c r="D1371" s="9"/>
      <c r="E1371" s="8"/>
      <c r="F1371" s="8"/>
      <c r="G1371" s="8"/>
      <c r="H1371" s="8"/>
      <c r="I1371" s="10"/>
      <c r="J1371" s="8"/>
    </row>
    <row r="1372" spans="1:10" x14ac:dyDescent="0.15">
      <c r="A1372" s="7"/>
      <c r="B1372" s="8"/>
      <c r="C1372" s="8"/>
      <c r="D1372" s="9"/>
      <c r="E1372" s="8"/>
      <c r="F1372" s="8"/>
      <c r="G1372" s="8"/>
      <c r="H1372" s="8"/>
      <c r="I1372" s="10"/>
      <c r="J1372" s="8"/>
    </row>
    <row r="1373" spans="1:10" x14ac:dyDescent="0.15">
      <c r="A1373" s="7"/>
      <c r="B1373" s="8"/>
      <c r="C1373" s="8"/>
      <c r="D1373" s="9"/>
      <c r="E1373" s="8"/>
      <c r="F1373" s="8"/>
      <c r="G1373" s="8"/>
      <c r="H1373" s="8"/>
      <c r="I1373" s="10"/>
      <c r="J1373" s="8"/>
    </row>
    <row r="1374" spans="1:10" x14ac:dyDescent="0.15">
      <c r="A1374" s="7"/>
      <c r="B1374" s="8"/>
      <c r="C1374" s="8"/>
      <c r="D1374" s="9"/>
      <c r="E1374" s="8"/>
      <c r="F1374" s="8"/>
      <c r="G1374" s="8"/>
      <c r="H1374" s="8"/>
      <c r="I1374" s="10"/>
      <c r="J1374" s="8"/>
    </row>
    <row r="1375" spans="1:10" x14ac:dyDescent="0.15">
      <c r="A1375" s="7"/>
      <c r="B1375" s="8"/>
      <c r="C1375" s="8"/>
      <c r="D1375" s="9"/>
      <c r="E1375" s="8"/>
      <c r="F1375" s="8"/>
      <c r="G1375" s="8"/>
      <c r="H1375" s="8"/>
      <c r="I1375" s="10"/>
      <c r="J1375" s="8"/>
    </row>
    <row r="1376" spans="1:10" x14ac:dyDescent="0.15">
      <c r="A1376" s="7"/>
      <c r="B1376" s="8"/>
      <c r="C1376" s="8"/>
      <c r="D1376" s="9"/>
      <c r="E1376" s="8"/>
      <c r="F1376" s="8"/>
      <c r="G1376" s="8"/>
      <c r="H1376" s="8"/>
      <c r="I1376" s="10"/>
      <c r="J1376" s="8"/>
    </row>
    <row r="1377" spans="1:10" x14ac:dyDescent="0.15">
      <c r="A1377" s="7"/>
      <c r="B1377" s="8"/>
      <c r="C1377" s="8"/>
      <c r="D1377" s="9"/>
      <c r="E1377" s="8"/>
      <c r="F1377" s="8"/>
      <c r="G1377" s="8"/>
      <c r="H1377" s="8"/>
      <c r="I1377" s="10"/>
      <c r="J1377" s="8"/>
    </row>
    <row r="1378" spans="1:10" x14ac:dyDescent="0.15">
      <c r="A1378" s="7"/>
      <c r="B1378" s="8"/>
      <c r="C1378" s="8"/>
      <c r="D1378" s="9"/>
      <c r="E1378" s="8"/>
      <c r="F1378" s="8"/>
      <c r="G1378" s="8"/>
      <c r="H1378" s="8"/>
      <c r="I1378" s="10"/>
      <c r="J1378" s="8"/>
    </row>
    <row r="1379" spans="1:10" x14ac:dyDescent="0.15">
      <c r="A1379" s="7"/>
      <c r="B1379" s="8"/>
      <c r="C1379" s="8"/>
      <c r="D1379" s="9"/>
      <c r="E1379" s="8"/>
      <c r="F1379" s="8"/>
      <c r="G1379" s="8"/>
      <c r="H1379" s="8"/>
      <c r="I1379" s="10"/>
      <c r="J1379" s="8"/>
    </row>
    <row r="1380" spans="1:10" x14ac:dyDescent="0.15">
      <c r="A1380" s="7"/>
      <c r="B1380" s="8"/>
      <c r="C1380" s="8"/>
      <c r="D1380" s="9"/>
      <c r="E1380" s="8"/>
      <c r="F1380" s="8"/>
      <c r="G1380" s="8"/>
      <c r="H1380" s="8"/>
      <c r="I1380" s="10"/>
      <c r="J1380" s="8"/>
    </row>
    <row r="1381" spans="1:10" x14ac:dyDescent="0.15">
      <c r="A1381" s="7"/>
      <c r="B1381" s="8"/>
      <c r="C1381" s="8"/>
      <c r="D1381" s="9"/>
      <c r="E1381" s="8"/>
      <c r="F1381" s="8"/>
      <c r="G1381" s="8"/>
      <c r="H1381" s="8"/>
      <c r="I1381" s="10"/>
      <c r="J1381" s="8"/>
    </row>
    <row r="1382" spans="1:10" x14ac:dyDescent="0.15">
      <c r="A1382" s="7"/>
      <c r="B1382" s="8"/>
      <c r="C1382" s="8"/>
      <c r="D1382" s="9"/>
      <c r="E1382" s="8"/>
      <c r="F1382" s="8"/>
      <c r="G1382" s="8"/>
      <c r="H1382" s="8"/>
      <c r="I1382" s="10"/>
      <c r="J1382" s="8"/>
    </row>
    <row r="1383" spans="1:10" x14ac:dyDescent="0.15">
      <c r="A1383" s="7"/>
      <c r="B1383" s="8"/>
      <c r="C1383" s="8"/>
      <c r="D1383" s="9"/>
      <c r="E1383" s="8"/>
      <c r="F1383" s="8"/>
      <c r="G1383" s="8"/>
      <c r="H1383" s="8"/>
      <c r="I1383" s="10"/>
      <c r="J1383" s="8"/>
    </row>
    <row r="1384" spans="1:10" x14ac:dyDescent="0.15">
      <c r="A1384" s="7"/>
      <c r="B1384" s="8"/>
      <c r="C1384" s="8"/>
      <c r="D1384" s="9"/>
      <c r="E1384" s="8"/>
      <c r="F1384" s="8"/>
      <c r="G1384" s="8"/>
      <c r="H1384" s="8"/>
      <c r="I1384" s="10"/>
      <c r="J1384" s="8"/>
    </row>
    <row r="1385" spans="1:10" x14ac:dyDescent="0.15">
      <c r="A1385" s="7"/>
      <c r="B1385" s="8"/>
      <c r="C1385" s="8"/>
      <c r="D1385" s="9"/>
      <c r="E1385" s="8"/>
      <c r="F1385" s="8"/>
      <c r="G1385" s="8"/>
      <c r="H1385" s="8"/>
      <c r="I1385" s="10"/>
      <c r="J1385" s="8"/>
    </row>
    <row r="1386" spans="1:10" x14ac:dyDescent="0.15">
      <c r="A1386" s="7"/>
      <c r="B1386" s="8"/>
      <c r="C1386" s="8"/>
      <c r="D1386" s="9"/>
      <c r="E1386" s="8"/>
      <c r="F1386" s="8"/>
      <c r="G1386" s="8"/>
      <c r="H1386" s="8"/>
      <c r="I1386" s="10"/>
      <c r="J1386" s="8"/>
    </row>
    <row r="1387" spans="1:10" x14ac:dyDescent="0.15">
      <c r="A1387" s="7"/>
      <c r="B1387" s="8"/>
      <c r="C1387" s="8"/>
      <c r="D1387" s="9"/>
      <c r="E1387" s="8"/>
      <c r="F1387" s="8"/>
      <c r="G1387" s="8"/>
      <c r="H1387" s="8"/>
      <c r="I1387" s="10"/>
      <c r="J1387" s="8"/>
    </row>
    <row r="1388" spans="1:10" x14ac:dyDescent="0.15">
      <c r="A1388" s="7"/>
      <c r="B1388" s="8"/>
      <c r="C1388" s="8"/>
      <c r="D1388" s="9"/>
      <c r="E1388" s="8"/>
      <c r="F1388" s="8"/>
      <c r="G1388" s="8"/>
      <c r="H1388" s="8"/>
      <c r="I1388" s="10"/>
      <c r="J1388" s="8"/>
    </row>
    <row r="1389" spans="1:10" x14ac:dyDescent="0.15">
      <c r="A1389" s="7"/>
      <c r="B1389" s="8"/>
      <c r="C1389" s="8"/>
      <c r="D1389" s="9"/>
      <c r="E1389" s="8"/>
      <c r="F1389" s="8"/>
      <c r="G1389" s="8"/>
      <c r="H1389" s="8"/>
      <c r="I1389" s="10"/>
      <c r="J1389" s="8"/>
    </row>
    <row r="1390" spans="1:10" x14ac:dyDescent="0.15">
      <c r="A1390" s="7"/>
      <c r="B1390" s="8"/>
      <c r="C1390" s="8"/>
      <c r="D1390" s="9"/>
      <c r="E1390" s="8"/>
      <c r="F1390" s="8"/>
      <c r="G1390" s="8"/>
      <c r="H1390" s="8"/>
      <c r="I1390" s="10"/>
      <c r="J1390" s="8"/>
    </row>
    <row r="1391" spans="1:10" x14ac:dyDescent="0.15">
      <c r="A1391" s="7"/>
      <c r="B1391" s="8"/>
      <c r="C1391" s="8"/>
      <c r="D1391" s="9"/>
      <c r="E1391" s="8"/>
      <c r="F1391" s="8"/>
      <c r="G1391" s="8"/>
      <c r="H1391" s="8"/>
      <c r="I1391" s="10"/>
      <c r="J1391" s="8"/>
    </row>
    <row r="1392" spans="1:10" x14ac:dyDescent="0.15">
      <c r="A1392" s="7"/>
      <c r="B1392" s="8"/>
      <c r="C1392" s="8"/>
      <c r="D1392" s="9"/>
      <c r="E1392" s="8"/>
      <c r="F1392" s="8"/>
      <c r="G1392" s="8"/>
      <c r="H1392" s="8"/>
      <c r="I1392" s="10"/>
      <c r="J1392" s="8"/>
    </row>
    <row r="1393" spans="1:10" x14ac:dyDescent="0.15">
      <c r="A1393" s="7"/>
      <c r="B1393" s="8"/>
      <c r="C1393" s="8"/>
      <c r="D1393" s="9"/>
      <c r="E1393" s="8"/>
      <c r="F1393" s="8"/>
      <c r="G1393" s="8"/>
      <c r="H1393" s="8"/>
      <c r="I1393" s="10"/>
      <c r="J1393" s="8"/>
    </row>
    <row r="1394" spans="1:10" x14ac:dyDescent="0.15">
      <c r="A1394" s="7"/>
      <c r="B1394" s="8"/>
      <c r="C1394" s="8"/>
      <c r="D1394" s="9"/>
      <c r="E1394" s="8"/>
      <c r="F1394" s="8"/>
      <c r="G1394" s="8"/>
      <c r="H1394" s="8"/>
      <c r="I1394" s="10"/>
      <c r="J1394" s="8"/>
    </row>
    <row r="1395" spans="1:10" x14ac:dyDescent="0.15">
      <c r="A1395" s="7"/>
      <c r="B1395" s="8"/>
      <c r="C1395" s="8"/>
      <c r="D1395" s="9"/>
      <c r="E1395" s="8"/>
      <c r="F1395" s="8"/>
      <c r="G1395" s="8"/>
      <c r="H1395" s="8"/>
      <c r="I1395" s="10"/>
      <c r="J1395" s="8"/>
    </row>
    <row r="1396" spans="1:10" x14ac:dyDescent="0.15">
      <c r="A1396" s="7"/>
      <c r="B1396" s="8"/>
      <c r="C1396" s="8"/>
      <c r="D1396" s="9"/>
      <c r="E1396" s="8"/>
      <c r="F1396" s="8"/>
      <c r="G1396" s="8"/>
      <c r="H1396" s="8"/>
      <c r="I1396" s="10"/>
      <c r="J1396" s="8"/>
    </row>
    <row r="1397" spans="1:10" x14ac:dyDescent="0.15">
      <c r="A1397" s="7"/>
      <c r="B1397" s="8"/>
      <c r="C1397" s="8"/>
      <c r="D1397" s="9"/>
      <c r="E1397" s="8"/>
      <c r="F1397" s="8"/>
      <c r="G1397" s="8"/>
      <c r="H1397" s="8"/>
      <c r="I1397" s="10"/>
      <c r="J1397" s="8"/>
    </row>
    <row r="1398" spans="1:10" x14ac:dyDescent="0.15">
      <c r="A1398" s="7"/>
      <c r="B1398" s="8"/>
      <c r="C1398" s="8"/>
      <c r="D1398" s="9"/>
      <c r="E1398" s="8"/>
      <c r="F1398" s="8"/>
      <c r="G1398" s="8"/>
      <c r="H1398" s="8"/>
      <c r="I1398" s="10"/>
      <c r="J1398" s="8"/>
    </row>
    <row r="1399" spans="1:10" x14ac:dyDescent="0.15">
      <c r="A1399" s="7"/>
      <c r="B1399" s="8"/>
      <c r="C1399" s="8"/>
      <c r="D1399" s="9"/>
      <c r="E1399" s="8"/>
      <c r="F1399" s="8"/>
      <c r="G1399" s="8"/>
      <c r="H1399" s="8"/>
      <c r="I1399" s="10"/>
      <c r="J1399" s="8"/>
    </row>
    <row r="1400" spans="1:10" x14ac:dyDescent="0.15">
      <c r="A1400" s="7"/>
      <c r="B1400" s="8"/>
      <c r="C1400" s="8"/>
      <c r="D1400" s="9"/>
      <c r="E1400" s="8"/>
      <c r="F1400" s="8"/>
      <c r="G1400" s="8"/>
      <c r="H1400" s="8"/>
      <c r="I1400" s="10"/>
      <c r="J1400" s="8"/>
    </row>
    <row r="1401" spans="1:10" x14ac:dyDescent="0.15">
      <c r="A1401" s="7"/>
      <c r="B1401" s="8"/>
      <c r="C1401" s="8"/>
      <c r="D1401" s="9"/>
      <c r="E1401" s="8"/>
      <c r="F1401" s="8"/>
      <c r="G1401" s="8"/>
      <c r="H1401" s="8"/>
      <c r="I1401" s="10"/>
      <c r="J1401" s="8"/>
    </row>
    <row r="1402" spans="1:10" x14ac:dyDescent="0.15">
      <c r="A1402" s="7"/>
      <c r="B1402" s="8"/>
      <c r="C1402" s="8"/>
      <c r="D1402" s="9"/>
      <c r="E1402" s="8"/>
      <c r="F1402" s="8"/>
      <c r="G1402" s="8"/>
      <c r="H1402" s="8"/>
      <c r="I1402" s="10"/>
      <c r="J1402" s="8"/>
    </row>
    <row r="1403" spans="1:10" x14ac:dyDescent="0.15">
      <c r="A1403" s="7"/>
      <c r="B1403" s="8"/>
      <c r="C1403" s="8"/>
      <c r="D1403" s="9"/>
      <c r="E1403" s="8"/>
      <c r="F1403" s="8"/>
      <c r="G1403" s="8"/>
      <c r="H1403" s="8"/>
      <c r="I1403" s="10"/>
      <c r="J1403" s="8"/>
    </row>
    <row r="1404" spans="1:10" x14ac:dyDescent="0.15">
      <c r="A1404" s="7"/>
      <c r="B1404" s="8"/>
      <c r="C1404" s="8"/>
      <c r="D1404" s="9"/>
      <c r="E1404" s="8"/>
      <c r="F1404" s="8"/>
      <c r="G1404" s="8"/>
      <c r="H1404" s="8"/>
      <c r="I1404" s="10"/>
      <c r="J1404" s="8"/>
    </row>
    <row r="1405" spans="1:10" x14ac:dyDescent="0.15">
      <c r="A1405" s="7"/>
      <c r="B1405" s="8"/>
      <c r="C1405" s="8"/>
      <c r="D1405" s="9"/>
      <c r="E1405" s="8"/>
      <c r="F1405" s="8"/>
      <c r="G1405" s="8"/>
      <c r="H1405" s="8"/>
      <c r="I1405" s="10"/>
      <c r="J1405" s="8"/>
    </row>
    <row r="1406" spans="1:10" x14ac:dyDescent="0.15">
      <c r="A1406" s="7"/>
      <c r="B1406" s="8"/>
      <c r="C1406" s="8"/>
      <c r="D1406" s="9"/>
      <c r="E1406" s="8"/>
      <c r="F1406" s="8"/>
      <c r="G1406" s="8"/>
      <c r="H1406" s="8"/>
      <c r="I1406" s="10"/>
      <c r="J1406" s="8"/>
    </row>
    <row r="1407" spans="1:10" x14ac:dyDescent="0.15">
      <c r="A1407" s="7"/>
      <c r="B1407" s="8"/>
      <c r="C1407" s="8"/>
      <c r="D1407" s="9"/>
      <c r="E1407" s="8"/>
      <c r="F1407" s="8"/>
      <c r="G1407" s="8"/>
      <c r="H1407" s="8"/>
      <c r="I1407" s="10"/>
      <c r="J1407" s="8"/>
    </row>
    <row r="1408" spans="1:10" x14ac:dyDescent="0.15">
      <c r="A1408" s="7"/>
      <c r="B1408" s="8"/>
      <c r="C1408" s="8"/>
      <c r="D1408" s="9"/>
      <c r="E1408" s="8"/>
      <c r="F1408" s="8"/>
      <c r="G1408" s="8"/>
      <c r="H1408" s="8"/>
      <c r="I1408" s="10"/>
      <c r="J1408" s="8"/>
    </row>
    <row r="1409" spans="1:10" x14ac:dyDescent="0.15">
      <c r="A1409" s="7"/>
      <c r="B1409" s="8"/>
      <c r="C1409" s="8"/>
      <c r="D1409" s="9"/>
      <c r="E1409" s="8"/>
      <c r="F1409" s="8"/>
      <c r="G1409" s="8"/>
      <c r="H1409" s="8"/>
      <c r="I1409" s="10"/>
      <c r="J1409" s="8"/>
    </row>
    <row r="1410" spans="1:10" x14ac:dyDescent="0.15">
      <c r="A1410" s="7"/>
      <c r="B1410" s="8"/>
      <c r="C1410" s="8"/>
      <c r="D1410" s="9"/>
      <c r="E1410" s="8"/>
      <c r="F1410" s="8"/>
      <c r="G1410" s="8"/>
      <c r="H1410" s="8"/>
      <c r="I1410" s="10"/>
      <c r="J1410" s="8"/>
    </row>
    <row r="1411" spans="1:10" x14ac:dyDescent="0.15">
      <c r="A1411" s="7"/>
      <c r="B1411" s="8"/>
      <c r="C1411" s="8"/>
      <c r="D1411" s="9"/>
      <c r="E1411" s="8"/>
      <c r="F1411" s="8"/>
      <c r="G1411" s="8"/>
      <c r="H1411" s="8"/>
      <c r="I1411" s="10"/>
      <c r="J1411" s="8"/>
    </row>
    <row r="1412" spans="1:10" x14ac:dyDescent="0.15">
      <c r="A1412" s="7"/>
      <c r="B1412" s="8"/>
      <c r="C1412" s="8"/>
      <c r="D1412" s="9"/>
      <c r="E1412" s="8"/>
      <c r="F1412" s="8"/>
      <c r="G1412" s="8"/>
      <c r="H1412" s="8"/>
      <c r="I1412" s="10"/>
      <c r="J1412" s="8"/>
    </row>
    <row r="1413" spans="1:10" x14ac:dyDescent="0.15">
      <c r="A1413" s="7"/>
      <c r="B1413" s="8"/>
      <c r="C1413" s="8"/>
      <c r="D1413" s="9"/>
      <c r="E1413" s="8"/>
      <c r="F1413" s="8"/>
      <c r="G1413" s="8"/>
      <c r="H1413" s="8"/>
      <c r="I1413" s="10"/>
      <c r="J1413" s="8"/>
    </row>
    <row r="1414" spans="1:10" x14ac:dyDescent="0.15">
      <c r="A1414" s="7"/>
      <c r="B1414" s="8"/>
      <c r="C1414" s="8"/>
      <c r="D1414" s="9"/>
      <c r="E1414" s="8"/>
      <c r="F1414" s="8"/>
      <c r="G1414" s="8"/>
      <c r="H1414" s="8"/>
      <c r="I1414" s="10"/>
      <c r="J1414" s="8"/>
    </row>
    <row r="1415" spans="1:10" x14ac:dyDescent="0.15">
      <c r="A1415" s="7"/>
      <c r="B1415" s="8"/>
      <c r="C1415" s="8"/>
      <c r="D1415" s="9"/>
      <c r="E1415" s="8"/>
      <c r="F1415" s="8"/>
      <c r="G1415" s="8"/>
      <c r="H1415" s="8"/>
      <c r="I1415" s="10"/>
      <c r="J1415" s="8"/>
    </row>
    <row r="1416" spans="1:10" x14ac:dyDescent="0.15">
      <c r="A1416" s="7"/>
      <c r="B1416" s="8"/>
      <c r="C1416" s="8"/>
      <c r="D1416" s="9"/>
      <c r="E1416" s="8"/>
      <c r="F1416" s="8"/>
      <c r="G1416" s="8"/>
      <c r="H1416" s="8"/>
      <c r="I1416" s="10"/>
      <c r="J1416" s="8"/>
    </row>
    <row r="1417" spans="1:10" x14ac:dyDescent="0.15">
      <c r="A1417" s="7"/>
      <c r="B1417" s="8"/>
      <c r="C1417" s="8"/>
      <c r="D1417" s="9"/>
      <c r="E1417" s="8"/>
      <c r="F1417" s="8"/>
      <c r="G1417" s="8"/>
      <c r="H1417" s="8"/>
      <c r="I1417" s="10"/>
      <c r="J1417" s="8"/>
    </row>
    <row r="1418" spans="1:10" x14ac:dyDescent="0.15">
      <c r="A1418" s="7"/>
      <c r="B1418" s="8"/>
      <c r="C1418" s="8"/>
      <c r="D1418" s="9"/>
      <c r="E1418" s="8"/>
      <c r="F1418" s="8"/>
      <c r="G1418" s="8"/>
      <c r="H1418" s="8"/>
      <c r="I1418" s="10"/>
      <c r="J1418" s="8"/>
    </row>
    <row r="1419" spans="1:10" x14ac:dyDescent="0.15">
      <c r="A1419" s="7"/>
      <c r="B1419" s="8"/>
      <c r="C1419" s="8"/>
      <c r="D1419" s="9"/>
      <c r="E1419" s="8"/>
      <c r="F1419" s="8"/>
      <c r="G1419" s="8"/>
      <c r="H1419" s="8"/>
      <c r="I1419" s="10"/>
      <c r="J1419" s="8"/>
    </row>
    <row r="1420" spans="1:10" x14ac:dyDescent="0.15">
      <c r="A1420" s="7"/>
      <c r="B1420" s="8"/>
      <c r="C1420" s="8"/>
      <c r="D1420" s="9"/>
      <c r="E1420" s="8"/>
      <c r="F1420" s="8"/>
      <c r="G1420" s="8"/>
      <c r="H1420" s="8"/>
      <c r="I1420" s="10"/>
      <c r="J1420" s="8"/>
    </row>
    <row r="1421" spans="1:10" x14ac:dyDescent="0.15">
      <c r="A1421" s="7"/>
      <c r="B1421" s="8"/>
      <c r="C1421" s="8"/>
      <c r="D1421" s="9"/>
      <c r="E1421" s="8"/>
      <c r="F1421" s="8"/>
      <c r="G1421" s="8"/>
      <c r="H1421" s="8"/>
      <c r="I1421" s="10"/>
      <c r="J1421" s="8"/>
    </row>
    <row r="1422" spans="1:10" x14ac:dyDescent="0.15">
      <c r="A1422" s="7"/>
      <c r="B1422" s="8"/>
      <c r="C1422" s="8"/>
      <c r="D1422" s="9"/>
      <c r="E1422" s="8"/>
      <c r="F1422" s="8"/>
      <c r="G1422" s="8"/>
      <c r="H1422" s="8"/>
      <c r="I1422" s="10"/>
      <c r="J1422" s="8"/>
    </row>
    <row r="1423" spans="1:10" x14ac:dyDescent="0.15">
      <c r="A1423" s="7"/>
      <c r="B1423" s="8"/>
      <c r="C1423" s="8"/>
      <c r="D1423" s="9"/>
      <c r="E1423" s="8"/>
      <c r="F1423" s="8"/>
      <c r="G1423" s="8"/>
      <c r="H1423" s="8"/>
      <c r="I1423" s="10"/>
      <c r="J1423" s="8"/>
    </row>
    <row r="1424" spans="1:10" x14ac:dyDescent="0.15">
      <c r="A1424" s="7"/>
      <c r="B1424" s="8"/>
      <c r="C1424" s="8"/>
      <c r="D1424" s="9"/>
      <c r="E1424" s="8"/>
      <c r="F1424" s="8"/>
      <c r="G1424" s="8"/>
      <c r="H1424" s="8"/>
      <c r="I1424" s="10"/>
      <c r="J1424" s="8"/>
    </row>
    <row r="1425" spans="1:10" x14ac:dyDescent="0.15">
      <c r="A1425" s="7"/>
      <c r="B1425" s="8"/>
      <c r="C1425" s="8"/>
      <c r="D1425" s="9"/>
      <c r="E1425" s="8"/>
      <c r="F1425" s="8"/>
      <c r="G1425" s="8"/>
      <c r="H1425" s="8"/>
      <c r="I1425" s="10"/>
      <c r="J1425" s="8"/>
    </row>
    <row r="1426" spans="1:10" x14ac:dyDescent="0.15">
      <c r="A1426" s="7"/>
      <c r="B1426" s="8"/>
      <c r="C1426" s="8"/>
      <c r="D1426" s="9"/>
      <c r="E1426" s="8"/>
      <c r="F1426" s="8"/>
      <c r="G1426" s="8"/>
      <c r="H1426" s="8"/>
      <c r="I1426" s="10"/>
      <c r="J1426" s="8"/>
    </row>
    <row r="1427" spans="1:10" x14ac:dyDescent="0.15">
      <c r="A1427" s="7"/>
      <c r="B1427" s="8"/>
      <c r="C1427" s="8"/>
      <c r="D1427" s="9"/>
      <c r="E1427" s="8"/>
      <c r="F1427" s="8"/>
      <c r="G1427" s="8"/>
      <c r="H1427" s="8"/>
      <c r="I1427" s="10"/>
      <c r="J1427" s="8"/>
    </row>
    <row r="1428" spans="1:10" x14ac:dyDescent="0.15">
      <c r="A1428" s="7"/>
      <c r="B1428" s="8"/>
      <c r="C1428" s="8"/>
      <c r="D1428" s="9"/>
      <c r="E1428" s="8"/>
      <c r="F1428" s="8"/>
      <c r="G1428" s="8"/>
      <c r="H1428" s="8"/>
      <c r="I1428" s="10"/>
      <c r="J1428" s="8"/>
    </row>
    <row r="1429" spans="1:10" x14ac:dyDescent="0.15">
      <c r="A1429" s="7"/>
      <c r="B1429" s="8"/>
      <c r="C1429" s="8"/>
      <c r="D1429" s="9"/>
      <c r="E1429" s="8"/>
      <c r="F1429" s="8"/>
      <c r="G1429" s="8"/>
      <c r="H1429" s="8"/>
      <c r="I1429" s="10"/>
      <c r="J1429" s="8"/>
    </row>
    <row r="1430" spans="1:10" x14ac:dyDescent="0.15">
      <c r="A1430" s="7"/>
      <c r="B1430" s="8"/>
      <c r="C1430" s="8"/>
      <c r="D1430" s="9"/>
      <c r="E1430" s="8"/>
      <c r="F1430" s="8"/>
      <c r="G1430" s="8"/>
      <c r="H1430" s="8"/>
      <c r="I1430" s="10"/>
      <c r="J1430" s="8"/>
    </row>
    <row r="1431" spans="1:10" x14ac:dyDescent="0.15">
      <c r="A1431" s="7"/>
      <c r="B1431" s="8"/>
      <c r="C1431" s="8"/>
      <c r="D1431" s="9"/>
      <c r="E1431" s="8"/>
      <c r="F1431" s="8"/>
      <c r="G1431" s="8"/>
      <c r="H1431" s="8"/>
      <c r="I1431" s="10"/>
      <c r="J1431" s="8"/>
    </row>
    <row r="1432" spans="1:10" x14ac:dyDescent="0.15">
      <c r="A1432" s="7"/>
      <c r="B1432" s="8"/>
      <c r="C1432" s="8"/>
      <c r="D1432" s="9"/>
      <c r="E1432" s="8"/>
      <c r="F1432" s="8"/>
      <c r="G1432" s="8"/>
      <c r="H1432" s="8"/>
      <c r="I1432" s="10"/>
      <c r="J1432" s="8"/>
    </row>
    <row r="1433" spans="1:10" x14ac:dyDescent="0.15">
      <c r="A1433" s="7"/>
      <c r="B1433" s="8"/>
      <c r="C1433" s="8"/>
      <c r="D1433" s="9"/>
      <c r="E1433" s="8"/>
      <c r="F1433" s="8"/>
      <c r="G1433" s="8"/>
      <c r="H1433" s="8"/>
      <c r="I1433" s="10"/>
      <c r="J1433" s="8"/>
    </row>
    <row r="1434" spans="1:10" x14ac:dyDescent="0.15">
      <c r="A1434" s="7"/>
      <c r="B1434" s="8"/>
      <c r="C1434" s="8"/>
      <c r="D1434" s="9"/>
      <c r="E1434" s="8"/>
      <c r="F1434" s="8"/>
      <c r="G1434" s="8"/>
      <c r="H1434" s="8"/>
      <c r="I1434" s="10"/>
      <c r="J1434" s="8"/>
    </row>
    <row r="1435" spans="1:10" x14ac:dyDescent="0.15">
      <c r="A1435" s="7"/>
      <c r="B1435" s="8"/>
      <c r="C1435" s="8"/>
      <c r="D1435" s="9"/>
      <c r="E1435" s="8"/>
      <c r="F1435" s="8"/>
      <c r="G1435" s="8"/>
      <c r="H1435" s="8"/>
      <c r="I1435" s="10"/>
      <c r="J1435" s="8"/>
    </row>
    <row r="1436" spans="1:10" x14ac:dyDescent="0.15">
      <c r="A1436" s="7"/>
      <c r="B1436" s="8"/>
      <c r="C1436" s="8"/>
      <c r="D1436" s="9"/>
      <c r="E1436" s="8"/>
      <c r="F1436" s="8"/>
      <c r="G1436" s="8"/>
      <c r="H1436" s="8"/>
      <c r="I1436" s="10"/>
      <c r="J1436" s="8"/>
    </row>
    <row r="1437" spans="1:10" x14ac:dyDescent="0.15">
      <c r="A1437" s="7"/>
      <c r="B1437" s="8"/>
      <c r="C1437" s="8"/>
      <c r="D1437" s="9"/>
      <c r="E1437" s="8"/>
      <c r="F1437" s="8"/>
      <c r="G1437" s="8"/>
      <c r="H1437" s="8"/>
      <c r="I1437" s="10"/>
      <c r="J1437" s="8"/>
    </row>
    <row r="1438" spans="1:10" x14ac:dyDescent="0.15">
      <c r="A1438" s="7"/>
      <c r="B1438" s="8"/>
      <c r="C1438" s="8"/>
      <c r="D1438" s="9"/>
      <c r="E1438" s="8"/>
      <c r="F1438" s="8"/>
      <c r="G1438" s="8"/>
      <c r="H1438" s="8"/>
      <c r="I1438" s="10"/>
      <c r="J1438" s="8"/>
    </row>
    <row r="1439" spans="1:10" x14ac:dyDescent="0.15">
      <c r="A1439" s="7"/>
      <c r="B1439" s="8"/>
      <c r="C1439" s="8"/>
      <c r="D1439" s="9"/>
      <c r="E1439" s="8"/>
      <c r="F1439" s="8"/>
      <c r="G1439" s="8"/>
      <c r="H1439" s="8"/>
      <c r="I1439" s="10"/>
      <c r="J1439" s="8"/>
    </row>
    <row r="1440" spans="1:10" x14ac:dyDescent="0.15">
      <c r="A1440" s="7"/>
      <c r="B1440" s="8"/>
      <c r="C1440" s="8"/>
      <c r="D1440" s="9"/>
      <c r="E1440" s="8"/>
      <c r="F1440" s="8"/>
      <c r="G1440" s="8"/>
      <c r="H1440" s="8"/>
      <c r="I1440" s="10"/>
      <c r="J1440" s="8"/>
    </row>
    <row r="1441" spans="1:10" x14ac:dyDescent="0.15">
      <c r="A1441" s="7"/>
      <c r="B1441" s="8"/>
      <c r="C1441" s="8"/>
      <c r="D1441" s="9"/>
      <c r="E1441" s="8"/>
      <c r="F1441" s="8"/>
      <c r="G1441" s="8"/>
      <c r="H1441" s="8"/>
      <c r="I1441" s="10"/>
      <c r="J1441" s="8"/>
    </row>
    <row r="1442" spans="1:10" x14ac:dyDescent="0.15">
      <c r="A1442" s="7"/>
      <c r="B1442" s="8"/>
      <c r="C1442" s="8"/>
      <c r="D1442" s="9"/>
      <c r="E1442" s="8"/>
      <c r="F1442" s="8"/>
      <c r="G1442" s="8"/>
      <c r="H1442" s="8"/>
      <c r="I1442" s="10"/>
      <c r="J1442" s="8"/>
    </row>
    <row r="1443" spans="1:10" x14ac:dyDescent="0.15">
      <c r="A1443" s="7"/>
      <c r="B1443" s="8"/>
      <c r="C1443" s="8"/>
      <c r="D1443" s="9"/>
      <c r="E1443" s="8"/>
      <c r="F1443" s="8"/>
      <c r="G1443" s="8"/>
      <c r="H1443" s="8"/>
      <c r="I1443" s="10"/>
      <c r="J1443" s="8"/>
    </row>
    <row r="1444" spans="1:10" x14ac:dyDescent="0.15">
      <c r="A1444" s="7"/>
      <c r="B1444" s="8"/>
      <c r="C1444" s="8"/>
      <c r="D1444" s="9"/>
      <c r="E1444" s="8"/>
      <c r="F1444" s="8"/>
      <c r="G1444" s="8"/>
      <c r="H1444" s="8"/>
      <c r="I1444" s="10"/>
      <c r="J1444" s="8"/>
    </row>
    <row r="1445" spans="1:10" x14ac:dyDescent="0.15">
      <c r="A1445" s="7"/>
      <c r="B1445" s="8"/>
      <c r="C1445" s="8"/>
      <c r="D1445" s="9"/>
      <c r="E1445" s="8"/>
      <c r="F1445" s="8"/>
      <c r="G1445" s="8"/>
      <c r="H1445" s="8"/>
      <c r="I1445" s="10"/>
      <c r="J1445" s="8"/>
    </row>
    <row r="1446" spans="1:10" x14ac:dyDescent="0.15">
      <c r="A1446" s="7"/>
      <c r="B1446" s="8"/>
      <c r="C1446" s="8"/>
      <c r="D1446" s="9"/>
      <c r="E1446" s="8"/>
      <c r="F1446" s="8"/>
      <c r="G1446" s="8"/>
      <c r="H1446" s="8"/>
      <c r="I1446" s="10"/>
      <c r="J1446" s="8"/>
    </row>
    <row r="1447" spans="1:10" x14ac:dyDescent="0.15">
      <c r="A1447" s="7"/>
      <c r="B1447" s="8"/>
      <c r="C1447" s="8"/>
      <c r="D1447" s="9"/>
      <c r="E1447" s="8"/>
      <c r="F1447" s="8"/>
      <c r="G1447" s="8"/>
      <c r="H1447" s="8"/>
      <c r="I1447" s="10"/>
      <c r="J1447" s="8"/>
    </row>
    <row r="1448" spans="1:10" x14ac:dyDescent="0.15">
      <c r="A1448" s="7"/>
      <c r="B1448" s="8"/>
      <c r="C1448" s="8"/>
      <c r="D1448" s="9"/>
      <c r="E1448" s="8"/>
      <c r="F1448" s="8"/>
      <c r="G1448" s="8"/>
      <c r="H1448" s="8"/>
      <c r="I1448" s="10"/>
      <c r="J1448" s="8"/>
    </row>
    <row r="1449" spans="1:10" x14ac:dyDescent="0.15">
      <c r="A1449" s="7"/>
      <c r="B1449" s="8"/>
      <c r="C1449" s="8"/>
      <c r="D1449" s="9"/>
      <c r="E1449" s="8"/>
      <c r="F1449" s="8"/>
      <c r="G1449" s="8"/>
      <c r="H1449" s="8"/>
      <c r="I1449" s="10"/>
      <c r="J1449" s="8"/>
    </row>
    <row r="1450" spans="1:10" x14ac:dyDescent="0.15">
      <c r="A1450" s="7"/>
      <c r="B1450" s="8"/>
      <c r="C1450" s="8"/>
      <c r="D1450" s="9"/>
      <c r="E1450" s="8"/>
      <c r="F1450" s="8"/>
      <c r="G1450" s="8"/>
      <c r="H1450" s="8"/>
      <c r="I1450" s="10"/>
      <c r="J1450" s="8"/>
    </row>
    <row r="1451" spans="1:10" x14ac:dyDescent="0.15">
      <c r="A1451" s="7"/>
      <c r="B1451" s="8"/>
      <c r="C1451" s="8"/>
      <c r="D1451" s="9"/>
      <c r="E1451" s="8"/>
      <c r="F1451" s="8"/>
      <c r="G1451" s="8"/>
      <c r="H1451" s="8"/>
      <c r="I1451" s="10"/>
      <c r="J1451" s="8"/>
    </row>
    <row r="1452" spans="1:10" x14ac:dyDescent="0.15">
      <c r="A1452" s="7"/>
      <c r="B1452" s="8"/>
      <c r="C1452" s="8"/>
      <c r="D1452" s="9"/>
      <c r="E1452" s="8"/>
      <c r="F1452" s="8"/>
      <c r="G1452" s="8"/>
      <c r="H1452" s="8"/>
      <c r="I1452" s="10"/>
      <c r="J1452" s="8"/>
    </row>
    <row r="1453" spans="1:10" x14ac:dyDescent="0.15">
      <c r="A1453" s="7"/>
      <c r="B1453" s="8"/>
      <c r="C1453" s="8"/>
      <c r="D1453" s="9"/>
      <c r="E1453" s="8"/>
      <c r="F1453" s="8"/>
      <c r="G1453" s="8"/>
      <c r="H1453" s="8"/>
      <c r="I1453" s="10"/>
      <c r="J1453" s="8"/>
    </row>
    <row r="1454" spans="1:10" x14ac:dyDescent="0.15">
      <c r="A1454" s="7"/>
      <c r="B1454" s="8"/>
      <c r="C1454" s="8"/>
      <c r="D1454" s="9"/>
      <c r="E1454" s="8"/>
      <c r="F1454" s="8"/>
      <c r="G1454" s="8"/>
      <c r="H1454" s="8"/>
      <c r="I1454" s="10"/>
      <c r="J1454" s="8"/>
    </row>
    <row r="1455" spans="1:10" x14ac:dyDescent="0.15">
      <c r="A1455" s="7"/>
      <c r="B1455" s="8"/>
      <c r="C1455" s="8"/>
      <c r="D1455" s="9"/>
      <c r="E1455" s="8"/>
      <c r="F1455" s="8"/>
      <c r="G1455" s="8"/>
      <c r="H1455" s="8"/>
      <c r="I1455" s="10"/>
      <c r="J1455" s="8"/>
    </row>
    <row r="1456" spans="1:10" x14ac:dyDescent="0.15">
      <c r="A1456" s="7"/>
      <c r="B1456" s="8"/>
      <c r="C1456" s="8"/>
      <c r="D1456" s="9"/>
      <c r="E1456" s="8"/>
      <c r="F1456" s="8"/>
      <c r="G1456" s="8"/>
      <c r="H1456" s="8"/>
      <c r="I1456" s="10"/>
      <c r="J1456" s="8"/>
    </row>
    <row r="1457" spans="1:10" x14ac:dyDescent="0.15">
      <c r="A1457" s="7"/>
      <c r="B1457" s="8"/>
      <c r="C1457" s="8"/>
      <c r="D1457" s="9"/>
      <c r="E1457" s="8"/>
      <c r="F1457" s="8"/>
      <c r="G1457" s="8"/>
      <c r="H1457" s="8"/>
      <c r="I1457" s="10"/>
      <c r="J1457" s="8"/>
    </row>
    <row r="1458" spans="1:10" x14ac:dyDescent="0.15">
      <c r="A1458" s="7"/>
      <c r="B1458" s="8"/>
      <c r="C1458" s="8"/>
      <c r="D1458" s="9"/>
      <c r="E1458" s="8"/>
      <c r="F1458" s="8"/>
      <c r="G1458" s="8"/>
      <c r="H1458" s="8"/>
      <c r="I1458" s="10"/>
      <c r="J1458" s="8"/>
    </row>
    <row r="1459" spans="1:10" x14ac:dyDescent="0.15">
      <c r="A1459" s="7"/>
      <c r="B1459" s="8"/>
      <c r="C1459" s="8"/>
      <c r="D1459" s="9"/>
      <c r="E1459" s="8"/>
      <c r="F1459" s="8"/>
      <c r="G1459" s="8"/>
      <c r="H1459" s="8"/>
      <c r="I1459" s="10"/>
      <c r="J1459" s="8"/>
    </row>
    <row r="1460" spans="1:10" x14ac:dyDescent="0.15">
      <c r="A1460" s="7"/>
      <c r="B1460" s="8"/>
      <c r="C1460" s="8"/>
      <c r="D1460" s="9"/>
      <c r="E1460" s="8"/>
      <c r="F1460" s="8"/>
      <c r="G1460" s="8"/>
      <c r="H1460" s="8"/>
      <c r="I1460" s="10"/>
      <c r="J1460" s="8"/>
    </row>
    <row r="1461" spans="1:10" x14ac:dyDescent="0.15">
      <c r="A1461" s="7"/>
      <c r="B1461" s="8"/>
      <c r="C1461" s="8"/>
      <c r="D1461" s="9"/>
      <c r="E1461" s="8"/>
      <c r="F1461" s="8"/>
      <c r="G1461" s="8"/>
      <c r="H1461" s="8"/>
      <c r="I1461" s="10"/>
      <c r="J1461" s="8"/>
    </row>
    <row r="1462" spans="1:10" x14ac:dyDescent="0.15">
      <c r="A1462" s="7"/>
      <c r="B1462" s="8"/>
      <c r="C1462" s="8"/>
      <c r="D1462" s="9"/>
      <c r="E1462" s="8"/>
      <c r="F1462" s="8"/>
      <c r="G1462" s="8"/>
      <c r="H1462" s="8"/>
      <c r="I1462" s="10"/>
      <c r="J1462" s="8"/>
    </row>
    <row r="1463" spans="1:10" x14ac:dyDescent="0.15">
      <c r="A1463" s="7"/>
      <c r="B1463" s="8"/>
      <c r="C1463" s="8"/>
      <c r="D1463" s="9"/>
      <c r="E1463" s="8"/>
      <c r="F1463" s="8"/>
      <c r="G1463" s="8"/>
      <c r="H1463" s="8"/>
      <c r="I1463" s="10"/>
      <c r="J1463" s="8"/>
    </row>
    <row r="1464" spans="1:10" x14ac:dyDescent="0.15">
      <c r="A1464" s="7"/>
      <c r="B1464" s="8"/>
      <c r="C1464" s="8"/>
      <c r="D1464" s="9"/>
      <c r="E1464" s="8"/>
      <c r="F1464" s="8"/>
      <c r="G1464" s="8"/>
      <c r="H1464" s="8"/>
      <c r="I1464" s="10"/>
      <c r="J1464" s="8"/>
    </row>
    <row r="1465" spans="1:10" x14ac:dyDescent="0.15">
      <c r="A1465" s="7"/>
      <c r="B1465" s="8"/>
      <c r="C1465" s="8"/>
      <c r="D1465" s="9"/>
      <c r="E1465" s="8"/>
      <c r="F1465" s="8"/>
      <c r="G1465" s="8"/>
      <c r="H1465" s="8"/>
      <c r="I1465" s="10"/>
      <c r="J1465" s="8"/>
    </row>
    <row r="1466" spans="1:10" x14ac:dyDescent="0.15">
      <c r="A1466" s="7"/>
      <c r="B1466" s="8"/>
      <c r="C1466" s="8"/>
      <c r="D1466" s="9"/>
      <c r="E1466" s="8"/>
      <c r="F1466" s="8"/>
      <c r="G1466" s="8"/>
      <c r="H1466" s="8"/>
      <c r="I1466" s="10"/>
      <c r="J1466" s="8"/>
    </row>
    <row r="1467" spans="1:10" x14ac:dyDescent="0.15">
      <c r="A1467" s="7"/>
      <c r="B1467" s="8"/>
      <c r="C1467" s="8"/>
      <c r="D1467" s="9"/>
      <c r="E1467" s="8"/>
      <c r="F1467" s="8"/>
      <c r="G1467" s="8"/>
      <c r="H1467" s="8"/>
      <c r="I1467" s="10"/>
      <c r="J1467" s="8"/>
    </row>
    <row r="1468" spans="1:10" x14ac:dyDescent="0.15">
      <c r="A1468" s="7"/>
      <c r="B1468" s="8"/>
      <c r="C1468" s="8"/>
      <c r="D1468" s="9"/>
      <c r="E1468" s="8"/>
      <c r="F1468" s="8"/>
      <c r="G1468" s="8"/>
      <c r="H1468" s="8"/>
      <c r="I1468" s="10"/>
      <c r="J1468" s="8"/>
    </row>
    <row r="1469" spans="1:10" x14ac:dyDescent="0.15">
      <c r="A1469" s="7"/>
      <c r="B1469" s="8"/>
      <c r="C1469" s="8"/>
      <c r="D1469" s="9"/>
      <c r="E1469" s="8"/>
      <c r="F1469" s="8"/>
      <c r="G1469" s="8"/>
      <c r="H1469" s="8"/>
      <c r="I1469" s="10"/>
      <c r="J1469" s="8"/>
    </row>
    <row r="1470" spans="1:10" x14ac:dyDescent="0.15">
      <c r="A1470" s="7"/>
      <c r="B1470" s="8"/>
      <c r="C1470" s="8"/>
      <c r="D1470" s="9"/>
      <c r="E1470" s="8"/>
      <c r="F1470" s="8"/>
      <c r="G1470" s="8"/>
      <c r="H1470" s="8"/>
      <c r="I1470" s="10"/>
      <c r="J1470" s="8"/>
    </row>
    <row r="1471" spans="1:10" x14ac:dyDescent="0.15">
      <c r="A1471" s="7"/>
      <c r="B1471" s="8"/>
      <c r="C1471" s="8"/>
      <c r="D1471" s="9"/>
      <c r="E1471" s="8"/>
      <c r="F1471" s="8"/>
      <c r="G1471" s="8"/>
      <c r="H1471" s="8"/>
      <c r="I1471" s="10"/>
      <c r="J1471" s="8"/>
    </row>
    <row r="1472" spans="1:10" x14ac:dyDescent="0.15">
      <c r="A1472" s="7"/>
      <c r="B1472" s="8"/>
      <c r="C1472" s="8"/>
      <c r="D1472" s="9"/>
      <c r="E1472" s="8"/>
      <c r="F1472" s="8"/>
      <c r="G1472" s="8"/>
      <c r="H1472" s="8"/>
      <c r="I1472" s="10"/>
      <c r="J1472" s="8"/>
    </row>
    <row r="1473" spans="1:10" x14ac:dyDescent="0.15">
      <c r="A1473" s="7"/>
      <c r="B1473" s="8"/>
      <c r="C1473" s="8"/>
      <c r="D1473" s="9"/>
      <c r="E1473" s="8"/>
      <c r="F1473" s="8"/>
      <c r="G1473" s="8"/>
      <c r="H1473" s="8"/>
      <c r="I1473" s="10"/>
      <c r="J1473" s="8"/>
    </row>
    <row r="1474" spans="1:10" x14ac:dyDescent="0.15">
      <c r="A1474" s="7"/>
      <c r="B1474" s="8"/>
      <c r="C1474" s="8"/>
      <c r="D1474" s="9"/>
      <c r="E1474" s="8"/>
      <c r="F1474" s="8"/>
      <c r="G1474" s="8"/>
      <c r="H1474" s="8"/>
      <c r="I1474" s="10"/>
      <c r="J1474" s="8"/>
    </row>
    <row r="1475" spans="1:10" x14ac:dyDescent="0.15">
      <c r="A1475" s="7"/>
      <c r="B1475" s="8"/>
      <c r="C1475" s="8"/>
      <c r="D1475" s="9"/>
      <c r="E1475" s="8"/>
      <c r="F1475" s="8"/>
      <c r="G1475" s="8"/>
      <c r="H1475" s="8"/>
      <c r="I1475" s="10"/>
      <c r="J1475" s="8"/>
    </row>
    <row r="1476" spans="1:10" x14ac:dyDescent="0.15">
      <c r="A1476" s="7"/>
      <c r="B1476" s="8"/>
      <c r="C1476" s="8"/>
      <c r="D1476" s="9"/>
      <c r="E1476" s="8"/>
      <c r="F1476" s="8"/>
      <c r="G1476" s="8"/>
      <c r="H1476" s="8"/>
      <c r="I1476" s="10"/>
      <c r="J1476" s="8"/>
    </row>
    <row r="1477" spans="1:10" x14ac:dyDescent="0.15">
      <c r="A1477" s="7"/>
      <c r="B1477" s="8"/>
      <c r="C1477" s="8"/>
      <c r="D1477" s="9"/>
      <c r="E1477" s="8"/>
      <c r="F1477" s="8"/>
      <c r="G1477" s="8"/>
      <c r="H1477" s="8"/>
      <c r="I1477" s="10"/>
      <c r="J1477" s="8"/>
    </row>
    <row r="1478" spans="1:10" x14ac:dyDescent="0.15">
      <c r="A1478" s="7"/>
      <c r="B1478" s="8"/>
      <c r="C1478" s="8"/>
      <c r="D1478" s="9"/>
      <c r="E1478" s="8"/>
      <c r="F1478" s="8"/>
      <c r="G1478" s="8"/>
      <c r="H1478" s="8"/>
      <c r="I1478" s="10"/>
      <c r="J1478" s="8"/>
    </row>
    <row r="1479" spans="1:10" x14ac:dyDescent="0.15">
      <c r="A1479" s="7"/>
      <c r="B1479" s="8"/>
      <c r="C1479" s="8"/>
      <c r="D1479" s="9"/>
      <c r="E1479" s="8"/>
      <c r="F1479" s="8"/>
      <c r="G1479" s="8"/>
      <c r="H1479" s="8"/>
      <c r="I1479" s="10"/>
      <c r="J1479" s="8"/>
    </row>
    <row r="1480" spans="1:10" x14ac:dyDescent="0.15">
      <c r="A1480" s="7"/>
      <c r="B1480" s="8"/>
      <c r="C1480" s="8"/>
      <c r="D1480" s="9"/>
      <c r="E1480" s="8"/>
      <c r="F1480" s="8"/>
      <c r="G1480" s="8"/>
      <c r="H1480" s="8"/>
      <c r="I1480" s="10"/>
      <c r="J1480" s="8"/>
    </row>
    <row r="1481" spans="1:10" x14ac:dyDescent="0.15">
      <c r="A1481" s="7"/>
      <c r="B1481" s="8"/>
      <c r="C1481" s="8"/>
      <c r="D1481" s="9"/>
      <c r="E1481" s="8"/>
      <c r="F1481" s="8"/>
      <c r="G1481" s="8"/>
      <c r="H1481" s="8"/>
      <c r="I1481" s="10"/>
      <c r="J1481" s="8"/>
    </row>
    <row r="1482" spans="1:10" x14ac:dyDescent="0.15">
      <c r="A1482" s="7"/>
      <c r="B1482" s="8"/>
      <c r="C1482" s="8"/>
      <c r="D1482" s="9"/>
      <c r="E1482" s="8"/>
      <c r="F1482" s="8"/>
      <c r="G1482" s="8"/>
      <c r="H1482" s="8"/>
      <c r="I1482" s="10"/>
      <c r="J1482" s="8"/>
    </row>
    <row r="1483" spans="1:10" x14ac:dyDescent="0.15">
      <c r="A1483" s="7"/>
      <c r="B1483" s="8"/>
      <c r="C1483" s="8"/>
      <c r="D1483" s="9"/>
      <c r="E1483" s="8"/>
      <c r="F1483" s="8"/>
      <c r="G1483" s="8"/>
      <c r="H1483" s="8"/>
      <c r="I1483" s="10"/>
      <c r="J1483" s="8"/>
    </row>
    <row r="1484" spans="1:10" x14ac:dyDescent="0.15">
      <c r="A1484" s="7"/>
      <c r="B1484" s="8"/>
      <c r="C1484" s="8"/>
      <c r="D1484" s="9"/>
      <c r="E1484" s="8"/>
      <c r="F1484" s="8"/>
      <c r="G1484" s="8"/>
      <c r="H1484" s="8"/>
      <c r="I1484" s="10"/>
      <c r="J1484" s="8"/>
    </row>
    <row r="1485" spans="1:10" x14ac:dyDescent="0.15">
      <c r="A1485" s="7"/>
      <c r="B1485" s="8"/>
      <c r="C1485" s="8"/>
      <c r="D1485" s="9"/>
      <c r="E1485" s="8"/>
      <c r="F1485" s="8"/>
      <c r="G1485" s="8"/>
      <c r="H1485" s="8"/>
      <c r="I1485" s="10"/>
      <c r="J1485" s="8"/>
    </row>
    <row r="1486" spans="1:10" x14ac:dyDescent="0.15">
      <c r="A1486" s="7"/>
      <c r="B1486" s="8"/>
      <c r="C1486" s="8"/>
      <c r="D1486" s="9"/>
      <c r="E1486" s="8"/>
      <c r="F1486" s="8"/>
      <c r="G1486" s="8"/>
      <c r="H1486" s="8"/>
      <c r="I1486" s="10"/>
      <c r="J1486" s="8"/>
    </row>
    <row r="1487" spans="1:10" x14ac:dyDescent="0.15">
      <c r="A1487" s="7"/>
      <c r="B1487" s="8"/>
      <c r="C1487" s="8"/>
      <c r="D1487" s="9"/>
      <c r="E1487" s="8"/>
      <c r="F1487" s="8"/>
      <c r="G1487" s="8"/>
      <c r="H1487" s="8"/>
      <c r="I1487" s="10"/>
      <c r="J1487" s="8"/>
    </row>
    <row r="1488" spans="1:10" x14ac:dyDescent="0.15">
      <c r="A1488" s="7"/>
      <c r="B1488" s="8"/>
      <c r="C1488" s="8"/>
      <c r="D1488" s="9"/>
      <c r="E1488" s="8"/>
      <c r="F1488" s="8"/>
      <c r="G1488" s="8"/>
      <c r="H1488" s="8"/>
      <c r="I1488" s="10"/>
      <c r="J1488" s="8"/>
    </row>
    <row r="1489" spans="1:10" x14ac:dyDescent="0.15">
      <c r="A1489" s="7"/>
      <c r="B1489" s="8"/>
      <c r="C1489" s="8"/>
      <c r="D1489" s="9"/>
      <c r="E1489" s="8"/>
      <c r="F1489" s="8"/>
      <c r="G1489" s="8"/>
      <c r="H1489" s="8"/>
      <c r="I1489" s="10"/>
      <c r="J1489" s="8"/>
    </row>
    <row r="1490" spans="1:10" x14ac:dyDescent="0.15">
      <c r="A1490" s="7"/>
      <c r="B1490" s="8"/>
      <c r="C1490" s="8"/>
      <c r="D1490" s="9"/>
      <c r="E1490" s="8"/>
      <c r="F1490" s="8"/>
      <c r="G1490" s="8"/>
      <c r="H1490" s="8"/>
      <c r="I1490" s="10"/>
      <c r="J1490" s="8"/>
    </row>
    <row r="1491" spans="1:10" x14ac:dyDescent="0.15">
      <c r="A1491" s="7"/>
      <c r="B1491" s="8"/>
      <c r="C1491" s="8"/>
      <c r="D1491" s="9"/>
      <c r="E1491" s="8"/>
      <c r="F1491" s="8"/>
      <c r="G1491" s="8"/>
      <c r="H1491" s="8"/>
      <c r="I1491" s="10"/>
      <c r="J1491" s="8"/>
    </row>
    <row r="1492" spans="1:10" x14ac:dyDescent="0.15">
      <c r="A1492" s="7"/>
      <c r="B1492" s="8"/>
      <c r="C1492" s="8"/>
      <c r="D1492" s="9"/>
      <c r="E1492" s="8"/>
      <c r="F1492" s="8"/>
      <c r="G1492" s="8"/>
      <c r="H1492" s="8"/>
      <c r="I1492" s="10"/>
      <c r="J1492" s="8"/>
    </row>
    <row r="1493" spans="1:10" x14ac:dyDescent="0.15">
      <c r="A1493" s="7"/>
      <c r="B1493" s="8"/>
      <c r="C1493" s="8"/>
      <c r="D1493" s="9"/>
      <c r="E1493" s="8"/>
      <c r="F1493" s="8"/>
      <c r="G1493" s="8"/>
      <c r="H1493" s="8"/>
      <c r="I1493" s="10"/>
      <c r="J1493" s="8"/>
    </row>
    <row r="1494" spans="1:10" x14ac:dyDescent="0.15">
      <c r="A1494" s="7"/>
      <c r="B1494" s="8"/>
      <c r="C1494" s="8"/>
      <c r="D1494" s="9"/>
      <c r="E1494" s="8"/>
      <c r="F1494" s="8"/>
      <c r="G1494" s="8"/>
      <c r="H1494" s="8"/>
      <c r="I1494" s="10"/>
      <c r="J1494" s="8"/>
    </row>
    <row r="1495" spans="1:10" x14ac:dyDescent="0.15">
      <c r="A1495" s="7"/>
      <c r="B1495" s="8"/>
      <c r="C1495" s="8"/>
      <c r="D1495" s="9"/>
      <c r="E1495" s="8"/>
      <c r="F1495" s="8"/>
      <c r="G1495" s="8"/>
      <c r="H1495" s="8"/>
      <c r="I1495" s="10"/>
      <c r="J1495" s="8"/>
    </row>
    <row r="1496" spans="1:10" x14ac:dyDescent="0.15">
      <c r="A1496" s="7"/>
      <c r="B1496" s="8"/>
      <c r="C1496" s="8"/>
      <c r="D1496" s="9"/>
      <c r="E1496" s="8"/>
      <c r="F1496" s="8"/>
      <c r="G1496" s="8"/>
      <c r="H1496" s="8"/>
      <c r="I1496" s="10"/>
      <c r="J1496" s="8"/>
    </row>
    <row r="1497" spans="1:10" x14ac:dyDescent="0.15">
      <c r="A1497" s="7"/>
      <c r="B1497" s="8"/>
      <c r="C1497" s="8"/>
      <c r="D1497" s="9"/>
      <c r="E1497" s="8"/>
      <c r="F1497" s="8"/>
      <c r="G1497" s="8"/>
      <c r="H1497" s="8"/>
      <c r="I1497" s="10"/>
      <c r="J1497" s="8"/>
    </row>
    <row r="1498" spans="1:10" x14ac:dyDescent="0.15">
      <c r="A1498" s="7"/>
      <c r="B1498" s="8"/>
      <c r="C1498" s="8"/>
      <c r="D1498" s="9"/>
      <c r="E1498" s="8"/>
      <c r="F1498" s="8"/>
      <c r="G1498" s="8"/>
      <c r="H1498" s="8"/>
      <c r="I1498" s="10"/>
      <c r="J1498" s="8"/>
    </row>
    <row r="1499" spans="1:10" x14ac:dyDescent="0.15">
      <c r="A1499" s="7"/>
      <c r="B1499" s="8"/>
      <c r="C1499" s="8"/>
      <c r="D1499" s="9"/>
      <c r="E1499" s="8"/>
      <c r="F1499" s="8"/>
      <c r="G1499" s="8"/>
      <c r="H1499" s="8"/>
      <c r="I1499" s="10"/>
      <c r="J1499" s="8"/>
    </row>
    <row r="1500" spans="1:10" x14ac:dyDescent="0.15">
      <c r="A1500" s="7"/>
      <c r="B1500" s="8"/>
      <c r="C1500" s="8"/>
      <c r="D1500" s="9"/>
      <c r="E1500" s="8"/>
      <c r="F1500" s="8"/>
      <c r="G1500" s="8"/>
      <c r="H1500" s="8"/>
      <c r="I1500" s="10"/>
      <c r="J1500" s="8"/>
    </row>
    <row r="1501" spans="1:10" x14ac:dyDescent="0.15">
      <c r="A1501" s="7"/>
      <c r="B1501" s="8"/>
      <c r="C1501" s="8"/>
      <c r="D1501" s="9"/>
      <c r="E1501" s="8"/>
      <c r="F1501" s="8"/>
      <c r="G1501" s="8"/>
      <c r="H1501" s="8"/>
      <c r="I1501" s="10"/>
      <c r="J1501" s="8"/>
    </row>
    <row r="1502" spans="1:10" x14ac:dyDescent="0.15">
      <c r="A1502" s="7"/>
      <c r="B1502" s="8"/>
      <c r="C1502" s="8"/>
      <c r="D1502" s="9"/>
      <c r="E1502" s="8"/>
      <c r="F1502" s="8"/>
      <c r="G1502" s="8"/>
      <c r="H1502" s="8"/>
      <c r="I1502" s="10"/>
      <c r="J1502" s="8"/>
    </row>
    <row r="1503" spans="1:10" x14ac:dyDescent="0.15">
      <c r="A1503" s="7"/>
      <c r="B1503" s="8"/>
      <c r="C1503" s="8"/>
      <c r="D1503" s="9"/>
      <c r="E1503" s="8"/>
      <c r="F1503" s="8"/>
      <c r="G1503" s="8"/>
      <c r="H1503" s="8"/>
      <c r="I1503" s="10"/>
      <c r="J1503" s="8"/>
    </row>
    <row r="1504" spans="1:10" x14ac:dyDescent="0.15">
      <c r="A1504" s="7"/>
      <c r="B1504" s="8"/>
      <c r="C1504" s="8"/>
      <c r="D1504" s="9"/>
      <c r="E1504" s="8"/>
      <c r="F1504" s="8"/>
      <c r="G1504" s="8"/>
      <c r="H1504" s="8"/>
      <c r="I1504" s="10"/>
      <c r="J1504" s="8"/>
    </row>
    <row r="1505" spans="1:10" x14ac:dyDescent="0.15">
      <c r="A1505" s="7"/>
      <c r="B1505" s="8"/>
      <c r="C1505" s="8"/>
      <c r="D1505" s="9"/>
      <c r="E1505" s="8"/>
      <c r="F1505" s="8"/>
      <c r="G1505" s="8"/>
      <c r="H1505" s="8"/>
      <c r="I1505" s="10"/>
      <c r="J1505" s="8"/>
    </row>
    <row r="1506" spans="1:10" x14ac:dyDescent="0.15">
      <c r="A1506" s="7"/>
      <c r="B1506" s="8"/>
      <c r="C1506" s="8"/>
      <c r="D1506" s="9"/>
      <c r="E1506" s="8"/>
      <c r="F1506" s="8"/>
      <c r="G1506" s="8"/>
      <c r="H1506" s="8"/>
      <c r="I1506" s="10"/>
      <c r="J1506" s="8"/>
    </row>
    <row r="1507" spans="1:10" x14ac:dyDescent="0.15">
      <c r="A1507" s="7"/>
      <c r="B1507" s="8"/>
      <c r="C1507" s="8"/>
      <c r="D1507" s="9"/>
      <c r="E1507" s="8"/>
      <c r="F1507" s="8"/>
      <c r="G1507" s="8"/>
      <c r="H1507" s="8"/>
      <c r="I1507" s="10"/>
      <c r="J1507" s="8"/>
    </row>
    <row r="1508" spans="1:10" x14ac:dyDescent="0.15">
      <c r="A1508" s="7"/>
      <c r="B1508" s="8"/>
      <c r="C1508" s="8"/>
      <c r="D1508" s="9"/>
      <c r="E1508" s="8"/>
      <c r="F1508" s="8"/>
      <c r="G1508" s="8"/>
      <c r="H1508" s="8"/>
      <c r="I1508" s="10"/>
      <c r="J1508" s="8"/>
    </row>
    <row r="1509" spans="1:10" x14ac:dyDescent="0.15">
      <c r="A1509" s="7"/>
      <c r="B1509" s="8"/>
      <c r="C1509" s="8"/>
      <c r="D1509" s="9"/>
      <c r="E1509" s="8"/>
      <c r="F1509" s="8"/>
      <c r="G1509" s="8"/>
      <c r="H1509" s="8"/>
      <c r="I1509" s="10"/>
      <c r="J1509" s="8"/>
    </row>
    <row r="1510" spans="1:10" x14ac:dyDescent="0.15">
      <c r="A1510" s="7"/>
      <c r="B1510" s="8"/>
      <c r="C1510" s="8"/>
      <c r="D1510" s="9"/>
      <c r="E1510" s="8"/>
      <c r="F1510" s="8"/>
      <c r="G1510" s="8"/>
      <c r="H1510" s="8"/>
      <c r="I1510" s="10"/>
      <c r="J1510" s="8"/>
    </row>
    <row r="1511" spans="1:10" x14ac:dyDescent="0.15">
      <c r="A1511" s="7"/>
      <c r="B1511" s="8"/>
      <c r="C1511" s="8"/>
      <c r="D1511" s="9"/>
      <c r="E1511" s="8"/>
      <c r="F1511" s="8"/>
      <c r="G1511" s="8"/>
      <c r="H1511" s="8"/>
      <c r="I1511" s="10"/>
      <c r="J1511" s="8"/>
    </row>
    <row r="1512" spans="1:10" x14ac:dyDescent="0.15">
      <c r="A1512" s="7"/>
      <c r="B1512" s="8"/>
      <c r="C1512" s="8"/>
      <c r="D1512" s="9"/>
      <c r="E1512" s="8"/>
      <c r="F1512" s="8"/>
      <c r="G1512" s="8"/>
      <c r="H1512" s="8"/>
      <c r="I1512" s="10"/>
      <c r="J1512" s="8"/>
    </row>
    <row r="1513" spans="1:10" x14ac:dyDescent="0.15">
      <c r="A1513" s="7"/>
      <c r="B1513" s="8"/>
      <c r="C1513" s="8"/>
      <c r="D1513" s="9"/>
      <c r="E1513" s="8"/>
      <c r="F1513" s="8"/>
      <c r="G1513" s="8"/>
      <c r="H1513" s="8"/>
      <c r="I1513" s="10"/>
      <c r="J1513" s="8"/>
    </row>
    <row r="1514" spans="1:10" x14ac:dyDescent="0.15">
      <c r="A1514" s="7"/>
      <c r="B1514" s="8"/>
      <c r="C1514" s="8"/>
      <c r="D1514" s="9"/>
      <c r="E1514" s="8"/>
      <c r="F1514" s="8"/>
      <c r="G1514" s="8"/>
      <c r="H1514" s="8"/>
      <c r="I1514" s="10"/>
      <c r="J1514" s="8"/>
    </row>
    <row r="1515" spans="1:10" x14ac:dyDescent="0.15">
      <c r="A1515" s="7"/>
      <c r="B1515" s="8"/>
      <c r="C1515" s="8"/>
      <c r="D1515" s="9"/>
      <c r="E1515" s="8"/>
      <c r="F1515" s="8"/>
      <c r="G1515" s="8"/>
      <c r="H1515" s="8"/>
      <c r="I1515" s="10"/>
      <c r="J1515" s="8"/>
    </row>
    <row r="1516" spans="1:10" x14ac:dyDescent="0.15">
      <c r="A1516" s="7"/>
      <c r="B1516" s="8"/>
      <c r="C1516" s="8"/>
      <c r="D1516" s="9"/>
      <c r="E1516" s="8"/>
      <c r="F1516" s="8"/>
      <c r="G1516" s="8"/>
      <c r="H1516" s="8"/>
      <c r="I1516" s="10"/>
      <c r="J1516" s="8"/>
    </row>
    <row r="1517" spans="1:10" x14ac:dyDescent="0.15">
      <c r="A1517" s="7"/>
      <c r="B1517" s="8"/>
      <c r="C1517" s="8"/>
      <c r="D1517" s="9"/>
      <c r="E1517" s="8"/>
      <c r="F1517" s="8"/>
      <c r="G1517" s="8"/>
      <c r="H1517" s="8"/>
      <c r="I1517" s="10"/>
      <c r="J1517" s="8"/>
    </row>
    <row r="1518" spans="1:10" x14ac:dyDescent="0.15">
      <c r="A1518" s="7"/>
      <c r="B1518" s="8"/>
      <c r="C1518" s="8"/>
      <c r="D1518" s="9"/>
      <c r="E1518" s="8"/>
      <c r="F1518" s="8"/>
      <c r="G1518" s="8"/>
      <c r="H1518" s="8"/>
      <c r="I1518" s="10"/>
      <c r="J1518" s="8"/>
    </row>
    <row r="1519" spans="1:10" x14ac:dyDescent="0.15">
      <c r="A1519" s="7"/>
      <c r="B1519" s="8"/>
      <c r="C1519" s="8"/>
      <c r="D1519" s="9"/>
      <c r="E1519" s="8"/>
      <c r="F1519" s="8"/>
      <c r="G1519" s="8"/>
      <c r="H1519" s="8"/>
      <c r="I1519" s="10"/>
      <c r="J1519" s="8"/>
    </row>
    <row r="1520" spans="1:10" x14ac:dyDescent="0.15">
      <c r="A1520" s="7"/>
      <c r="B1520" s="8"/>
      <c r="C1520" s="8"/>
      <c r="D1520" s="9"/>
      <c r="E1520" s="8"/>
      <c r="F1520" s="8"/>
      <c r="G1520" s="8"/>
      <c r="H1520" s="8"/>
      <c r="I1520" s="10"/>
      <c r="J1520" s="8"/>
    </row>
    <row r="1521" spans="1:10" x14ac:dyDescent="0.15">
      <c r="A1521" s="7"/>
      <c r="B1521" s="8"/>
      <c r="C1521" s="8"/>
      <c r="D1521" s="9"/>
      <c r="E1521" s="8"/>
      <c r="F1521" s="8"/>
      <c r="G1521" s="8"/>
      <c r="H1521" s="8"/>
      <c r="I1521" s="10"/>
      <c r="J1521" s="8"/>
    </row>
    <row r="1522" spans="1:10" x14ac:dyDescent="0.15">
      <c r="A1522" s="7"/>
      <c r="B1522" s="8"/>
      <c r="C1522" s="8"/>
      <c r="D1522" s="9"/>
      <c r="E1522" s="8"/>
      <c r="F1522" s="8"/>
      <c r="G1522" s="8"/>
      <c r="H1522" s="8"/>
      <c r="I1522" s="10"/>
      <c r="J1522" s="8"/>
    </row>
    <row r="1523" spans="1:10" x14ac:dyDescent="0.15">
      <c r="A1523" s="7"/>
      <c r="B1523" s="8"/>
      <c r="C1523" s="8"/>
      <c r="D1523" s="9"/>
      <c r="E1523" s="8"/>
      <c r="F1523" s="8"/>
      <c r="G1523" s="8"/>
      <c r="H1523" s="8"/>
      <c r="I1523" s="10"/>
      <c r="J1523" s="8"/>
    </row>
    <row r="1524" spans="1:10" x14ac:dyDescent="0.15">
      <c r="A1524" s="7"/>
      <c r="B1524" s="8"/>
      <c r="C1524" s="8"/>
      <c r="D1524" s="9"/>
      <c r="E1524" s="8"/>
      <c r="F1524" s="8"/>
      <c r="G1524" s="8"/>
      <c r="H1524" s="8"/>
      <c r="I1524" s="10"/>
      <c r="J1524" s="8"/>
    </row>
    <row r="1525" spans="1:10" x14ac:dyDescent="0.15">
      <c r="A1525" s="7"/>
      <c r="B1525" s="8"/>
      <c r="C1525" s="8"/>
      <c r="D1525" s="9"/>
      <c r="E1525" s="8"/>
      <c r="F1525" s="8"/>
      <c r="G1525" s="8"/>
      <c r="H1525" s="8"/>
      <c r="I1525" s="10"/>
      <c r="J1525" s="8"/>
    </row>
    <row r="1526" spans="1:10" x14ac:dyDescent="0.15">
      <c r="A1526" s="7"/>
      <c r="B1526" s="8"/>
      <c r="C1526" s="8"/>
      <c r="D1526" s="9"/>
      <c r="E1526" s="8"/>
      <c r="F1526" s="8"/>
      <c r="G1526" s="8"/>
      <c r="H1526" s="8"/>
      <c r="I1526" s="10"/>
      <c r="J1526" s="8"/>
    </row>
    <row r="1527" spans="1:10" x14ac:dyDescent="0.15">
      <c r="A1527" s="7"/>
      <c r="B1527" s="8"/>
      <c r="C1527" s="8"/>
      <c r="D1527" s="9"/>
      <c r="E1527" s="8"/>
      <c r="F1527" s="8"/>
      <c r="G1527" s="8"/>
      <c r="H1527" s="8"/>
      <c r="I1527" s="10"/>
      <c r="J1527" s="8"/>
    </row>
    <row r="1528" spans="1:10" x14ac:dyDescent="0.15">
      <c r="A1528" s="7"/>
      <c r="B1528" s="8"/>
      <c r="C1528" s="8"/>
      <c r="D1528" s="9"/>
      <c r="E1528" s="8"/>
      <c r="F1528" s="8"/>
      <c r="G1528" s="8"/>
      <c r="H1528" s="8"/>
      <c r="I1528" s="10"/>
      <c r="J1528" s="8"/>
    </row>
    <row r="1529" spans="1:10" x14ac:dyDescent="0.15">
      <c r="A1529" s="7"/>
      <c r="B1529" s="8"/>
      <c r="C1529" s="8"/>
      <c r="D1529" s="9"/>
      <c r="E1529" s="8"/>
      <c r="F1529" s="8"/>
      <c r="G1529" s="8"/>
      <c r="H1529" s="8"/>
      <c r="I1529" s="10"/>
      <c r="J1529" s="8"/>
    </row>
    <row r="1530" spans="1:10" x14ac:dyDescent="0.15">
      <c r="A1530" s="7"/>
      <c r="B1530" s="8"/>
      <c r="C1530" s="8"/>
      <c r="D1530" s="9"/>
      <c r="E1530" s="8"/>
      <c r="F1530" s="8"/>
      <c r="G1530" s="8"/>
      <c r="H1530" s="8"/>
      <c r="I1530" s="10"/>
      <c r="J1530" s="8"/>
    </row>
    <row r="1531" spans="1:10" x14ac:dyDescent="0.15">
      <c r="A1531" s="7"/>
      <c r="B1531" s="8"/>
      <c r="C1531" s="8"/>
      <c r="D1531" s="9"/>
      <c r="E1531" s="8"/>
      <c r="F1531" s="8"/>
      <c r="G1531" s="8"/>
      <c r="H1531" s="8"/>
      <c r="I1531" s="10"/>
      <c r="J1531" s="8"/>
    </row>
    <row r="1532" spans="1:10" x14ac:dyDescent="0.15">
      <c r="A1532" s="7"/>
      <c r="B1532" s="8"/>
      <c r="C1532" s="8"/>
      <c r="D1532" s="9"/>
      <c r="E1532" s="8"/>
      <c r="F1532" s="8"/>
      <c r="G1532" s="8"/>
      <c r="H1532" s="8"/>
      <c r="I1532" s="10"/>
      <c r="J1532" s="8"/>
    </row>
    <row r="1533" spans="1:10" x14ac:dyDescent="0.15">
      <c r="A1533" s="7"/>
      <c r="B1533" s="8"/>
      <c r="C1533" s="8"/>
      <c r="D1533" s="9"/>
      <c r="E1533" s="8"/>
      <c r="F1533" s="8"/>
      <c r="G1533" s="8"/>
      <c r="H1533" s="8"/>
      <c r="I1533" s="10"/>
      <c r="J1533" s="8"/>
    </row>
    <row r="1534" spans="1:10" x14ac:dyDescent="0.15">
      <c r="A1534" s="7"/>
      <c r="B1534" s="8"/>
      <c r="C1534" s="8"/>
      <c r="D1534" s="9"/>
      <c r="E1534" s="8"/>
      <c r="F1534" s="8"/>
      <c r="G1534" s="8"/>
      <c r="H1534" s="8"/>
      <c r="I1534" s="10"/>
      <c r="J1534" s="8"/>
    </row>
    <row r="1535" spans="1:10" x14ac:dyDescent="0.15">
      <c r="A1535" s="7"/>
      <c r="B1535" s="8"/>
      <c r="C1535" s="8"/>
      <c r="D1535" s="9"/>
      <c r="E1535" s="8"/>
      <c r="F1535" s="8"/>
      <c r="G1535" s="8"/>
      <c r="H1535" s="8"/>
      <c r="I1535" s="10"/>
      <c r="J1535" s="8"/>
    </row>
    <row r="1536" spans="1:10" x14ac:dyDescent="0.15">
      <c r="A1536" s="7"/>
      <c r="B1536" s="8"/>
      <c r="C1536" s="8"/>
      <c r="D1536" s="9"/>
      <c r="E1536" s="8"/>
      <c r="F1536" s="8"/>
      <c r="G1536" s="8"/>
      <c r="H1536" s="8"/>
      <c r="I1536" s="10"/>
      <c r="J1536" s="8"/>
    </row>
    <row r="1537" spans="1:10" x14ac:dyDescent="0.15">
      <c r="A1537" s="7"/>
      <c r="B1537" s="8"/>
      <c r="C1537" s="8"/>
      <c r="D1537" s="9"/>
      <c r="E1537" s="8"/>
      <c r="F1537" s="8"/>
      <c r="G1537" s="8"/>
      <c r="H1537" s="8"/>
      <c r="I1537" s="10"/>
      <c r="J1537" s="8"/>
    </row>
    <row r="1538" spans="1:10" x14ac:dyDescent="0.15">
      <c r="A1538" s="7"/>
      <c r="B1538" s="8"/>
      <c r="C1538" s="8"/>
      <c r="D1538" s="9"/>
      <c r="E1538" s="8"/>
      <c r="F1538" s="8"/>
      <c r="G1538" s="8"/>
      <c r="H1538" s="8"/>
      <c r="I1538" s="10"/>
      <c r="J1538" s="8"/>
    </row>
    <row r="1539" spans="1:10" x14ac:dyDescent="0.15">
      <c r="A1539" s="7"/>
      <c r="B1539" s="8"/>
      <c r="C1539" s="8"/>
      <c r="D1539" s="9"/>
      <c r="E1539" s="8"/>
      <c r="F1539" s="8"/>
      <c r="G1539" s="8"/>
      <c r="H1539" s="8"/>
      <c r="I1539" s="10"/>
      <c r="J1539" s="8"/>
    </row>
    <row r="1540" spans="1:10" x14ac:dyDescent="0.15">
      <c r="A1540" s="7"/>
      <c r="B1540" s="8"/>
      <c r="C1540" s="8"/>
      <c r="D1540" s="9"/>
      <c r="E1540" s="8"/>
      <c r="F1540" s="8"/>
      <c r="G1540" s="8"/>
      <c r="H1540" s="8"/>
      <c r="I1540" s="10"/>
      <c r="J1540" s="8"/>
    </row>
    <row r="1541" spans="1:10" x14ac:dyDescent="0.15">
      <c r="A1541" s="7"/>
      <c r="B1541" s="8"/>
      <c r="C1541" s="8"/>
      <c r="D1541" s="9"/>
      <c r="E1541" s="8"/>
      <c r="F1541" s="8"/>
      <c r="G1541" s="8"/>
      <c r="H1541" s="8"/>
      <c r="I1541" s="10"/>
      <c r="J1541" s="8"/>
    </row>
    <row r="1542" spans="1:10" x14ac:dyDescent="0.15">
      <c r="A1542" s="7"/>
      <c r="B1542" s="8"/>
      <c r="C1542" s="8"/>
      <c r="D1542" s="9"/>
      <c r="E1542" s="8"/>
      <c r="F1542" s="8"/>
      <c r="G1542" s="8"/>
      <c r="H1542" s="8"/>
      <c r="I1542" s="10"/>
      <c r="J1542" s="8"/>
    </row>
    <row r="1543" spans="1:10" x14ac:dyDescent="0.15">
      <c r="A1543" s="7"/>
      <c r="B1543" s="8"/>
      <c r="C1543" s="8"/>
      <c r="D1543" s="9"/>
      <c r="E1543" s="8"/>
      <c r="F1543" s="8"/>
      <c r="G1543" s="8"/>
      <c r="H1543" s="8"/>
      <c r="I1543" s="10"/>
      <c r="J1543" s="8"/>
    </row>
    <row r="1544" spans="1:10" x14ac:dyDescent="0.15">
      <c r="A1544" s="7"/>
      <c r="B1544" s="8"/>
      <c r="C1544" s="8"/>
      <c r="D1544" s="9"/>
      <c r="E1544" s="8"/>
      <c r="F1544" s="8"/>
      <c r="G1544" s="8"/>
      <c r="H1544" s="8"/>
      <c r="I1544" s="10"/>
      <c r="J1544" s="8"/>
    </row>
    <row r="1545" spans="1:10" x14ac:dyDescent="0.15">
      <c r="A1545" s="7"/>
      <c r="B1545" s="8"/>
      <c r="C1545" s="8"/>
      <c r="D1545" s="9"/>
      <c r="E1545" s="8"/>
      <c r="F1545" s="8"/>
      <c r="G1545" s="8"/>
      <c r="H1545" s="8"/>
      <c r="I1545" s="10"/>
      <c r="J1545" s="8"/>
    </row>
    <row r="1546" spans="1:10" x14ac:dyDescent="0.15">
      <c r="A1546" s="7"/>
      <c r="B1546" s="8"/>
      <c r="C1546" s="8"/>
      <c r="D1546" s="9"/>
      <c r="E1546" s="8"/>
      <c r="F1546" s="8"/>
      <c r="G1546" s="8"/>
      <c r="H1546" s="8"/>
      <c r="I1546" s="10"/>
      <c r="J1546" s="8"/>
    </row>
    <row r="1547" spans="1:10" x14ac:dyDescent="0.15">
      <c r="A1547" s="7"/>
      <c r="B1547" s="8"/>
      <c r="C1547" s="8"/>
      <c r="D1547" s="9"/>
      <c r="E1547" s="8"/>
      <c r="F1547" s="8"/>
      <c r="G1547" s="8"/>
      <c r="H1547" s="8"/>
      <c r="I1547" s="10"/>
      <c r="J1547" s="8"/>
    </row>
    <row r="1548" spans="1:10" x14ac:dyDescent="0.15">
      <c r="A1548" s="7"/>
      <c r="B1548" s="8"/>
      <c r="C1548" s="8"/>
      <c r="D1548" s="9"/>
      <c r="E1548" s="8"/>
      <c r="F1548" s="8"/>
      <c r="G1548" s="8"/>
      <c r="H1548" s="8"/>
      <c r="I1548" s="10"/>
      <c r="J1548" s="8"/>
    </row>
    <row r="1549" spans="1:10" x14ac:dyDescent="0.15">
      <c r="A1549" s="7"/>
      <c r="B1549" s="8"/>
      <c r="C1549" s="8"/>
      <c r="D1549" s="9"/>
      <c r="E1549" s="8"/>
      <c r="F1549" s="8"/>
      <c r="G1549" s="8"/>
      <c r="H1549" s="8"/>
      <c r="I1549" s="10"/>
      <c r="J1549" s="8"/>
    </row>
    <row r="1550" spans="1:10" x14ac:dyDescent="0.15">
      <c r="A1550" s="7"/>
      <c r="B1550" s="8"/>
      <c r="C1550" s="8"/>
      <c r="D1550" s="9"/>
      <c r="E1550" s="8"/>
      <c r="F1550" s="8"/>
      <c r="G1550" s="8"/>
      <c r="H1550" s="8"/>
      <c r="I1550" s="10"/>
      <c r="J1550" s="8"/>
    </row>
    <row r="1551" spans="1:10" x14ac:dyDescent="0.15">
      <c r="A1551" s="7"/>
      <c r="B1551" s="8"/>
      <c r="C1551" s="8"/>
      <c r="D1551" s="9"/>
      <c r="E1551" s="8"/>
      <c r="F1551" s="8"/>
      <c r="G1551" s="8"/>
      <c r="H1551" s="8"/>
      <c r="I1551" s="10"/>
      <c r="J1551" s="8"/>
    </row>
    <row r="1552" spans="1:10" x14ac:dyDescent="0.15">
      <c r="A1552" s="7"/>
      <c r="B1552" s="8"/>
      <c r="C1552" s="8"/>
      <c r="D1552" s="9"/>
      <c r="E1552" s="8"/>
      <c r="F1552" s="8"/>
      <c r="G1552" s="8"/>
      <c r="H1552" s="8"/>
      <c r="I1552" s="10"/>
      <c r="J1552" s="8"/>
    </row>
    <row r="1553" spans="1:10" x14ac:dyDescent="0.15">
      <c r="A1553" s="7"/>
      <c r="B1553" s="8"/>
      <c r="C1553" s="8"/>
      <c r="D1553" s="9"/>
      <c r="E1553" s="8"/>
      <c r="F1553" s="8"/>
      <c r="G1553" s="8"/>
      <c r="H1553" s="8"/>
      <c r="I1553" s="10"/>
      <c r="J1553" s="8"/>
    </row>
    <row r="1554" spans="1:10" x14ac:dyDescent="0.15">
      <c r="A1554" s="7"/>
      <c r="B1554" s="8"/>
      <c r="C1554" s="8"/>
      <c r="D1554" s="9"/>
      <c r="E1554" s="8"/>
      <c r="F1554" s="8"/>
      <c r="G1554" s="8"/>
      <c r="H1554" s="8"/>
      <c r="I1554" s="10"/>
      <c r="J1554" s="8"/>
    </row>
    <row r="1555" spans="1:10" x14ac:dyDescent="0.15">
      <c r="A1555" s="7"/>
      <c r="B1555" s="8"/>
      <c r="C1555" s="8"/>
      <c r="D1555" s="9"/>
      <c r="E1555" s="8"/>
      <c r="F1555" s="8"/>
      <c r="G1555" s="8"/>
      <c r="H1555" s="8"/>
      <c r="I1555" s="10"/>
      <c r="J1555" s="8"/>
    </row>
    <row r="1556" spans="1:10" x14ac:dyDescent="0.15">
      <c r="A1556" s="7"/>
      <c r="B1556" s="8"/>
      <c r="C1556" s="8"/>
      <c r="D1556" s="9"/>
      <c r="E1556" s="8"/>
      <c r="F1556" s="8"/>
      <c r="G1556" s="8"/>
      <c r="H1556" s="8"/>
      <c r="I1556" s="10"/>
      <c r="J1556" s="8"/>
    </row>
    <row r="1557" spans="1:10" x14ac:dyDescent="0.15">
      <c r="A1557" s="7"/>
      <c r="B1557" s="8"/>
      <c r="C1557" s="8"/>
      <c r="D1557" s="9"/>
      <c r="E1557" s="8"/>
      <c r="F1557" s="8"/>
      <c r="G1557" s="8"/>
      <c r="H1557" s="8"/>
      <c r="I1557" s="10"/>
      <c r="J1557" s="8"/>
    </row>
    <row r="1558" spans="1:10" x14ac:dyDescent="0.15">
      <c r="A1558" s="7"/>
      <c r="B1558" s="8"/>
      <c r="C1558" s="8"/>
      <c r="D1558" s="9"/>
      <c r="E1558" s="8"/>
      <c r="F1558" s="8"/>
      <c r="G1558" s="8"/>
      <c r="H1558" s="8"/>
      <c r="I1558" s="10"/>
      <c r="J1558" s="8"/>
    </row>
    <row r="1559" spans="1:10" x14ac:dyDescent="0.15">
      <c r="A1559" s="7"/>
      <c r="B1559" s="8"/>
      <c r="C1559" s="8"/>
      <c r="D1559" s="9"/>
      <c r="E1559" s="8"/>
      <c r="F1559" s="8"/>
      <c r="G1559" s="8"/>
      <c r="H1559" s="8"/>
      <c r="I1559" s="10"/>
      <c r="J1559" s="8"/>
    </row>
    <row r="1560" spans="1:10" x14ac:dyDescent="0.15">
      <c r="A1560" s="7"/>
      <c r="B1560" s="8"/>
      <c r="C1560" s="8"/>
      <c r="D1560" s="9"/>
      <c r="E1560" s="8"/>
      <c r="F1560" s="8"/>
      <c r="G1560" s="8"/>
      <c r="H1560" s="8"/>
      <c r="I1560" s="10"/>
      <c r="J1560" s="8"/>
    </row>
    <row r="1561" spans="1:10" x14ac:dyDescent="0.15">
      <c r="A1561" s="7"/>
      <c r="B1561" s="8"/>
      <c r="C1561" s="8"/>
      <c r="D1561" s="9"/>
      <c r="E1561" s="8"/>
      <c r="F1561" s="8"/>
      <c r="G1561" s="8"/>
      <c r="H1561" s="8"/>
      <c r="I1561" s="10"/>
      <c r="J1561" s="8"/>
    </row>
    <row r="1562" spans="1:10" x14ac:dyDescent="0.15">
      <c r="A1562" s="7"/>
      <c r="B1562" s="8"/>
      <c r="C1562" s="8"/>
      <c r="D1562" s="9"/>
      <c r="E1562" s="8"/>
      <c r="F1562" s="8"/>
      <c r="G1562" s="8"/>
      <c r="H1562" s="8"/>
      <c r="I1562" s="10"/>
      <c r="J1562" s="8"/>
    </row>
    <row r="1563" spans="1:10" x14ac:dyDescent="0.15">
      <c r="A1563" s="7"/>
      <c r="B1563" s="8"/>
      <c r="C1563" s="8"/>
      <c r="D1563" s="9"/>
      <c r="E1563" s="8"/>
      <c r="F1563" s="8"/>
      <c r="G1563" s="8"/>
      <c r="H1563" s="8"/>
      <c r="I1563" s="10"/>
      <c r="J1563" s="8"/>
    </row>
    <row r="1564" spans="1:10" x14ac:dyDescent="0.15">
      <c r="A1564" s="7"/>
      <c r="B1564" s="8"/>
      <c r="C1564" s="8"/>
      <c r="D1564" s="9"/>
      <c r="E1564" s="8"/>
      <c r="F1564" s="8"/>
      <c r="G1564" s="8"/>
      <c r="H1564" s="8"/>
      <c r="I1564" s="10"/>
      <c r="J1564" s="8"/>
    </row>
    <row r="1565" spans="1:10" x14ac:dyDescent="0.15">
      <c r="A1565" s="7"/>
      <c r="B1565" s="8"/>
      <c r="C1565" s="8"/>
      <c r="D1565" s="9"/>
      <c r="E1565" s="8"/>
      <c r="F1565" s="8"/>
      <c r="G1565" s="8"/>
      <c r="H1565" s="8"/>
      <c r="I1565" s="10"/>
      <c r="J1565" s="8"/>
    </row>
    <row r="1566" spans="1:10" x14ac:dyDescent="0.15">
      <c r="A1566" s="7"/>
      <c r="B1566" s="8"/>
      <c r="C1566" s="8"/>
      <c r="D1566" s="9"/>
      <c r="E1566" s="8"/>
      <c r="F1566" s="8"/>
      <c r="G1566" s="8"/>
      <c r="H1566" s="8"/>
      <c r="I1566" s="10"/>
      <c r="J1566" s="8"/>
    </row>
    <row r="1567" spans="1:10" x14ac:dyDescent="0.15">
      <c r="A1567" s="7"/>
      <c r="B1567" s="8"/>
      <c r="C1567" s="8"/>
      <c r="D1567" s="9"/>
      <c r="E1567" s="8"/>
      <c r="F1567" s="8"/>
      <c r="G1567" s="8"/>
      <c r="H1567" s="8"/>
      <c r="I1567" s="10"/>
      <c r="J1567" s="8"/>
    </row>
    <row r="1568" spans="1:10" x14ac:dyDescent="0.15">
      <c r="A1568" s="7"/>
      <c r="B1568" s="8"/>
      <c r="C1568" s="8"/>
      <c r="D1568" s="9"/>
      <c r="E1568" s="8"/>
      <c r="F1568" s="8"/>
      <c r="G1568" s="8"/>
      <c r="H1568" s="8"/>
      <c r="I1568" s="10"/>
      <c r="J1568" s="8"/>
    </row>
    <row r="1569" spans="1:10" x14ac:dyDescent="0.15">
      <c r="A1569" s="7"/>
      <c r="B1569" s="8"/>
      <c r="C1569" s="8"/>
      <c r="D1569" s="9"/>
      <c r="E1569" s="8"/>
      <c r="F1569" s="8"/>
      <c r="G1569" s="8"/>
      <c r="H1569" s="8"/>
      <c r="I1569" s="10"/>
      <c r="J1569" s="8"/>
    </row>
    <row r="1570" spans="1:10" x14ac:dyDescent="0.15">
      <c r="A1570" s="7"/>
      <c r="B1570" s="8"/>
      <c r="C1570" s="8"/>
      <c r="D1570" s="9"/>
      <c r="E1570" s="8"/>
      <c r="F1570" s="8"/>
      <c r="G1570" s="8"/>
      <c r="H1570" s="8"/>
      <c r="I1570" s="10"/>
      <c r="J1570" s="8"/>
    </row>
    <row r="1571" spans="1:10" x14ac:dyDescent="0.15">
      <c r="A1571" s="7"/>
      <c r="B1571" s="8"/>
      <c r="C1571" s="8"/>
      <c r="D1571" s="9"/>
      <c r="E1571" s="8"/>
      <c r="F1571" s="8"/>
      <c r="G1571" s="8"/>
      <c r="H1571" s="8"/>
      <c r="I1571" s="10"/>
      <c r="J1571" s="8"/>
    </row>
    <row r="1572" spans="1:10" x14ac:dyDescent="0.15">
      <c r="A1572" s="7"/>
      <c r="B1572" s="8"/>
      <c r="C1572" s="8"/>
      <c r="D1572" s="9"/>
      <c r="E1572" s="8"/>
      <c r="F1572" s="8"/>
      <c r="G1572" s="8"/>
      <c r="H1572" s="8"/>
      <c r="I1572" s="10"/>
      <c r="J1572" s="8"/>
    </row>
    <row r="1573" spans="1:10" x14ac:dyDescent="0.15">
      <c r="A1573" s="7"/>
      <c r="B1573" s="8"/>
      <c r="C1573" s="8"/>
      <c r="D1573" s="9"/>
      <c r="E1573" s="8"/>
      <c r="F1573" s="8"/>
      <c r="G1573" s="8"/>
      <c r="H1573" s="8"/>
      <c r="I1573" s="10"/>
      <c r="J1573" s="8"/>
    </row>
    <row r="1574" spans="1:10" x14ac:dyDescent="0.15">
      <c r="A1574" s="7"/>
      <c r="B1574" s="8"/>
      <c r="C1574" s="8"/>
      <c r="D1574" s="9"/>
      <c r="E1574" s="8"/>
      <c r="F1574" s="8"/>
      <c r="G1574" s="8"/>
      <c r="H1574" s="8"/>
      <c r="I1574" s="10"/>
      <c r="J1574" s="8"/>
    </row>
    <row r="1575" spans="1:10" x14ac:dyDescent="0.15">
      <c r="A1575" s="7"/>
      <c r="B1575" s="8"/>
      <c r="C1575" s="8"/>
      <c r="D1575" s="9"/>
      <c r="E1575" s="8"/>
      <c r="F1575" s="8"/>
      <c r="G1575" s="8"/>
      <c r="H1575" s="8"/>
      <c r="I1575" s="10"/>
      <c r="J1575" s="8"/>
    </row>
    <row r="1576" spans="1:10" x14ac:dyDescent="0.15">
      <c r="A1576" s="7"/>
      <c r="B1576" s="8"/>
      <c r="C1576" s="8"/>
      <c r="D1576" s="9"/>
      <c r="E1576" s="8"/>
      <c r="F1576" s="8"/>
      <c r="G1576" s="8"/>
      <c r="H1576" s="8"/>
      <c r="I1576" s="10"/>
      <c r="J1576" s="8"/>
    </row>
    <row r="1577" spans="1:10" x14ac:dyDescent="0.15">
      <c r="A1577" s="7"/>
      <c r="B1577" s="8"/>
      <c r="C1577" s="8"/>
      <c r="D1577" s="9"/>
      <c r="E1577" s="8"/>
      <c r="F1577" s="8"/>
      <c r="G1577" s="8"/>
      <c r="H1577" s="8"/>
      <c r="I1577" s="10"/>
      <c r="J1577" s="8"/>
    </row>
    <row r="1578" spans="1:10" x14ac:dyDescent="0.15">
      <c r="A1578" s="7"/>
      <c r="B1578" s="8"/>
      <c r="C1578" s="8"/>
      <c r="D1578" s="9"/>
      <c r="E1578" s="8"/>
      <c r="F1578" s="8"/>
      <c r="G1578" s="8"/>
      <c r="H1578" s="8"/>
      <c r="I1578" s="10"/>
      <c r="J1578" s="8"/>
    </row>
    <row r="1579" spans="1:10" x14ac:dyDescent="0.15">
      <c r="A1579" s="7"/>
      <c r="B1579" s="8"/>
      <c r="C1579" s="8"/>
      <c r="D1579" s="9"/>
      <c r="E1579" s="8"/>
      <c r="F1579" s="8"/>
      <c r="G1579" s="8"/>
      <c r="H1579" s="8"/>
      <c r="I1579" s="10"/>
      <c r="J1579" s="8"/>
    </row>
    <row r="1580" spans="1:10" x14ac:dyDescent="0.15">
      <c r="A1580" s="7"/>
      <c r="B1580" s="8"/>
      <c r="C1580" s="8"/>
      <c r="D1580" s="9"/>
      <c r="E1580" s="8"/>
      <c r="F1580" s="8"/>
      <c r="G1580" s="8"/>
      <c r="H1580" s="8"/>
      <c r="I1580" s="10"/>
      <c r="J1580" s="8"/>
    </row>
    <row r="1581" spans="1:10" x14ac:dyDescent="0.15">
      <c r="A1581" s="7"/>
      <c r="B1581" s="8"/>
      <c r="C1581" s="8"/>
      <c r="D1581" s="9"/>
      <c r="E1581" s="8"/>
      <c r="F1581" s="8"/>
      <c r="G1581" s="8"/>
      <c r="H1581" s="8"/>
      <c r="I1581" s="10"/>
      <c r="J1581" s="8"/>
    </row>
    <row r="1582" spans="1:10" x14ac:dyDescent="0.15">
      <c r="A1582" s="7"/>
      <c r="B1582" s="8"/>
      <c r="C1582" s="8"/>
      <c r="D1582" s="9"/>
      <c r="E1582" s="8"/>
      <c r="F1582" s="8"/>
      <c r="G1582" s="8"/>
      <c r="H1582" s="8"/>
      <c r="I1582" s="10"/>
      <c r="J1582" s="8"/>
    </row>
    <row r="1583" spans="1:10" x14ac:dyDescent="0.15">
      <c r="A1583" s="7"/>
      <c r="B1583" s="8"/>
      <c r="C1583" s="8"/>
      <c r="D1583" s="9"/>
      <c r="E1583" s="8"/>
      <c r="F1583" s="8"/>
      <c r="G1583" s="8"/>
      <c r="H1583" s="8"/>
      <c r="I1583" s="10"/>
      <c r="J1583" s="8"/>
    </row>
    <row r="1584" spans="1:10" x14ac:dyDescent="0.15">
      <c r="A1584" s="7"/>
      <c r="B1584" s="8"/>
      <c r="C1584" s="8"/>
      <c r="D1584" s="9"/>
      <c r="E1584" s="8"/>
      <c r="F1584" s="8"/>
      <c r="G1584" s="8"/>
      <c r="H1584" s="8"/>
      <c r="I1584" s="10"/>
      <c r="J1584" s="8"/>
    </row>
    <row r="1585" spans="1:10" x14ac:dyDescent="0.15">
      <c r="A1585" s="7"/>
      <c r="B1585" s="8"/>
      <c r="C1585" s="8"/>
      <c r="D1585" s="9"/>
      <c r="E1585" s="8"/>
      <c r="F1585" s="8"/>
      <c r="G1585" s="8"/>
      <c r="H1585" s="8"/>
      <c r="I1585" s="10"/>
      <c r="J1585" s="8"/>
    </row>
    <row r="1586" spans="1:10" x14ac:dyDescent="0.15">
      <c r="A1586" s="7"/>
      <c r="B1586" s="8"/>
      <c r="C1586" s="8"/>
      <c r="D1586" s="9"/>
      <c r="E1586" s="8"/>
      <c r="F1586" s="8"/>
      <c r="G1586" s="8"/>
      <c r="H1586" s="8"/>
      <c r="I1586" s="10"/>
      <c r="J1586" s="8"/>
    </row>
    <row r="1587" spans="1:10" x14ac:dyDescent="0.15">
      <c r="A1587" s="7"/>
      <c r="B1587" s="8"/>
      <c r="C1587" s="8"/>
      <c r="D1587" s="9"/>
      <c r="E1587" s="8"/>
      <c r="F1587" s="8"/>
      <c r="G1587" s="8"/>
      <c r="H1587" s="8"/>
      <c r="I1587" s="10"/>
      <c r="J1587" s="8"/>
    </row>
    <row r="1588" spans="1:10" x14ac:dyDescent="0.15">
      <c r="A1588" s="7"/>
      <c r="B1588" s="8"/>
      <c r="C1588" s="8"/>
      <c r="D1588" s="9"/>
      <c r="E1588" s="8"/>
      <c r="F1588" s="8"/>
      <c r="G1588" s="8"/>
      <c r="H1588" s="8"/>
      <c r="I1588" s="10"/>
      <c r="J1588" s="8"/>
    </row>
    <row r="1589" spans="1:10" x14ac:dyDescent="0.15">
      <c r="A1589" s="7"/>
      <c r="B1589" s="8"/>
      <c r="C1589" s="8"/>
      <c r="D1589" s="9"/>
      <c r="E1589" s="8"/>
      <c r="F1589" s="8"/>
      <c r="G1589" s="8"/>
      <c r="H1589" s="8"/>
      <c r="I1589" s="10"/>
      <c r="J1589" s="8"/>
    </row>
    <row r="1590" spans="1:10" x14ac:dyDescent="0.15">
      <c r="A1590" s="7"/>
      <c r="B1590" s="8"/>
      <c r="C1590" s="8"/>
      <c r="D1590" s="9"/>
      <c r="E1590" s="8"/>
      <c r="F1590" s="8"/>
      <c r="G1590" s="8"/>
      <c r="H1590" s="8"/>
      <c r="I1590" s="10"/>
      <c r="J1590" s="8"/>
    </row>
    <row r="1591" spans="1:10" x14ac:dyDescent="0.15">
      <c r="A1591" s="7"/>
      <c r="B1591" s="8"/>
      <c r="C1591" s="8"/>
      <c r="D1591" s="9"/>
      <c r="E1591" s="8"/>
      <c r="F1591" s="8"/>
      <c r="G1591" s="8"/>
      <c r="H1591" s="8"/>
      <c r="I1591" s="10"/>
      <c r="J1591" s="8"/>
    </row>
    <row r="1592" spans="1:10" x14ac:dyDescent="0.15">
      <c r="A1592" s="7"/>
      <c r="B1592" s="8"/>
      <c r="C1592" s="8"/>
      <c r="D1592" s="9"/>
      <c r="E1592" s="8"/>
      <c r="F1592" s="8"/>
      <c r="G1592" s="8"/>
      <c r="H1592" s="8"/>
      <c r="I1592" s="10"/>
      <c r="J1592" s="8"/>
    </row>
    <row r="1593" spans="1:10" x14ac:dyDescent="0.15">
      <c r="A1593" s="7"/>
      <c r="B1593" s="8"/>
      <c r="C1593" s="8"/>
      <c r="D1593" s="9"/>
      <c r="E1593" s="8"/>
      <c r="F1593" s="8"/>
      <c r="G1593" s="8"/>
      <c r="H1593" s="8"/>
      <c r="I1593" s="10"/>
      <c r="J1593" s="8"/>
    </row>
    <row r="1594" spans="1:10" x14ac:dyDescent="0.15">
      <c r="A1594" s="7"/>
      <c r="B1594" s="8"/>
      <c r="C1594" s="8"/>
      <c r="D1594" s="9"/>
      <c r="E1594" s="8"/>
      <c r="F1594" s="8"/>
      <c r="G1594" s="8"/>
      <c r="H1594" s="8"/>
      <c r="I1594" s="10"/>
      <c r="J1594" s="8"/>
    </row>
    <row r="1595" spans="1:10" x14ac:dyDescent="0.15">
      <c r="A1595" s="7"/>
      <c r="B1595" s="8"/>
      <c r="C1595" s="8"/>
      <c r="D1595" s="9"/>
      <c r="E1595" s="8"/>
      <c r="F1595" s="8"/>
      <c r="G1595" s="8"/>
      <c r="H1595" s="8"/>
      <c r="I1595" s="10"/>
      <c r="J1595" s="8"/>
    </row>
    <row r="1596" spans="1:10" x14ac:dyDescent="0.15">
      <c r="A1596" s="7"/>
      <c r="B1596" s="8"/>
      <c r="C1596" s="8"/>
      <c r="D1596" s="9"/>
      <c r="E1596" s="8"/>
      <c r="F1596" s="8"/>
      <c r="G1596" s="8"/>
      <c r="H1596" s="8"/>
      <c r="I1596" s="10"/>
      <c r="J1596" s="8"/>
    </row>
    <row r="1597" spans="1:10" x14ac:dyDescent="0.15">
      <c r="A1597" s="7"/>
      <c r="B1597" s="8"/>
      <c r="C1597" s="8"/>
      <c r="D1597" s="9"/>
      <c r="E1597" s="8"/>
      <c r="F1597" s="8"/>
      <c r="G1597" s="8"/>
      <c r="H1597" s="8"/>
      <c r="I1597" s="10"/>
      <c r="J1597" s="8"/>
    </row>
    <row r="1598" spans="1:10" x14ac:dyDescent="0.15">
      <c r="A1598" s="7"/>
      <c r="B1598" s="8"/>
      <c r="C1598" s="8"/>
      <c r="D1598" s="9"/>
      <c r="E1598" s="8"/>
      <c r="F1598" s="8"/>
      <c r="G1598" s="8"/>
      <c r="H1598" s="8"/>
      <c r="I1598" s="10"/>
      <c r="J1598" s="8"/>
    </row>
    <row r="1599" spans="1:10" x14ac:dyDescent="0.15">
      <c r="A1599" s="7"/>
      <c r="B1599" s="8"/>
      <c r="C1599" s="8"/>
      <c r="D1599" s="9"/>
      <c r="E1599" s="8"/>
      <c r="F1599" s="8"/>
      <c r="G1599" s="8"/>
      <c r="H1599" s="8"/>
      <c r="I1599" s="10"/>
      <c r="J1599" s="8"/>
    </row>
    <row r="1600" spans="1:10" x14ac:dyDescent="0.15">
      <c r="A1600" s="7"/>
      <c r="B1600" s="8"/>
      <c r="C1600" s="8"/>
      <c r="D1600" s="9"/>
      <c r="E1600" s="8"/>
      <c r="F1600" s="8"/>
      <c r="G1600" s="8"/>
      <c r="H1600" s="8"/>
      <c r="I1600" s="10"/>
      <c r="J1600" s="8"/>
    </row>
    <row r="1601" spans="1:10" x14ac:dyDescent="0.15">
      <c r="A1601" s="7"/>
      <c r="B1601" s="8"/>
      <c r="C1601" s="8"/>
      <c r="D1601" s="9"/>
      <c r="E1601" s="8"/>
      <c r="F1601" s="8"/>
      <c r="G1601" s="8"/>
      <c r="H1601" s="8"/>
      <c r="I1601" s="10"/>
      <c r="J1601" s="8"/>
    </row>
    <row r="1602" spans="1:10" x14ac:dyDescent="0.15">
      <c r="A1602" s="7"/>
      <c r="B1602" s="8"/>
      <c r="C1602" s="8"/>
      <c r="D1602" s="9"/>
      <c r="E1602" s="8"/>
      <c r="F1602" s="8"/>
      <c r="G1602" s="8"/>
      <c r="H1602" s="8"/>
      <c r="I1602" s="10"/>
      <c r="J1602" s="8"/>
    </row>
    <row r="1603" spans="1:10" x14ac:dyDescent="0.15">
      <c r="A1603" s="7"/>
      <c r="B1603" s="8"/>
      <c r="C1603" s="8"/>
      <c r="D1603" s="9"/>
      <c r="E1603" s="8"/>
      <c r="F1603" s="8"/>
      <c r="G1603" s="8"/>
      <c r="H1603" s="8"/>
      <c r="I1603" s="10"/>
      <c r="J1603" s="8"/>
    </row>
    <row r="1604" spans="1:10" x14ac:dyDescent="0.15">
      <c r="A1604" s="7"/>
      <c r="B1604" s="8"/>
      <c r="C1604" s="8"/>
      <c r="D1604" s="9"/>
      <c r="E1604" s="8"/>
      <c r="F1604" s="8"/>
      <c r="G1604" s="8"/>
      <c r="H1604" s="8"/>
      <c r="I1604" s="10"/>
      <c r="J1604" s="8"/>
    </row>
    <row r="1605" spans="1:10" x14ac:dyDescent="0.15">
      <c r="A1605" s="7"/>
      <c r="B1605" s="8"/>
      <c r="C1605" s="8"/>
      <c r="D1605" s="9"/>
      <c r="E1605" s="8"/>
      <c r="F1605" s="8"/>
      <c r="G1605" s="8"/>
      <c r="H1605" s="8"/>
      <c r="I1605" s="10"/>
      <c r="J1605" s="8"/>
    </row>
    <row r="1606" spans="1:10" x14ac:dyDescent="0.15">
      <c r="A1606" s="7"/>
      <c r="B1606" s="8"/>
      <c r="C1606" s="8"/>
      <c r="D1606" s="9"/>
      <c r="E1606" s="8"/>
      <c r="F1606" s="8"/>
      <c r="G1606" s="8"/>
      <c r="H1606" s="8"/>
      <c r="I1606" s="10"/>
      <c r="J1606" s="8"/>
    </row>
    <row r="1607" spans="1:10" x14ac:dyDescent="0.15">
      <c r="A1607" s="7"/>
      <c r="B1607" s="8"/>
      <c r="C1607" s="8"/>
      <c r="D1607" s="9"/>
      <c r="E1607" s="8"/>
      <c r="F1607" s="8"/>
      <c r="G1607" s="8"/>
      <c r="H1607" s="8"/>
      <c r="I1607" s="10"/>
      <c r="J1607" s="8"/>
    </row>
    <row r="1608" spans="1:10" x14ac:dyDescent="0.15">
      <c r="A1608" s="7"/>
      <c r="B1608" s="8"/>
      <c r="C1608" s="8"/>
      <c r="D1608" s="9"/>
      <c r="E1608" s="8"/>
      <c r="F1608" s="8"/>
      <c r="G1608" s="8"/>
      <c r="H1608" s="8"/>
      <c r="I1608" s="10"/>
      <c r="J1608" s="8"/>
    </row>
    <row r="1609" spans="1:10" x14ac:dyDescent="0.15">
      <c r="A1609" s="7"/>
      <c r="B1609" s="8"/>
      <c r="C1609" s="8"/>
      <c r="D1609" s="9"/>
      <c r="E1609" s="8"/>
      <c r="F1609" s="8"/>
      <c r="G1609" s="8"/>
      <c r="H1609" s="8"/>
      <c r="I1609" s="10"/>
      <c r="J1609" s="8"/>
    </row>
    <row r="1610" spans="1:10" x14ac:dyDescent="0.15">
      <c r="A1610" s="7"/>
      <c r="B1610" s="8"/>
      <c r="C1610" s="8"/>
      <c r="D1610" s="9"/>
      <c r="E1610" s="8"/>
      <c r="F1610" s="8"/>
      <c r="G1610" s="8"/>
      <c r="H1610" s="8"/>
      <c r="I1610" s="10"/>
      <c r="J1610" s="8"/>
    </row>
    <row r="1611" spans="1:10" x14ac:dyDescent="0.15">
      <c r="A1611" s="7"/>
      <c r="B1611" s="8"/>
      <c r="C1611" s="8"/>
      <c r="D1611" s="9"/>
      <c r="E1611" s="8"/>
      <c r="F1611" s="8"/>
      <c r="G1611" s="8"/>
      <c r="H1611" s="8"/>
      <c r="I1611" s="10"/>
      <c r="J1611" s="8"/>
    </row>
    <row r="1612" spans="1:10" x14ac:dyDescent="0.15">
      <c r="A1612" s="7"/>
      <c r="B1612" s="8"/>
      <c r="C1612" s="8"/>
      <c r="D1612" s="9"/>
      <c r="E1612" s="8"/>
      <c r="F1612" s="8"/>
      <c r="G1612" s="8"/>
      <c r="H1612" s="8"/>
      <c r="I1612" s="10"/>
      <c r="J1612" s="8"/>
    </row>
    <row r="1613" spans="1:10" x14ac:dyDescent="0.15">
      <c r="A1613" s="7"/>
      <c r="B1613" s="8"/>
      <c r="C1613" s="8"/>
      <c r="D1613" s="9"/>
      <c r="E1613" s="8"/>
      <c r="F1613" s="8"/>
      <c r="G1613" s="8"/>
      <c r="H1613" s="8"/>
      <c r="I1613" s="10"/>
      <c r="J1613" s="8"/>
    </row>
    <row r="1614" spans="1:10" x14ac:dyDescent="0.15">
      <c r="A1614" s="7"/>
      <c r="B1614" s="8"/>
      <c r="C1614" s="8"/>
      <c r="D1614" s="9"/>
      <c r="E1614" s="8"/>
      <c r="F1614" s="8"/>
      <c r="G1614" s="8"/>
      <c r="H1614" s="8"/>
      <c r="I1614" s="10"/>
      <c r="J1614" s="8"/>
    </row>
    <row r="1615" spans="1:10" x14ac:dyDescent="0.15">
      <c r="A1615" s="7"/>
      <c r="B1615" s="8"/>
      <c r="C1615" s="8"/>
      <c r="D1615" s="9"/>
      <c r="E1615" s="8"/>
      <c r="F1615" s="8"/>
      <c r="G1615" s="8"/>
      <c r="H1615" s="8"/>
      <c r="I1615" s="10"/>
      <c r="J1615" s="8"/>
    </row>
    <row r="1616" spans="1:10" x14ac:dyDescent="0.15">
      <c r="A1616" s="7"/>
      <c r="B1616" s="8"/>
      <c r="C1616" s="8"/>
      <c r="D1616" s="9"/>
      <c r="E1616" s="8"/>
      <c r="F1616" s="8"/>
      <c r="G1616" s="8"/>
      <c r="H1616" s="8"/>
      <c r="I1616" s="10"/>
      <c r="J1616" s="8"/>
    </row>
    <row r="1617" spans="1:10" x14ac:dyDescent="0.15">
      <c r="A1617" s="7"/>
      <c r="B1617" s="8"/>
      <c r="C1617" s="8"/>
      <c r="D1617" s="9"/>
      <c r="E1617" s="8"/>
      <c r="F1617" s="8"/>
      <c r="G1617" s="8"/>
      <c r="H1617" s="8"/>
      <c r="I1617" s="10"/>
      <c r="J1617" s="8"/>
    </row>
    <row r="1618" spans="1:10" x14ac:dyDescent="0.15">
      <c r="A1618" s="7"/>
      <c r="B1618" s="8"/>
      <c r="C1618" s="8"/>
      <c r="D1618" s="9"/>
      <c r="E1618" s="8"/>
      <c r="F1618" s="8"/>
      <c r="G1618" s="8"/>
      <c r="H1618" s="8"/>
      <c r="I1618" s="10"/>
      <c r="J1618" s="8"/>
    </row>
    <row r="1619" spans="1:10" x14ac:dyDescent="0.15">
      <c r="A1619" s="7"/>
      <c r="B1619" s="8"/>
      <c r="C1619" s="8"/>
      <c r="D1619" s="9"/>
      <c r="E1619" s="8"/>
      <c r="F1619" s="8"/>
      <c r="G1619" s="8"/>
      <c r="H1619" s="8"/>
      <c r="I1619" s="10"/>
      <c r="J1619" s="8"/>
    </row>
    <row r="1620" spans="1:10" x14ac:dyDescent="0.15">
      <c r="A1620" s="7"/>
      <c r="B1620" s="8"/>
      <c r="C1620" s="8"/>
      <c r="D1620" s="9"/>
      <c r="E1620" s="8"/>
      <c r="F1620" s="8"/>
      <c r="G1620" s="8"/>
      <c r="H1620" s="8"/>
      <c r="I1620" s="10"/>
      <c r="J1620" s="8"/>
    </row>
    <row r="1621" spans="1:10" x14ac:dyDescent="0.15">
      <c r="A1621" s="7"/>
      <c r="B1621" s="8"/>
      <c r="C1621" s="8"/>
      <c r="D1621" s="9"/>
      <c r="E1621" s="8"/>
      <c r="F1621" s="8"/>
      <c r="G1621" s="8"/>
      <c r="H1621" s="8"/>
      <c r="I1621" s="10"/>
      <c r="J1621" s="8"/>
    </row>
    <row r="1622" spans="1:10" x14ac:dyDescent="0.15">
      <c r="A1622" s="7"/>
      <c r="B1622" s="8"/>
      <c r="C1622" s="8"/>
      <c r="D1622" s="9"/>
      <c r="E1622" s="8"/>
      <c r="F1622" s="8"/>
      <c r="G1622" s="8"/>
      <c r="H1622" s="8"/>
      <c r="I1622" s="10"/>
      <c r="J1622" s="8"/>
    </row>
    <row r="1623" spans="1:10" x14ac:dyDescent="0.15">
      <c r="A1623" s="7"/>
      <c r="B1623" s="8"/>
      <c r="C1623" s="8"/>
      <c r="D1623" s="9"/>
      <c r="E1623" s="8"/>
      <c r="F1623" s="8"/>
      <c r="G1623" s="8"/>
      <c r="H1623" s="8"/>
      <c r="I1623" s="10"/>
      <c r="J1623" s="8"/>
    </row>
    <row r="1624" spans="1:10" x14ac:dyDescent="0.15">
      <c r="A1624" s="7"/>
      <c r="B1624" s="8"/>
      <c r="C1624" s="8"/>
      <c r="D1624" s="9"/>
      <c r="E1624" s="8"/>
      <c r="F1624" s="8"/>
      <c r="G1624" s="8"/>
      <c r="H1624" s="8"/>
      <c r="I1624" s="10"/>
      <c r="J1624" s="8"/>
    </row>
    <row r="1625" spans="1:10" x14ac:dyDescent="0.15">
      <c r="A1625" s="7"/>
      <c r="B1625" s="8"/>
      <c r="C1625" s="8"/>
      <c r="D1625" s="9"/>
      <c r="E1625" s="8"/>
      <c r="F1625" s="8"/>
      <c r="G1625" s="8"/>
      <c r="H1625" s="8"/>
      <c r="I1625" s="10"/>
      <c r="J1625" s="8"/>
    </row>
    <row r="1626" spans="1:10" x14ac:dyDescent="0.15">
      <c r="A1626" s="7"/>
      <c r="B1626" s="8"/>
      <c r="C1626" s="8"/>
      <c r="D1626" s="9"/>
      <c r="E1626" s="8"/>
      <c r="F1626" s="8"/>
      <c r="G1626" s="8"/>
      <c r="H1626" s="8"/>
      <c r="I1626" s="10"/>
      <c r="J1626" s="8"/>
    </row>
    <row r="1627" spans="1:10" x14ac:dyDescent="0.15">
      <c r="A1627" s="7"/>
      <c r="B1627" s="8"/>
      <c r="C1627" s="8"/>
      <c r="D1627" s="9"/>
      <c r="E1627" s="8"/>
      <c r="F1627" s="8"/>
      <c r="G1627" s="8"/>
      <c r="H1627" s="8"/>
      <c r="I1627" s="10"/>
      <c r="J1627" s="8"/>
    </row>
    <row r="1628" spans="1:10" x14ac:dyDescent="0.15">
      <c r="A1628" s="7"/>
      <c r="B1628" s="8"/>
      <c r="C1628" s="8"/>
      <c r="D1628" s="9"/>
      <c r="E1628" s="8"/>
      <c r="F1628" s="8"/>
      <c r="G1628" s="8"/>
      <c r="H1628" s="8"/>
      <c r="I1628" s="10"/>
      <c r="J1628" s="8"/>
    </row>
    <row r="1629" spans="1:10" x14ac:dyDescent="0.15">
      <c r="A1629" s="7"/>
      <c r="B1629" s="8"/>
      <c r="C1629" s="8"/>
      <c r="D1629" s="9"/>
      <c r="E1629" s="8"/>
      <c r="F1629" s="8"/>
      <c r="G1629" s="8"/>
      <c r="H1629" s="8"/>
      <c r="I1629" s="10"/>
      <c r="J1629" s="8"/>
    </row>
    <row r="1630" spans="1:10" x14ac:dyDescent="0.15">
      <c r="A1630" s="7"/>
      <c r="B1630" s="8"/>
      <c r="C1630" s="8"/>
      <c r="D1630" s="9"/>
      <c r="E1630" s="8"/>
      <c r="F1630" s="8"/>
      <c r="G1630" s="8"/>
      <c r="H1630" s="8"/>
      <c r="I1630" s="10"/>
      <c r="J1630" s="8"/>
    </row>
    <row r="1631" spans="1:10" x14ac:dyDescent="0.15">
      <c r="A1631" s="7"/>
      <c r="B1631" s="8"/>
      <c r="C1631" s="8"/>
      <c r="D1631" s="9"/>
      <c r="E1631" s="8"/>
      <c r="F1631" s="8"/>
      <c r="G1631" s="8"/>
      <c r="H1631" s="8"/>
      <c r="I1631" s="10"/>
      <c r="J1631" s="8"/>
    </row>
    <row r="1632" spans="1:10" x14ac:dyDescent="0.15">
      <c r="A1632" s="7"/>
      <c r="B1632" s="8"/>
      <c r="C1632" s="8"/>
      <c r="D1632" s="9"/>
      <c r="E1632" s="8"/>
      <c r="F1632" s="8"/>
      <c r="G1632" s="8"/>
      <c r="H1632" s="8"/>
      <c r="I1632" s="10"/>
      <c r="J1632" s="8"/>
    </row>
    <row r="1633" spans="1:10" x14ac:dyDescent="0.15">
      <c r="A1633" s="7"/>
      <c r="B1633" s="8"/>
      <c r="C1633" s="8"/>
      <c r="D1633" s="9"/>
      <c r="E1633" s="8"/>
      <c r="F1633" s="8"/>
      <c r="G1633" s="8"/>
      <c r="H1633" s="8"/>
      <c r="I1633" s="10"/>
      <c r="J1633" s="8"/>
    </row>
    <row r="1634" spans="1:10" x14ac:dyDescent="0.15">
      <c r="A1634" s="7"/>
      <c r="B1634" s="8"/>
      <c r="C1634" s="8"/>
      <c r="D1634" s="9"/>
      <c r="E1634" s="8"/>
      <c r="F1634" s="8"/>
      <c r="G1634" s="8"/>
      <c r="H1634" s="8"/>
      <c r="I1634" s="10"/>
      <c r="J1634" s="8"/>
    </row>
    <row r="1635" spans="1:10" x14ac:dyDescent="0.15">
      <c r="A1635" s="7"/>
      <c r="B1635" s="8"/>
      <c r="C1635" s="8"/>
      <c r="D1635" s="9"/>
      <c r="E1635" s="8"/>
      <c r="F1635" s="8"/>
      <c r="G1635" s="8"/>
      <c r="H1635" s="8"/>
      <c r="I1635" s="10"/>
      <c r="J1635" s="8"/>
    </row>
    <row r="1636" spans="1:10" x14ac:dyDescent="0.15">
      <c r="A1636" s="7"/>
      <c r="B1636" s="8"/>
      <c r="C1636" s="8"/>
      <c r="D1636" s="9"/>
      <c r="E1636" s="8"/>
      <c r="F1636" s="8"/>
      <c r="G1636" s="8"/>
      <c r="H1636" s="8"/>
      <c r="I1636" s="10"/>
      <c r="J1636" s="8"/>
    </row>
    <row r="1637" spans="1:10" x14ac:dyDescent="0.15">
      <c r="A1637" s="7"/>
      <c r="B1637" s="8"/>
      <c r="C1637" s="8"/>
      <c r="D1637" s="9"/>
      <c r="E1637" s="8"/>
      <c r="F1637" s="8"/>
      <c r="G1637" s="8"/>
      <c r="H1637" s="8"/>
      <c r="I1637" s="10"/>
      <c r="J1637" s="8"/>
    </row>
    <row r="1638" spans="1:10" x14ac:dyDescent="0.15">
      <c r="A1638" s="7"/>
      <c r="B1638" s="8"/>
      <c r="C1638" s="8"/>
      <c r="D1638" s="9"/>
      <c r="E1638" s="8"/>
      <c r="F1638" s="8"/>
      <c r="G1638" s="8"/>
      <c r="H1638" s="8"/>
      <c r="I1638" s="10"/>
      <c r="J1638" s="8"/>
    </row>
    <row r="1639" spans="1:10" x14ac:dyDescent="0.15">
      <c r="A1639" s="7"/>
      <c r="B1639" s="8"/>
      <c r="C1639" s="8"/>
      <c r="D1639" s="9"/>
      <c r="E1639" s="8"/>
      <c r="F1639" s="8"/>
      <c r="G1639" s="8"/>
      <c r="H1639" s="8"/>
      <c r="I1639" s="10"/>
      <c r="J1639" s="8"/>
    </row>
    <row r="1640" spans="1:10" x14ac:dyDescent="0.15">
      <c r="A1640" s="7"/>
      <c r="B1640" s="8"/>
      <c r="C1640" s="8"/>
      <c r="D1640" s="9"/>
      <c r="E1640" s="8"/>
      <c r="F1640" s="8"/>
      <c r="G1640" s="8"/>
      <c r="H1640" s="8"/>
      <c r="I1640" s="10"/>
      <c r="J1640" s="8"/>
    </row>
    <row r="1641" spans="1:10" x14ac:dyDescent="0.15">
      <c r="A1641" s="7"/>
      <c r="B1641" s="8"/>
      <c r="C1641" s="8"/>
      <c r="D1641" s="9"/>
      <c r="E1641" s="8"/>
      <c r="F1641" s="8"/>
      <c r="G1641" s="8"/>
      <c r="H1641" s="8"/>
      <c r="I1641" s="10"/>
      <c r="J1641" s="8"/>
    </row>
    <row r="1642" spans="1:10" x14ac:dyDescent="0.15">
      <c r="A1642" s="7"/>
      <c r="B1642" s="8"/>
      <c r="C1642" s="8"/>
      <c r="D1642" s="9"/>
      <c r="E1642" s="8"/>
      <c r="F1642" s="8"/>
      <c r="G1642" s="8"/>
      <c r="H1642" s="8"/>
      <c r="I1642" s="10"/>
      <c r="J1642" s="8"/>
    </row>
    <row r="1643" spans="1:10" x14ac:dyDescent="0.15">
      <c r="A1643" s="7"/>
      <c r="B1643" s="8"/>
      <c r="C1643" s="8"/>
      <c r="D1643" s="9"/>
      <c r="E1643" s="8"/>
      <c r="F1643" s="8"/>
      <c r="G1643" s="8"/>
      <c r="H1643" s="8"/>
      <c r="I1643" s="10"/>
      <c r="J1643" s="8"/>
    </row>
    <row r="1644" spans="1:10" x14ac:dyDescent="0.15">
      <c r="A1644" s="7"/>
      <c r="B1644" s="8"/>
      <c r="C1644" s="8"/>
      <c r="D1644" s="9"/>
      <c r="E1644" s="8"/>
      <c r="F1644" s="8"/>
      <c r="G1644" s="8"/>
      <c r="H1644" s="8"/>
      <c r="I1644" s="10"/>
      <c r="J1644" s="8"/>
    </row>
    <row r="1645" spans="1:10" x14ac:dyDescent="0.15">
      <c r="A1645" s="7"/>
      <c r="B1645" s="8"/>
      <c r="C1645" s="8"/>
      <c r="D1645" s="9"/>
      <c r="E1645" s="8"/>
      <c r="F1645" s="8"/>
      <c r="G1645" s="8"/>
      <c r="H1645" s="8"/>
      <c r="I1645" s="10"/>
      <c r="J1645" s="8"/>
    </row>
    <row r="1646" spans="1:10" x14ac:dyDescent="0.15">
      <c r="A1646" s="7"/>
      <c r="B1646" s="8"/>
      <c r="C1646" s="8"/>
      <c r="D1646" s="9"/>
      <c r="E1646" s="8"/>
      <c r="F1646" s="8"/>
      <c r="G1646" s="8"/>
      <c r="H1646" s="8"/>
      <c r="I1646" s="10"/>
      <c r="J1646" s="8"/>
    </row>
    <row r="1647" spans="1:10" x14ac:dyDescent="0.15">
      <c r="A1647" s="7"/>
      <c r="B1647" s="8"/>
      <c r="C1647" s="8"/>
      <c r="D1647" s="9"/>
      <c r="E1647" s="8"/>
      <c r="F1647" s="8"/>
      <c r="G1647" s="8"/>
      <c r="H1647" s="8"/>
      <c r="I1647" s="10"/>
      <c r="J1647" s="8"/>
    </row>
    <row r="1648" spans="1:10" x14ac:dyDescent="0.15">
      <c r="A1648" s="7"/>
      <c r="B1648" s="8"/>
      <c r="C1648" s="8"/>
      <c r="D1648" s="9"/>
      <c r="E1648" s="8"/>
      <c r="F1648" s="8"/>
      <c r="G1648" s="8"/>
      <c r="H1648" s="8"/>
      <c r="I1648" s="10"/>
      <c r="J1648" s="8"/>
    </row>
    <row r="1649" spans="1:10" x14ac:dyDescent="0.15">
      <c r="A1649" s="7"/>
      <c r="B1649" s="8"/>
      <c r="C1649" s="8"/>
      <c r="D1649" s="9"/>
      <c r="E1649" s="8"/>
      <c r="F1649" s="8"/>
      <c r="G1649" s="8"/>
      <c r="H1649" s="8"/>
      <c r="I1649" s="10"/>
      <c r="J1649" s="8"/>
    </row>
    <row r="1650" spans="1:10" x14ac:dyDescent="0.15">
      <c r="A1650" s="7"/>
      <c r="B1650" s="8"/>
      <c r="C1650" s="8"/>
      <c r="D1650" s="9"/>
      <c r="E1650" s="8"/>
      <c r="F1650" s="8"/>
      <c r="G1650" s="8"/>
      <c r="H1650" s="8"/>
      <c r="I1650" s="10"/>
      <c r="J1650" s="8"/>
    </row>
    <row r="1651" spans="1:10" x14ac:dyDescent="0.15">
      <c r="A1651" s="7"/>
      <c r="B1651" s="8"/>
      <c r="C1651" s="8"/>
      <c r="D1651" s="9"/>
      <c r="E1651" s="8"/>
      <c r="F1651" s="8"/>
      <c r="G1651" s="8"/>
      <c r="H1651" s="8"/>
      <c r="I1651" s="10"/>
      <c r="J1651" s="8"/>
    </row>
    <row r="1652" spans="1:10" x14ac:dyDescent="0.15">
      <c r="A1652" s="7"/>
      <c r="B1652" s="8"/>
      <c r="C1652" s="8"/>
      <c r="D1652" s="9"/>
      <c r="E1652" s="8"/>
      <c r="F1652" s="8"/>
      <c r="G1652" s="8"/>
      <c r="H1652" s="8"/>
      <c r="I1652" s="10"/>
      <c r="J1652" s="8"/>
    </row>
    <row r="1653" spans="1:10" x14ac:dyDescent="0.15">
      <c r="A1653" s="7"/>
      <c r="B1653" s="8"/>
      <c r="C1653" s="8"/>
      <c r="D1653" s="9"/>
      <c r="E1653" s="8"/>
      <c r="F1653" s="8"/>
      <c r="G1653" s="8"/>
      <c r="H1653" s="8"/>
      <c r="I1653" s="10"/>
      <c r="J1653" s="8"/>
    </row>
    <row r="1654" spans="1:10" x14ac:dyDescent="0.15">
      <c r="A1654" s="7"/>
      <c r="B1654" s="8"/>
      <c r="C1654" s="8"/>
      <c r="D1654" s="9"/>
      <c r="E1654" s="8"/>
      <c r="F1654" s="8"/>
      <c r="G1654" s="8"/>
      <c r="H1654" s="8"/>
      <c r="I1654" s="10"/>
      <c r="J1654" s="8"/>
    </row>
    <row r="1655" spans="1:10" x14ac:dyDescent="0.15">
      <c r="A1655" s="7"/>
      <c r="B1655" s="8"/>
      <c r="C1655" s="8"/>
      <c r="D1655" s="9"/>
      <c r="E1655" s="8"/>
      <c r="F1655" s="8"/>
      <c r="G1655" s="8"/>
      <c r="H1655" s="8"/>
      <c r="I1655" s="10"/>
      <c r="J1655" s="8"/>
    </row>
    <row r="1656" spans="1:10" x14ac:dyDescent="0.15">
      <c r="A1656" s="7"/>
      <c r="B1656" s="8"/>
      <c r="C1656" s="8"/>
      <c r="D1656" s="9"/>
      <c r="E1656" s="8"/>
      <c r="F1656" s="8"/>
      <c r="G1656" s="8"/>
      <c r="H1656" s="8"/>
      <c r="I1656" s="10"/>
      <c r="J1656" s="8"/>
    </row>
    <row r="1657" spans="1:10" x14ac:dyDescent="0.15">
      <c r="A1657" s="7"/>
      <c r="B1657" s="8"/>
      <c r="C1657" s="8"/>
      <c r="D1657" s="9"/>
      <c r="E1657" s="8"/>
      <c r="F1657" s="8"/>
      <c r="G1657" s="8"/>
      <c r="H1657" s="8"/>
      <c r="I1657" s="10"/>
      <c r="J1657" s="8"/>
    </row>
    <row r="1658" spans="1:10" x14ac:dyDescent="0.15">
      <c r="A1658" s="7"/>
      <c r="B1658" s="8"/>
      <c r="C1658" s="8"/>
      <c r="D1658" s="9"/>
      <c r="E1658" s="8"/>
      <c r="F1658" s="8"/>
      <c r="G1658" s="8"/>
      <c r="H1658" s="8"/>
      <c r="I1658" s="10"/>
      <c r="J1658" s="8"/>
    </row>
    <row r="1659" spans="1:10" x14ac:dyDescent="0.15">
      <c r="A1659" s="7"/>
      <c r="B1659" s="8"/>
      <c r="C1659" s="8"/>
      <c r="D1659" s="9"/>
      <c r="E1659" s="8"/>
      <c r="F1659" s="8"/>
      <c r="G1659" s="8"/>
      <c r="H1659" s="8"/>
      <c r="I1659" s="10"/>
      <c r="J1659" s="8"/>
    </row>
    <row r="1660" spans="1:10" x14ac:dyDescent="0.15">
      <c r="A1660" s="7"/>
      <c r="B1660" s="8"/>
      <c r="C1660" s="8"/>
      <c r="D1660" s="9"/>
      <c r="E1660" s="8"/>
      <c r="F1660" s="8"/>
      <c r="G1660" s="8"/>
      <c r="H1660" s="8"/>
      <c r="I1660" s="10"/>
      <c r="J1660" s="8"/>
    </row>
    <row r="1661" spans="1:10" x14ac:dyDescent="0.15">
      <c r="A1661" s="7"/>
      <c r="B1661" s="8"/>
      <c r="C1661" s="8"/>
      <c r="D1661" s="9"/>
      <c r="E1661" s="8"/>
      <c r="F1661" s="8"/>
      <c r="G1661" s="8"/>
      <c r="H1661" s="8"/>
      <c r="I1661" s="10"/>
      <c r="J1661" s="8"/>
    </row>
    <row r="1662" spans="1:10" x14ac:dyDescent="0.15">
      <c r="A1662" s="7"/>
      <c r="B1662" s="8"/>
      <c r="C1662" s="8"/>
      <c r="D1662" s="9"/>
      <c r="E1662" s="8"/>
      <c r="F1662" s="8"/>
      <c r="G1662" s="8"/>
      <c r="H1662" s="8"/>
      <c r="I1662" s="10"/>
      <c r="J1662" s="8"/>
    </row>
    <row r="1663" spans="1:10" x14ac:dyDescent="0.15">
      <c r="A1663" s="7"/>
      <c r="B1663" s="8"/>
      <c r="C1663" s="8"/>
      <c r="D1663" s="9"/>
      <c r="E1663" s="8"/>
      <c r="F1663" s="8"/>
      <c r="G1663" s="8"/>
      <c r="H1663" s="8"/>
      <c r="I1663" s="10"/>
      <c r="J1663" s="8"/>
    </row>
    <row r="1664" spans="1:10" x14ac:dyDescent="0.15">
      <c r="A1664" s="7"/>
      <c r="B1664" s="8"/>
      <c r="C1664" s="8"/>
      <c r="D1664" s="9"/>
      <c r="E1664" s="8"/>
      <c r="F1664" s="8"/>
      <c r="G1664" s="8"/>
      <c r="H1664" s="8"/>
      <c r="I1664" s="10"/>
      <c r="J1664" s="8"/>
    </row>
    <row r="1665" spans="1:10" x14ac:dyDescent="0.15">
      <c r="A1665" s="7"/>
      <c r="B1665" s="8"/>
      <c r="C1665" s="8"/>
      <c r="D1665" s="9"/>
      <c r="E1665" s="8"/>
      <c r="F1665" s="8"/>
      <c r="G1665" s="8"/>
      <c r="H1665" s="8"/>
      <c r="I1665" s="10"/>
      <c r="J1665" s="8"/>
    </row>
    <row r="1666" spans="1:10" x14ac:dyDescent="0.15">
      <c r="A1666" s="7"/>
      <c r="B1666" s="8"/>
      <c r="C1666" s="8"/>
      <c r="D1666" s="9"/>
      <c r="E1666" s="8"/>
      <c r="F1666" s="8"/>
      <c r="G1666" s="8"/>
      <c r="H1666" s="8"/>
      <c r="I1666" s="10"/>
      <c r="J1666" s="8"/>
    </row>
    <row r="1667" spans="1:10" x14ac:dyDescent="0.15">
      <c r="A1667" s="7"/>
      <c r="B1667" s="8"/>
      <c r="C1667" s="8"/>
      <c r="D1667" s="9"/>
      <c r="E1667" s="8"/>
      <c r="F1667" s="8"/>
      <c r="G1667" s="8"/>
      <c r="H1667" s="8"/>
      <c r="I1667" s="10"/>
      <c r="J1667" s="8"/>
    </row>
    <row r="1668" spans="1:10" x14ac:dyDescent="0.15">
      <c r="A1668" s="7"/>
      <c r="B1668" s="8"/>
      <c r="C1668" s="8"/>
      <c r="D1668" s="9"/>
      <c r="E1668" s="8"/>
      <c r="F1668" s="8"/>
      <c r="G1668" s="8"/>
      <c r="H1668" s="8"/>
      <c r="I1668" s="10"/>
      <c r="J1668" s="8"/>
    </row>
    <row r="1669" spans="1:10" x14ac:dyDescent="0.15">
      <c r="A1669" s="7"/>
      <c r="B1669" s="8"/>
      <c r="C1669" s="8"/>
      <c r="D1669" s="9"/>
      <c r="E1669" s="8"/>
      <c r="F1669" s="8"/>
      <c r="G1669" s="8"/>
      <c r="H1669" s="8"/>
      <c r="I1669" s="10"/>
      <c r="J1669" s="8"/>
    </row>
    <row r="1670" spans="1:10" x14ac:dyDescent="0.15">
      <c r="A1670" s="7"/>
      <c r="B1670" s="8"/>
      <c r="C1670" s="8"/>
      <c r="D1670" s="9"/>
      <c r="E1670" s="8"/>
      <c r="F1670" s="8"/>
      <c r="G1670" s="8"/>
      <c r="H1670" s="8"/>
      <c r="I1670" s="10"/>
      <c r="J1670" s="8"/>
    </row>
    <row r="1671" spans="1:10" x14ac:dyDescent="0.15">
      <c r="A1671" s="7"/>
      <c r="B1671" s="8"/>
      <c r="C1671" s="8"/>
      <c r="D1671" s="9"/>
      <c r="E1671" s="8"/>
      <c r="F1671" s="8"/>
      <c r="G1671" s="8"/>
      <c r="H1671" s="8"/>
      <c r="I1671" s="10"/>
      <c r="J1671" s="8"/>
    </row>
    <row r="1672" spans="1:10" x14ac:dyDescent="0.15">
      <c r="A1672" s="7"/>
      <c r="B1672" s="8"/>
      <c r="C1672" s="8"/>
      <c r="D1672" s="9"/>
      <c r="E1672" s="8"/>
      <c r="F1672" s="8"/>
      <c r="G1672" s="8"/>
      <c r="H1672" s="8"/>
      <c r="I1672" s="10"/>
      <c r="J1672" s="8"/>
    </row>
    <row r="1673" spans="1:10" x14ac:dyDescent="0.15">
      <c r="A1673" s="7"/>
      <c r="B1673" s="8"/>
      <c r="C1673" s="8"/>
      <c r="D1673" s="9"/>
      <c r="E1673" s="8"/>
      <c r="F1673" s="8"/>
      <c r="G1673" s="8"/>
      <c r="H1673" s="8"/>
      <c r="I1673" s="10"/>
      <c r="J1673" s="8"/>
    </row>
    <row r="1674" spans="1:10" x14ac:dyDescent="0.15">
      <c r="A1674" s="7"/>
      <c r="B1674" s="8"/>
      <c r="C1674" s="8"/>
      <c r="D1674" s="9"/>
      <c r="E1674" s="8"/>
      <c r="F1674" s="8"/>
      <c r="G1674" s="8"/>
      <c r="H1674" s="8"/>
      <c r="I1674" s="10"/>
      <c r="J1674" s="8"/>
    </row>
    <row r="1675" spans="1:10" x14ac:dyDescent="0.15">
      <c r="A1675" s="7"/>
      <c r="B1675" s="8"/>
      <c r="C1675" s="8"/>
      <c r="D1675" s="9"/>
      <c r="E1675" s="8"/>
      <c r="F1675" s="8"/>
      <c r="G1675" s="8"/>
      <c r="H1675" s="8"/>
      <c r="I1675" s="10"/>
      <c r="J1675" s="8"/>
    </row>
    <row r="1676" spans="1:10" x14ac:dyDescent="0.15">
      <c r="A1676" s="7"/>
      <c r="B1676" s="8"/>
      <c r="C1676" s="8"/>
      <c r="D1676" s="9"/>
      <c r="E1676" s="8"/>
      <c r="F1676" s="8"/>
      <c r="G1676" s="8"/>
      <c r="H1676" s="8"/>
      <c r="I1676" s="10"/>
      <c r="J1676" s="8"/>
    </row>
    <row r="1677" spans="1:10" x14ac:dyDescent="0.15">
      <c r="A1677" s="7"/>
      <c r="B1677" s="8"/>
      <c r="C1677" s="8"/>
      <c r="D1677" s="9"/>
      <c r="E1677" s="8"/>
      <c r="F1677" s="8"/>
      <c r="G1677" s="8"/>
      <c r="H1677" s="8"/>
      <c r="I1677" s="10"/>
      <c r="J1677" s="8"/>
    </row>
    <row r="1678" spans="1:10" x14ac:dyDescent="0.15">
      <c r="A1678" s="7"/>
      <c r="B1678" s="8"/>
      <c r="C1678" s="8"/>
      <c r="D1678" s="9"/>
      <c r="E1678" s="8"/>
      <c r="F1678" s="8"/>
      <c r="G1678" s="8"/>
      <c r="H1678" s="8"/>
      <c r="I1678" s="10"/>
      <c r="J1678" s="8"/>
    </row>
    <row r="1679" spans="1:10" x14ac:dyDescent="0.15">
      <c r="A1679" s="7"/>
      <c r="B1679" s="8"/>
      <c r="C1679" s="8"/>
      <c r="D1679" s="9"/>
      <c r="E1679" s="8"/>
      <c r="F1679" s="8"/>
      <c r="G1679" s="8"/>
      <c r="H1679" s="8"/>
      <c r="I1679" s="10"/>
      <c r="J1679" s="8"/>
    </row>
    <row r="1680" spans="1:10" x14ac:dyDescent="0.15">
      <c r="A1680" s="7"/>
      <c r="B1680" s="8"/>
      <c r="C1680" s="8"/>
      <c r="D1680" s="9"/>
      <c r="E1680" s="8"/>
      <c r="F1680" s="8"/>
      <c r="G1680" s="8"/>
      <c r="H1680" s="8"/>
      <c r="I1680" s="10"/>
      <c r="J1680" s="8"/>
    </row>
    <row r="1681" spans="1:10" x14ac:dyDescent="0.15">
      <c r="A1681" s="7"/>
      <c r="B1681" s="8"/>
      <c r="C1681" s="8"/>
      <c r="D1681" s="9"/>
      <c r="E1681" s="8"/>
      <c r="F1681" s="8"/>
      <c r="G1681" s="8"/>
      <c r="H1681" s="8"/>
      <c r="I1681" s="10"/>
      <c r="J1681" s="8"/>
    </row>
    <row r="1682" spans="1:10" x14ac:dyDescent="0.15">
      <c r="A1682" s="7"/>
      <c r="B1682" s="8"/>
      <c r="C1682" s="8"/>
      <c r="D1682" s="9"/>
      <c r="E1682" s="8"/>
      <c r="F1682" s="8"/>
      <c r="G1682" s="8"/>
      <c r="H1682" s="8"/>
      <c r="I1682" s="10"/>
      <c r="J1682" s="8"/>
    </row>
    <row r="1683" spans="1:10" x14ac:dyDescent="0.15">
      <c r="A1683" s="7"/>
      <c r="B1683" s="8"/>
      <c r="C1683" s="8"/>
      <c r="D1683" s="9"/>
      <c r="E1683" s="8"/>
      <c r="F1683" s="8"/>
      <c r="G1683" s="8"/>
      <c r="H1683" s="8"/>
      <c r="I1683" s="10"/>
      <c r="J1683" s="8"/>
    </row>
    <row r="1684" spans="1:10" x14ac:dyDescent="0.15">
      <c r="A1684" s="7"/>
      <c r="B1684" s="8"/>
      <c r="C1684" s="8"/>
      <c r="D1684" s="9"/>
      <c r="E1684" s="8"/>
      <c r="F1684" s="8"/>
      <c r="G1684" s="8"/>
      <c r="H1684" s="8"/>
      <c r="I1684" s="10"/>
      <c r="J1684" s="8"/>
    </row>
    <row r="1685" spans="1:10" x14ac:dyDescent="0.15">
      <c r="A1685" s="7"/>
      <c r="B1685" s="8"/>
      <c r="C1685" s="8"/>
      <c r="D1685" s="9"/>
      <c r="E1685" s="8"/>
      <c r="F1685" s="8"/>
      <c r="G1685" s="8"/>
      <c r="H1685" s="8"/>
      <c r="I1685" s="10"/>
      <c r="J1685" s="8"/>
    </row>
    <row r="1686" spans="1:10" x14ac:dyDescent="0.15">
      <c r="A1686" s="7"/>
      <c r="B1686" s="8"/>
      <c r="C1686" s="8"/>
      <c r="D1686" s="9"/>
      <c r="E1686" s="8"/>
      <c r="F1686" s="8"/>
      <c r="G1686" s="8"/>
      <c r="H1686" s="8"/>
      <c r="I1686" s="10"/>
      <c r="J1686" s="8"/>
    </row>
    <row r="1687" spans="1:10" x14ac:dyDescent="0.15">
      <c r="A1687" s="7"/>
      <c r="B1687" s="8"/>
      <c r="C1687" s="8"/>
      <c r="D1687" s="9"/>
      <c r="E1687" s="8"/>
      <c r="F1687" s="8"/>
      <c r="G1687" s="8"/>
      <c r="H1687" s="8"/>
      <c r="I1687" s="10"/>
      <c r="J1687" s="8"/>
    </row>
    <row r="1688" spans="1:10" x14ac:dyDescent="0.15">
      <c r="A1688" s="7"/>
      <c r="B1688" s="8"/>
      <c r="C1688" s="8"/>
      <c r="D1688" s="9"/>
      <c r="E1688" s="8"/>
      <c r="F1688" s="8"/>
      <c r="G1688" s="8"/>
      <c r="H1688" s="8"/>
      <c r="I1688" s="10"/>
      <c r="J1688" s="8"/>
    </row>
    <row r="1689" spans="1:10" x14ac:dyDescent="0.15">
      <c r="A1689" s="7"/>
      <c r="B1689" s="8"/>
      <c r="C1689" s="8"/>
      <c r="D1689" s="9"/>
      <c r="E1689" s="8"/>
      <c r="F1689" s="8"/>
      <c r="G1689" s="8"/>
      <c r="H1689" s="8"/>
      <c r="I1689" s="10"/>
      <c r="J1689" s="8"/>
    </row>
    <row r="1690" spans="1:10" x14ac:dyDescent="0.15">
      <c r="A1690" s="7"/>
      <c r="B1690" s="8"/>
      <c r="C1690" s="8"/>
      <c r="D1690" s="9"/>
      <c r="E1690" s="8"/>
      <c r="F1690" s="8"/>
      <c r="G1690" s="8"/>
      <c r="H1690" s="8"/>
      <c r="I1690" s="10"/>
      <c r="J1690" s="8"/>
    </row>
    <row r="1691" spans="1:10" x14ac:dyDescent="0.15">
      <c r="A1691" s="7"/>
      <c r="B1691" s="8"/>
      <c r="C1691" s="8"/>
      <c r="D1691" s="9"/>
      <c r="E1691" s="8"/>
      <c r="F1691" s="8"/>
      <c r="G1691" s="8"/>
      <c r="H1691" s="8"/>
      <c r="I1691" s="10"/>
      <c r="J1691" s="8"/>
    </row>
    <row r="1692" spans="1:10" x14ac:dyDescent="0.15">
      <c r="A1692" s="7"/>
      <c r="B1692" s="8"/>
      <c r="C1692" s="8"/>
      <c r="D1692" s="9"/>
      <c r="E1692" s="8"/>
      <c r="F1692" s="8"/>
      <c r="G1692" s="8"/>
      <c r="H1692" s="8"/>
      <c r="I1692" s="10"/>
      <c r="J1692" s="8"/>
    </row>
    <row r="1693" spans="1:10" x14ac:dyDescent="0.15">
      <c r="A1693" s="7"/>
      <c r="B1693" s="8"/>
      <c r="C1693" s="8"/>
      <c r="D1693" s="9"/>
      <c r="E1693" s="8"/>
      <c r="F1693" s="8"/>
      <c r="G1693" s="8"/>
      <c r="H1693" s="8"/>
      <c r="I1693" s="10"/>
      <c r="J1693" s="8"/>
    </row>
    <row r="1694" spans="1:10" x14ac:dyDescent="0.15">
      <c r="A1694" s="7"/>
      <c r="B1694" s="8"/>
      <c r="C1694" s="8"/>
      <c r="D1694" s="9"/>
      <c r="E1694" s="8"/>
      <c r="F1694" s="8"/>
      <c r="G1694" s="8"/>
      <c r="H1694" s="8"/>
      <c r="I1694" s="10"/>
      <c r="J1694" s="8"/>
    </row>
    <row r="1695" spans="1:10" x14ac:dyDescent="0.15">
      <c r="A1695" s="7"/>
      <c r="B1695" s="8"/>
      <c r="C1695" s="8"/>
      <c r="D1695" s="9"/>
      <c r="E1695" s="8"/>
      <c r="F1695" s="8"/>
      <c r="G1695" s="8"/>
      <c r="H1695" s="8"/>
      <c r="I1695" s="10"/>
      <c r="J1695" s="8"/>
    </row>
    <row r="1696" spans="1:10" x14ac:dyDescent="0.15">
      <c r="A1696" s="7"/>
      <c r="B1696" s="8"/>
      <c r="C1696" s="8"/>
      <c r="D1696" s="9"/>
      <c r="E1696" s="8"/>
      <c r="F1696" s="8"/>
      <c r="G1696" s="8"/>
      <c r="H1696" s="8"/>
      <c r="I1696" s="10"/>
      <c r="J1696" s="8"/>
    </row>
    <row r="1697" spans="1:10" x14ac:dyDescent="0.15">
      <c r="A1697" s="7"/>
      <c r="B1697" s="8"/>
      <c r="C1697" s="8"/>
      <c r="D1697" s="9"/>
      <c r="E1697" s="8"/>
      <c r="F1697" s="8"/>
      <c r="G1697" s="8"/>
      <c r="H1697" s="8"/>
      <c r="I1697" s="10"/>
      <c r="J1697" s="8"/>
    </row>
    <row r="1698" spans="1:10" x14ac:dyDescent="0.15">
      <c r="A1698" s="7"/>
      <c r="B1698" s="8"/>
      <c r="C1698" s="8"/>
      <c r="D1698" s="9"/>
      <c r="E1698" s="8"/>
      <c r="F1698" s="8"/>
      <c r="G1698" s="8"/>
      <c r="H1698" s="8"/>
      <c r="I1698" s="10"/>
      <c r="J1698" s="8"/>
    </row>
    <row r="1699" spans="1:10" x14ac:dyDescent="0.15">
      <c r="A1699" s="7"/>
      <c r="B1699" s="8"/>
      <c r="C1699" s="8"/>
      <c r="D1699" s="9"/>
      <c r="E1699" s="8"/>
      <c r="F1699" s="8"/>
      <c r="G1699" s="8"/>
      <c r="H1699" s="8"/>
      <c r="I1699" s="10"/>
      <c r="J1699" s="8"/>
    </row>
    <row r="1700" spans="1:10" x14ac:dyDescent="0.15">
      <c r="A1700" s="7"/>
      <c r="B1700" s="8"/>
      <c r="C1700" s="8"/>
      <c r="D1700" s="9"/>
      <c r="E1700" s="8"/>
      <c r="F1700" s="8"/>
      <c r="G1700" s="8"/>
      <c r="H1700" s="8"/>
      <c r="I1700" s="10"/>
      <c r="J1700" s="8"/>
    </row>
    <row r="1701" spans="1:10" x14ac:dyDescent="0.15">
      <c r="A1701" s="7"/>
      <c r="B1701" s="8"/>
      <c r="C1701" s="8"/>
      <c r="D1701" s="9"/>
      <c r="E1701" s="8"/>
      <c r="F1701" s="8"/>
      <c r="G1701" s="8"/>
      <c r="H1701" s="8"/>
      <c r="I1701" s="10"/>
      <c r="J1701" s="8"/>
    </row>
    <row r="1702" spans="1:10" x14ac:dyDescent="0.15">
      <c r="A1702" s="7"/>
      <c r="B1702" s="8"/>
      <c r="C1702" s="8"/>
      <c r="D1702" s="9"/>
      <c r="E1702" s="8"/>
      <c r="F1702" s="8"/>
      <c r="G1702" s="8"/>
      <c r="H1702" s="8"/>
      <c r="I1702" s="10"/>
      <c r="J1702" s="8"/>
    </row>
    <row r="1703" spans="1:10" x14ac:dyDescent="0.15">
      <c r="A1703" s="7"/>
      <c r="B1703" s="8"/>
      <c r="C1703" s="8"/>
      <c r="D1703" s="9"/>
      <c r="E1703" s="8"/>
      <c r="F1703" s="8"/>
      <c r="G1703" s="8"/>
      <c r="H1703" s="8"/>
      <c r="I1703" s="10"/>
      <c r="J1703" s="8"/>
    </row>
    <row r="1704" spans="1:10" x14ac:dyDescent="0.15">
      <c r="A1704" s="7"/>
      <c r="B1704" s="8"/>
      <c r="C1704" s="8"/>
      <c r="D1704" s="9"/>
      <c r="E1704" s="8"/>
      <c r="F1704" s="8"/>
      <c r="G1704" s="8"/>
      <c r="H1704" s="8"/>
      <c r="I1704" s="10"/>
      <c r="J1704" s="8"/>
    </row>
    <row r="1705" spans="1:10" x14ac:dyDescent="0.15">
      <c r="A1705" s="7"/>
      <c r="B1705" s="8"/>
      <c r="C1705" s="8"/>
      <c r="D1705" s="9"/>
      <c r="E1705" s="8"/>
      <c r="F1705" s="8"/>
      <c r="G1705" s="8"/>
      <c r="H1705" s="8"/>
      <c r="I1705" s="10"/>
      <c r="J1705" s="8"/>
    </row>
    <row r="1706" spans="1:10" x14ac:dyDescent="0.15">
      <c r="A1706" s="7"/>
      <c r="B1706" s="8"/>
      <c r="C1706" s="8"/>
      <c r="D1706" s="9"/>
      <c r="E1706" s="8"/>
      <c r="F1706" s="8"/>
      <c r="G1706" s="8"/>
      <c r="H1706" s="8"/>
      <c r="I1706" s="10"/>
      <c r="J1706" s="8"/>
    </row>
    <row r="1707" spans="1:10" x14ac:dyDescent="0.15">
      <c r="A1707" s="7"/>
      <c r="B1707" s="8"/>
      <c r="C1707" s="8"/>
      <c r="D1707" s="9"/>
      <c r="E1707" s="8"/>
      <c r="F1707" s="8"/>
      <c r="G1707" s="8"/>
      <c r="H1707" s="8"/>
      <c r="I1707" s="10"/>
      <c r="J1707" s="8"/>
    </row>
    <row r="1708" spans="1:10" x14ac:dyDescent="0.15">
      <c r="A1708" s="7"/>
      <c r="B1708" s="8"/>
      <c r="C1708" s="8"/>
      <c r="D1708" s="9"/>
      <c r="E1708" s="8"/>
      <c r="F1708" s="8"/>
      <c r="G1708" s="8"/>
      <c r="H1708" s="8"/>
      <c r="I1708" s="10"/>
      <c r="J1708" s="8"/>
    </row>
    <row r="1709" spans="1:10" x14ac:dyDescent="0.15">
      <c r="A1709" s="7"/>
      <c r="B1709" s="8"/>
      <c r="C1709" s="8"/>
      <c r="D1709" s="9"/>
      <c r="E1709" s="8"/>
      <c r="F1709" s="8"/>
      <c r="G1709" s="8"/>
      <c r="H1709" s="8"/>
      <c r="I1709" s="10"/>
      <c r="J1709" s="8"/>
    </row>
    <row r="1710" spans="1:10" x14ac:dyDescent="0.15">
      <c r="A1710" s="7"/>
      <c r="B1710" s="8"/>
      <c r="C1710" s="8"/>
      <c r="D1710" s="9"/>
      <c r="E1710" s="8"/>
      <c r="F1710" s="8"/>
      <c r="G1710" s="8"/>
      <c r="H1710" s="8"/>
      <c r="I1710" s="10"/>
      <c r="J1710" s="8"/>
    </row>
    <row r="1711" spans="1:10" x14ac:dyDescent="0.15">
      <c r="A1711" s="7"/>
      <c r="B1711" s="8"/>
      <c r="C1711" s="8"/>
      <c r="D1711" s="9"/>
      <c r="E1711" s="8"/>
      <c r="F1711" s="8"/>
      <c r="G1711" s="8"/>
      <c r="H1711" s="8"/>
      <c r="I1711" s="10"/>
      <c r="J1711" s="8"/>
    </row>
    <row r="1712" spans="1:10" x14ac:dyDescent="0.15">
      <c r="A1712" s="7"/>
      <c r="B1712" s="8"/>
      <c r="C1712" s="8"/>
      <c r="D1712" s="9"/>
      <c r="E1712" s="8"/>
      <c r="F1712" s="8"/>
      <c r="G1712" s="8"/>
      <c r="H1712" s="8"/>
      <c r="I1712" s="10"/>
      <c r="J1712" s="8"/>
    </row>
    <row r="1713" spans="1:10" x14ac:dyDescent="0.15">
      <c r="A1713" s="7"/>
      <c r="B1713" s="8"/>
      <c r="C1713" s="8"/>
      <c r="D1713" s="9"/>
      <c r="E1713" s="8"/>
      <c r="F1713" s="8"/>
      <c r="G1713" s="8"/>
      <c r="H1713" s="8"/>
      <c r="I1713" s="10"/>
      <c r="J1713" s="8"/>
    </row>
    <row r="1714" spans="1:10" x14ac:dyDescent="0.15">
      <c r="A1714" s="7"/>
      <c r="B1714" s="8"/>
      <c r="C1714" s="8"/>
      <c r="D1714" s="9"/>
      <c r="E1714" s="8"/>
      <c r="F1714" s="8"/>
      <c r="G1714" s="8"/>
      <c r="H1714" s="8"/>
      <c r="I1714" s="10"/>
      <c r="J1714" s="8"/>
    </row>
    <row r="1715" spans="1:10" x14ac:dyDescent="0.15">
      <c r="A1715" s="7"/>
      <c r="B1715" s="8"/>
      <c r="C1715" s="8"/>
      <c r="D1715" s="9"/>
      <c r="E1715" s="8"/>
      <c r="F1715" s="8"/>
      <c r="G1715" s="8"/>
      <c r="H1715" s="8"/>
      <c r="I1715" s="10"/>
      <c r="J1715" s="8"/>
    </row>
    <row r="1716" spans="1:10" x14ac:dyDescent="0.15">
      <c r="A1716" s="7"/>
      <c r="B1716" s="8"/>
      <c r="C1716" s="8"/>
      <c r="D1716" s="9"/>
      <c r="E1716" s="8"/>
      <c r="F1716" s="8"/>
      <c r="G1716" s="8"/>
      <c r="H1716" s="8"/>
      <c r="I1716" s="10"/>
      <c r="J1716" s="8"/>
    </row>
    <row r="1717" spans="1:10" x14ac:dyDescent="0.15">
      <c r="A1717" s="7"/>
      <c r="B1717" s="8"/>
      <c r="C1717" s="8"/>
      <c r="D1717" s="9"/>
      <c r="E1717" s="8"/>
      <c r="F1717" s="8"/>
      <c r="G1717" s="8"/>
      <c r="H1717" s="8"/>
      <c r="I1717" s="10"/>
      <c r="J1717" s="8"/>
    </row>
    <row r="1718" spans="1:10" x14ac:dyDescent="0.15">
      <c r="A1718" s="7"/>
      <c r="B1718" s="8"/>
      <c r="C1718" s="8"/>
      <c r="D1718" s="9"/>
      <c r="E1718" s="8"/>
      <c r="F1718" s="8"/>
      <c r="G1718" s="8"/>
      <c r="H1718" s="8"/>
      <c r="I1718" s="10"/>
      <c r="J1718" s="8"/>
    </row>
    <row r="1719" spans="1:10" x14ac:dyDescent="0.15">
      <c r="A1719" s="7"/>
      <c r="B1719" s="8"/>
      <c r="C1719" s="8"/>
      <c r="D1719" s="9"/>
      <c r="E1719" s="8"/>
      <c r="F1719" s="8"/>
      <c r="G1719" s="8"/>
      <c r="H1719" s="8"/>
      <c r="I1719" s="10"/>
      <c r="J1719" s="8"/>
    </row>
    <row r="1720" spans="1:10" x14ac:dyDescent="0.15">
      <c r="A1720" s="7"/>
      <c r="B1720" s="8"/>
      <c r="C1720" s="8"/>
      <c r="D1720" s="9"/>
      <c r="E1720" s="8"/>
      <c r="F1720" s="8"/>
      <c r="G1720" s="8"/>
      <c r="H1720" s="8"/>
      <c r="I1720" s="10"/>
      <c r="J1720" s="8"/>
    </row>
    <row r="1721" spans="1:10" x14ac:dyDescent="0.15">
      <c r="A1721" s="7"/>
      <c r="B1721" s="8"/>
      <c r="C1721" s="8"/>
      <c r="D1721" s="9"/>
      <c r="E1721" s="8"/>
      <c r="F1721" s="8"/>
      <c r="G1721" s="8"/>
      <c r="H1721" s="8"/>
      <c r="I1721" s="10"/>
      <c r="J1721" s="8"/>
    </row>
    <row r="1722" spans="1:10" x14ac:dyDescent="0.15">
      <c r="A1722" s="7"/>
      <c r="B1722" s="8"/>
      <c r="C1722" s="8"/>
      <c r="D1722" s="9"/>
      <c r="E1722" s="8"/>
      <c r="F1722" s="8"/>
      <c r="G1722" s="8"/>
      <c r="H1722" s="8"/>
      <c r="I1722" s="10"/>
      <c r="J1722" s="8"/>
    </row>
    <row r="1723" spans="1:10" x14ac:dyDescent="0.15">
      <c r="A1723" s="7"/>
      <c r="B1723" s="8"/>
      <c r="C1723" s="8"/>
      <c r="D1723" s="9"/>
      <c r="E1723" s="8"/>
      <c r="F1723" s="8"/>
      <c r="G1723" s="8"/>
      <c r="H1723" s="8"/>
      <c r="I1723" s="10"/>
      <c r="J1723" s="8"/>
    </row>
    <row r="1724" spans="1:10" x14ac:dyDescent="0.15">
      <c r="A1724" s="7"/>
      <c r="B1724" s="8"/>
      <c r="C1724" s="8"/>
      <c r="D1724" s="9"/>
      <c r="E1724" s="8"/>
      <c r="F1724" s="8"/>
      <c r="G1724" s="8"/>
      <c r="H1724" s="8"/>
      <c r="I1724" s="10"/>
      <c r="J1724" s="8"/>
    </row>
    <row r="1725" spans="1:10" x14ac:dyDescent="0.15">
      <c r="A1725" s="7"/>
      <c r="B1725" s="8"/>
      <c r="C1725" s="8"/>
      <c r="D1725" s="9"/>
      <c r="E1725" s="8"/>
      <c r="F1725" s="8"/>
      <c r="G1725" s="8"/>
      <c r="H1725" s="8"/>
      <c r="I1725" s="10"/>
      <c r="J1725" s="8"/>
    </row>
    <row r="1726" spans="1:10" x14ac:dyDescent="0.15">
      <c r="A1726" s="7"/>
      <c r="B1726" s="8"/>
      <c r="C1726" s="8"/>
      <c r="D1726" s="9"/>
      <c r="E1726" s="8"/>
      <c r="F1726" s="8"/>
      <c r="G1726" s="8"/>
      <c r="H1726" s="8"/>
      <c r="I1726" s="10"/>
      <c r="J1726" s="8"/>
    </row>
    <row r="1727" spans="1:10" x14ac:dyDescent="0.15">
      <c r="A1727" s="7"/>
      <c r="B1727" s="8"/>
      <c r="C1727" s="8"/>
      <c r="D1727" s="9"/>
      <c r="E1727" s="8"/>
      <c r="F1727" s="8"/>
      <c r="G1727" s="8"/>
      <c r="H1727" s="8"/>
      <c r="I1727" s="10"/>
      <c r="J1727" s="8"/>
    </row>
    <row r="1728" spans="1:10" x14ac:dyDescent="0.15">
      <c r="A1728" s="7"/>
      <c r="B1728" s="8"/>
      <c r="C1728" s="8"/>
      <c r="D1728" s="9"/>
      <c r="E1728" s="8"/>
      <c r="F1728" s="8"/>
      <c r="G1728" s="8"/>
      <c r="H1728" s="8"/>
      <c r="I1728" s="10"/>
      <c r="J1728" s="8"/>
    </row>
    <row r="1729" spans="1:10" x14ac:dyDescent="0.15">
      <c r="A1729" s="7"/>
      <c r="B1729" s="8"/>
      <c r="C1729" s="8"/>
      <c r="D1729" s="9"/>
      <c r="E1729" s="8"/>
      <c r="F1729" s="8"/>
      <c r="G1729" s="8"/>
      <c r="H1729" s="8"/>
      <c r="I1729" s="10"/>
      <c r="J1729" s="8"/>
    </row>
    <row r="1730" spans="1:10" x14ac:dyDescent="0.15">
      <c r="A1730" s="7"/>
      <c r="B1730" s="8"/>
      <c r="C1730" s="8"/>
      <c r="D1730" s="9"/>
      <c r="E1730" s="8"/>
      <c r="F1730" s="8"/>
      <c r="G1730" s="8"/>
      <c r="H1730" s="8"/>
      <c r="I1730" s="10"/>
      <c r="J1730" s="8"/>
    </row>
    <row r="1731" spans="1:10" x14ac:dyDescent="0.15">
      <c r="A1731" s="7"/>
      <c r="B1731" s="8"/>
      <c r="C1731" s="8"/>
      <c r="D1731" s="9"/>
      <c r="E1731" s="8"/>
      <c r="F1731" s="8"/>
      <c r="G1731" s="8"/>
      <c r="H1731" s="8"/>
      <c r="I1731" s="10"/>
      <c r="J1731" s="8"/>
    </row>
    <row r="1732" spans="1:10" x14ac:dyDescent="0.15">
      <c r="A1732" s="7"/>
      <c r="B1732" s="8"/>
      <c r="C1732" s="8"/>
      <c r="D1732" s="9"/>
      <c r="E1732" s="8"/>
      <c r="F1732" s="8"/>
      <c r="G1732" s="8"/>
      <c r="H1732" s="8"/>
      <c r="I1732" s="10"/>
      <c r="J1732" s="8"/>
    </row>
    <row r="1733" spans="1:10" x14ac:dyDescent="0.15">
      <c r="A1733" s="7"/>
      <c r="B1733" s="8"/>
      <c r="C1733" s="8"/>
      <c r="D1733" s="9"/>
      <c r="E1733" s="8"/>
      <c r="F1733" s="8"/>
      <c r="G1733" s="8"/>
      <c r="H1733" s="8"/>
      <c r="I1733" s="10"/>
      <c r="J1733" s="8"/>
    </row>
    <row r="1734" spans="1:10" x14ac:dyDescent="0.15">
      <c r="A1734" s="7"/>
      <c r="B1734" s="8"/>
      <c r="C1734" s="8"/>
      <c r="D1734" s="9"/>
      <c r="E1734" s="8"/>
      <c r="F1734" s="8"/>
      <c r="G1734" s="8"/>
      <c r="H1734" s="8"/>
      <c r="I1734" s="10"/>
      <c r="J1734" s="8"/>
    </row>
    <row r="1735" spans="1:10" x14ac:dyDescent="0.15">
      <c r="A1735" s="7"/>
      <c r="B1735" s="8"/>
      <c r="C1735" s="8"/>
      <c r="D1735" s="9"/>
      <c r="E1735" s="8"/>
      <c r="F1735" s="8"/>
      <c r="G1735" s="8"/>
      <c r="H1735" s="8"/>
      <c r="I1735" s="10"/>
      <c r="J1735" s="8"/>
    </row>
    <row r="1736" spans="1:10" x14ac:dyDescent="0.15">
      <c r="A1736" s="7"/>
      <c r="B1736" s="8"/>
      <c r="C1736" s="8"/>
      <c r="D1736" s="9"/>
      <c r="E1736" s="8"/>
      <c r="F1736" s="8"/>
      <c r="G1736" s="8"/>
      <c r="H1736" s="8"/>
      <c r="I1736" s="10"/>
      <c r="J1736" s="8"/>
    </row>
    <row r="1737" spans="1:10" x14ac:dyDescent="0.15">
      <c r="A1737" s="7"/>
      <c r="B1737" s="8"/>
      <c r="C1737" s="8"/>
      <c r="D1737" s="9"/>
      <c r="E1737" s="8"/>
      <c r="F1737" s="8"/>
      <c r="G1737" s="8"/>
      <c r="H1737" s="8"/>
      <c r="I1737" s="10"/>
      <c r="J1737" s="8"/>
    </row>
    <row r="1738" spans="1:10" x14ac:dyDescent="0.15">
      <c r="A1738" s="7"/>
      <c r="B1738" s="8"/>
      <c r="C1738" s="8"/>
      <c r="D1738" s="9"/>
      <c r="E1738" s="8"/>
      <c r="F1738" s="8"/>
      <c r="G1738" s="8"/>
      <c r="H1738" s="8"/>
      <c r="I1738" s="10"/>
      <c r="J1738" s="8"/>
    </row>
    <row r="1739" spans="1:10" x14ac:dyDescent="0.15">
      <c r="A1739" s="7"/>
      <c r="B1739" s="8"/>
      <c r="C1739" s="8"/>
      <c r="D1739" s="9"/>
      <c r="E1739" s="8"/>
      <c r="F1739" s="8"/>
      <c r="G1739" s="8"/>
      <c r="H1739" s="8"/>
      <c r="I1739" s="10"/>
      <c r="J1739" s="8"/>
    </row>
    <row r="1740" spans="1:10" x14ac:dyDescent="0.15">
      <c r="A1740" s="7"/>
      <c r="B1740" s="8"/>
      <c r="C1740" s="8"/>
      <c r="D1740" s="9"/>
      <c r="E1740" s="8"/>
      <c r="F1740" s="8"/>
      <c r="G1740" s="8"/>
      <c r="H1740" s="8"/>
      <c r="I1740" s="10"/>
      <c r="J1740" s="8"/>
    </row>
    <row r="1741" spans="1:10" x14ac:dyDescent="0.15">
      <c r="A1741" s="7"/>
      <c r="B1741" s="8"/>
      <c r="C1741" s="8"/>
      <c r="D1741" s="9"/>
      <c r="E1741" s="8"/>
      <c r="F1741" s="8"/>
      <c r="G1741" s="8"/>
      <c r="H1741" s="8"/>
      <c r="I1741" s="10"/>
      <c r="J1741" s="8"/>
    </row>
    <row r="1742" spans="1:10" x14ac:dyDescent="0.15">
      <c r="A1742" s="7"/>
      <c r="B1742" s="8"/>
      <c r="C1742" s="8"/>
      <c r="D1742" s="9"/>
      <c r="E1742" s="8"/>
      <c r="F1742" s="8"/>
      <c r="G1742" s="8"/>
      <c r="H1742" s="8"/>
      <c r="I1742" s="10"/>
      <c r="J1742" s="8"/>
    </row>
    <row r="1743" spans="1:10" x14ac:dyDescent="0.15">
      <c r="A1743" s="7"/>
      <c r="B1743" s="8"/>
      <c r="C1743" s="8"/>
      <c r="D1743" s="9"/>
      <c r="E1743" s="8"/>
      <c r="F1743" s="8"/>
      <c r="G1743" s="8"/>
      <c r="H1743" s="8"/>
      <c r="I1743" s="10"/>
      <c r="J1743" s="8"/>
    </row>
    <row r="1744" spans="1:10" x14ac:dyDescent="0.15">
      <c r="A1744" s="7"/>
      <c r="B1744" s="8"/>
      <c r="C1744" s="8"/>
      <c r="D1744" s="9"/>
      <c r="E1744" s="8"/>
      <c r="F1744" s="8"/>
      <c r="G1744" s="8"/>
      <c r="H1744" s="8"/>
      <c r="I1744" s="10"/>
      <c r="J1744" s="8"/>
    </row>
    <row r="1745" spans="1:10" x14ac:dyDescent="0.15">
      <c r="A1745" s="7"/>
      <c r="B1745" s="8"/>
      <c r="C1745" s="8"/>
      <c r="D1745" s="9"/>
      <c r="E1745" s="8"/>
      <c r="F1745" s="8"/>
      <c r="G1745" s="8"/>
      <c r="H1745" s="8"/>
      <c r="I1745" s="10"/>
      <c r="J1745" s="8"/>
    </row>
    <row r="1746" spans="1:10" x14ac:dyDescent="0.15">
      <c r="A1746" s="7"/>
      <c r="B1746" s="8"/>
      <c r="C1746" s="8"/>
      <c r="D1746" s="9"/>
      <c r="E1746" s="8"/>
      <c r="F1746" s="8"/>
      <c r="G1746" s="8"/>
      <c r="H1746" s="8"/>
      <c r="I1746" s="10"/>
      <c r="J1746" s="8"/>
    </row>
    <row r="1747" spans="1:10" x14ac:dyDescent="0.15">
      <c r="A1747" s="7"/>
      <c r="B1747" s="8"/>
      <c r="C1747" s="8"/>
      <c r="D1747" s="9"/>
      <c r="E1747" s="8"/>
      <c r="F1747" s="8"/>
      <c r="G1747" s="8"/>
      <c r="H1747" s="8"/>
      <c r="I1747" s="10"/>
      <c r="J1747" s="8"/>
    </row>
    <row r="1748" spans="1:10" x14ac:dyDescent="0.15">
      <c r="A1748" s="7"/>
      <c r="B1748" s="8"/>
      <c r="C1748" s="8"/>
      <c r="D1748" s="9"/>
      <c r="E1748" s="8"/>
      <c r="F1748" s="8"/>
      <c r="G1748" s="8"/>
      <c r="H1748" s="8"/>
      <c r="I1748" s="10"/>
      <c r="J1748" s="8"/>
    </row>
    <row r="1749" spans="1:10" x14ac:dyDescent="0.15">
      <c r="A1749" s="7"/>
      <c r="B1749" s="8"/>
      <c r="C1749" s="8"/>
      <c r="D1749" s="9"/>
      <c r="E1749" s="8"/>
      <c r="F1749" s="8"/>
      <c r="G1749" s="8"/>
      <c r="H1749" s="8"/>
      <c r="I1749" s="10"/>
      <c r="J1749" s="8"/>
    </row>
    <row r="1750" spans="1:10" x14ac:dyDescent="0.15">
      <c r="A1750" s="7"/>
      <c r="B1750" s="8"/>
      <c r="C1750" s="8"/>
      <c r="D1750" s="9"/>
      <c r="E1750" s="8"/>
      <c r="F1750" s="8"/>
      <c r="G1750" s="8"/>
      <c r="H1750" s="8"/>
      <c r="I1750" s="10"/>
      <c r="J1750" s="8"/>
    </row>
    <row r="1751" spans="1:10" x14ac:dyDescent="0.15">
      <c r="A1751" s="7"/>
      <c r="B1751" s="8"/>
      <c r="C1751" s="8"/>
      <c r="D1751" s="9"/>
      <c r="E1751" s="8"/>
      <c r="F1751" s="8"/>
      <c r="G1751" s="8"/>
      <c r="H1751" s="8"/>
      <c r="I1751" s="10"/>
      <c r="J1751" s="8"/>
    </row>
    <row r="1752" spans="1:10" x14ac:dyDescent="0.15">
      <c r="A1752" s="7"/>
      <c r="B1752" s="8"/>
      <c r="C1752" s="8"/>
      <c r="D1752" s="9"/>
      <c r="E1752" s="8"/>
      <c r="F1752" s="8"/>
      <c r="G1752" s="8"/>
      <c r="H1752" s="8"/>
      <c r="I1752" s="10"/>
      <c r="J1752" s="8"/>
    </row>
    <row r="1753" spans="1:10" x14ac:dyDescent="0.15">
      <c r="A1753" s="7"/>
      <c r="B1753" s="8"/>
      <c r="C1753" s="8"/>
      <c r="D1753" s="9"/>
      <c r="E1753" s="8"/>
      <c r="F1753" s="8"/>
      <c r="G1753" s="8"/>
      <c r="H1753" s="8"/>
      <c r="I1753" s="10"/>
      <c r="J1753" s="8"/>
    </row>
    <row r="1754" spans="1:10" x14ac:dyDescent="0.15">
      <c r="A1754" s="7"/>
      <c r="B1754" s="8"/>
      <c r="C1754" s="8"/>
      <c r="D1754" s="9"/>
      <c r="E1754" s="8"/>
      <c r="F1754" s="8"/>
      <c r="G1754" s="8"/>
      <c r="H1754" s="8"/>
      <c r="I1754" s="10"/>
      <c r="J1754" s="8"/>
    </row>
    <row r="1755" spans="1:10" x14ac:dyDescent="0.15">
      <c r="A1755" s="7"/>
      <c r="B1755" s="8"/>
      <c r="C1755" s="8"/>
      <c r="D1755" s="9"/>
      <c r="E1755" s="8"/>
      <c r="F1755" s="8"/>
      <c r="G1755" s="8"/>
      <c r="H1755" s="8"/>
      <c r="I1755" s="10"/>
      <c r="J1755" s="8"/>
    </row>
    <row r="1756" spans="1:10" x14ac:dyDescent="0.15">
      <c r="A1756" s="7"/>
      <c r="B1756" s="8"/>
      <c r="C1756" s="8"/>
      <c r="D1756" s="9"/>
      <c r="E1756" s="8"/>
      <c r="F1756" s="8"/>
      <c r="G1756" s="8"/>
      <c r="H1756" s="8"/>
      <c r="I1756" s="10"/>
      <c r="J1756" s="8"/>
    </row>
    <row r="1757" spans="1:10" x14ac:dyDescent="0.15">
      <c r="A1757" s="7"/>
      <c r="B1757" s="8"/>
      <c r="C1757" s="8"/>
      <c r="D1757" s="9"/>
      <c r="E1757" s="8"/>
      <c r="F1757" s="8"/>
      <c r="G1757" s="8"/>
      <c r="H1757" s="8"/>
      <c r="I1757" s="10"/>
      <c r="J1757" s="8"/>
    </row>
    <row r="1758" spans="1:10" x14ac:dyDescent="0.15">
      <c r="A1758" s="7"/>
      <c r="B1758" s="8"/>
      <c r="C1758" s="8"/>
      <c r="D1758" s="9"/>
      <c r="E1758" s="8"/>
      <c r="F1758" s="8"/>
      <c r="G1758" s="8"/>
      <c r="H1758" s="8"/>
      <c r="I1758" s="10"/>
      <c r="J1758" s="8"/>
    </row>
    <row r="1759" spans="1:10" x14ac:dyDescent="0.15">
      <c r="A1759" s="7"/>
      <c r="B1759" s="8"/>
      <c r="C1759" s="8"/>
      <c r="D1759" s="9"/>
      <c r="E1759" s="8"/>
      <c r="F1759" s="8"/>
      <c r="G1759" s="8"/>
      <c r="H1759" s="8"/>
      <c r="I1759" s="10"/>
      <c r="J1759" s="8"/>
    </row>
    <row r="1760" spans="1:10" x14ac:dyDescent="0.15">
      <c r="A1760" s="7"/>
      <c r="B1760" s="8"/>
      <c r="C1760" s="8"/>
      <c r="D1760" s="9"/>
      <c r="E1760" s="8"/>
      <c r="F1760" s="8"/>
      <c r="G1760" s="8"/>
      <c r="H1760" s="8"/>
      <c r="I1760" s="10"/>
      <c r="J1760" s="8"/>
    </row>
    <row r="1761" spans="1:10" x14ac:dyDescent="0.15">
      <c r="A1761" s="7"/>
      <c r="B1761" s="8"/>
      <c r="C1761" s="8"/>
      <c r="D1761" s="9"/>
      <c r="E1761" s="8"/>
      <c r="F1761" s="8"/>
      <c r="G1761" s="8"/>
      <c r="H1761" s="8"/>
      <c r="I1761" s="10"/>
      <c r="J1761" s="8"/>
    </row>
    <row r="1762" spans="1:10" x14ac:dyDescent="0.15">
      <c r="A1762" s="7"/>
      <c r="B1762" s="8"/>
      <c r="C1762" s="8"/>
      <c r="D1762" s="9"/>
      <c r="E1762" s="8"/>
      <c r="F1762" s="8"/>
      <c r="G1762" s="8"/>
      <c r="H1762" s="8"/>
      <c r="I1762" s="10"/>
      <c r="J1762" s="8"/>
    </row>
    <row r="1763" spans="1:10" x14ac:dyDescent="0.15">
      <c r="A1763" s="7"/>
      <c r="B1763" s="8"/>
      <c r="C1763" s="8"/>
      <c r="D1763" s="9"/>
      <c r="E1763" s="8"/>
      <c r="F1763" s="8"/>
      <c r="G1763" s="8"/>
      <c r="H1763" s="8"/>
      <c r="I1763" s="10"/>
      <c r="J1763" s="8"/>
    </row>
    <row r="1764" spans="1:10" x14ac:dyDescent="0.15">
      <c r="A1764" s="7"/>
      <c r="B1764" s="8"/>
      <c r="C1764" s="8"/>
      <c r="D1764" s="9"/>
      <c r="E1764" s="8"/>
      <c r="F1764" s="8"/>
      <c r="G1764" s="8"/>
      <c r="H1764" s="8"/>
      <c r="I1764" s="10"/>
      <c r="J1764" s="8"/>
    </row>
    <row r="1765" spans="1:10" x14ac:dyDescent="0.15">
      <c r="A1765" s="7"/>
      <c r="B1765" s="8"/>
      <c r="C1765" s="8"/>
      <c r="D1765" s="9"/>
      <c r="E1765" s="8"/>
      <c r="F1765" s="8"/>
      <c r="G1765" s="8"/>
      <c r="H1765" s="8"/>
      <c r="I1765" s="10"/>
      <c r="J1765" s="8"/>
    </row>
    <row r="1766" spans="1:10" x14ac:dyDescent="0.15">
      <c r="A1766" s="7"/>
      <c r="B1766" s="8"/>
      <c r="C1766" s="8"/>
      <c r="D1766" s="9"/>
      <c r="E1766" s="8"/>
      <c r="F1766" s="8"/>
      <c r="G1766" s="8"/>
      <c r="H1766" s="8"/>
      <c r="I1766" s="10"/>
      <c r="J1766" s="8"/>
    </row>
    <row r="1767" spans="1:10" x14ac:dyDescent="0.15">
      <c r="A1767" s="7"/>
      <c r="B1767" s="8"/>
      <c r="C1767" s="8"/>
      <c r="D1767" s="9"/>
      <c r="E1767" s="8"/>
      <c r="F1767" s="8"/>
      <c r="G1767" s="8"/>
      <c r="H1767" s="8"/>
      <c r="I1767" s="10"/>
      <c r="J1767" s="8"/>
    </row>
    <row r="1768" spans="1:10" x14ac:dyDescent="0.15">
      <c r="A1768" s="7"/>
      <c r="B1768" s="8"/>
      <c r="C1768" s="8"/>
      <c r="D1768" s="9"/>
      <c r="E1768" s="8"/>
      <c r="F1768" s="8"/>
      <c r="G1768" s="8"/>
      <c r="H1768" s="8"/>
      <c r="I1768" s="10"/>
      <c r="J1768" s="8"/>
    </row>
    <row r="1769" spans="1:10" x14ac:dyDescent="0.15">
      <c r="A1769" s="7"/>
      <c r="B1769" s="8"/>
      <c r="C1769" s="8"/>
      <c r="D1769" s="9"/>
      <c r="E1769" s="8"/>
      <c r="F1769" s="8"/>
      <c r="G1769" s="8"/>
      <c r="H1769" s="8"/>
      <c r="I1769" s="10"/>
      <c r="J1769" s="8"/>
    </row>
    <row r="1770" spans="1:10" x14ac:dyDescent="0.15">
      <c r="A1770" s="7"/>
      <c r="B1770" s="8"/>
      <c r="C1770" s="8"/>
      <c r="D1770" s="9"/>
      <c r="E1770" s="8"/>
      <c r="F1770" s="8"/>
      <c r="G1770" s="8"/>
      <c r="H1770" s="8"/>
      <c r="I1770" s="10"/>
      <c r="J1770" s="8"/>
    </row>
    <row r="1771" spans="1:10" x14ac:dyDescent="0.15">
      <c r="A1771" s="7"/>
      <c r="B1771" s="8"/>
      <c r="C1771" s="8"/>
      <c r="D1771" s="9"/>
      <c r="E1771" s="8"/>
      <c r="F1771" s="8"/>
      <c r="G1771" s="8"/>
      <c r="H1771" s="8"/>
      <c r="I1771" s="10"/>
      <c r="J1771" s="8"/>
    </row>
    <row r="1772" spans="1:10" x14ac:dyDescent="0.15">
      <c r="A1772" s="7"/>
      <c r="B1772" s="8"/>
      <c r="C1772" s="8"/>
      <c r="D1772" s="9"/>
      <c r="E1772" s="8"/>
      <c r="F1772" s="8"/>
      <c r="G1772" s="8"/>
      <c r="H1772" s="8"/>
      <c r="I1772" s="10"/>
      <c r="J1772" s="8"/>
    </row>
    <row r="1773" spans="1:10" x14ac:dyDescent="0.15">
      <c r="A1773" s="7"/>
      <c r="B1773" s="8"/>
      <c r="C1773" s="8"/>
      <c r="D1773" s="9"/>
      <c r="E1773" s="8"/>
      <c r="F1773" s="8"/>
      <c r="G1773" s="8"/>
      <c r="H1773" s="8"/>
      <c r="I1773" s="10"/>
      <c r="J1773" s="8"/>
    </row>
    <row r="1774" spans="1:10" x14ac:dyDescent="0.15">
      <c r="A1774" s="7"/>
      <c r="B1774" s="8"/>
      <c r="C1774" s="8"/>
      <c r="D1774" s="9"/>
      <c r="E1774" s="8"/>
      <c r="F1774" s="8"/>
      <c r="G1774" s="8"/>
      <c r="H1774" s="8"/>
      <c r="I1774" s="10"/>
      <c r="J1774" s="8"/>
    </row>
    <row r="1775" spans="1:10" x14ac:dyDescent="0.15">
      <c r="A1775" s="7"/>
      <c r="B1775" s="8"/>
      <c r="C1775" s="8"/>
      <c r="D1775" s="9"/>
      <c r="E1775" s="8"/>
      <c r="F1775" s="8"/>
      <c r="G1775" s="8"/>
      <c r="H1775" s="8"/>
      <c r="I1775" s="10"/>
      <c r="J1775" s="8"/>
    </row>
    <row r="1776" spans="1:10" x14ac:dyDescent="0.15">
      <c r="A1776" s="7"/>
      <c r="B1776" s="8"/>
      <c r="C1776" s="8"/>
      <c r="D1776" s="9"/>
      <c r="E1776" s="8"/>
      <c r="F1776" s="8"/>
      <c r="G1776" s="8"/>
      <c r="H1776" s="8"/>
      <c r="I1776" s="10"/>
      <c r="J1776" s="8"/>
    </row>
    <row r="1777" spans="1:10" x14ac:dyDescent="0.15">
      <c r="A1777" s="7"/>
      <c r="B1777" s="8"/>
      <c r="C1777" s="8"/>
      <c r="D1777" s="9"/>
      <c r="E1777" s="8"/>
      <c r="F1777" s="8"/>
      <c r="G1777" s="8"/>
      <c r="H1777" s="8"/>
      <c r="I1777" s="10"/>
      <c r="J1777" s="8"/>
    </row>
    <row r="1778" spans="1:10" x14ac:dyDescent="0.15">
      <c r="A1778" s="7"/>
      <c r="B1778" s="8"/>
      <c r="C1778" s="8"/>
      <c r="D1778" s="9"/>
      <c r="E1778" s="8"/>
      <c r="F1778" s="8"/>
      <c r="G1778" s="8"/>
      <c r="H1778" s="8"/>
      <c r="I1778" s="10"/>
      <c r="J1778" s="8"/>
    </row>
    <row r="1779" spans="1:10" x14ac:dyDescent="0.15">
      <c r="A1779" s="7"/>
      <c r="B1779" s="8"/>
      <c r="C1779" s="8"/>
      <c r="D1779" s="9"/>
      <c r="E1779" s="8"/>
      <c r="F1779" s="8"/>
      <c r="G1779" s="8"/>
      <c r="H1779" s="8"/>
      <c r="I1779" s="10"/>
      <c r="J1779" s="8"/>
    </row>
    <row r="1780" spans="1:10" x14ac:dyDescent="0.15">
      <c r="A1780" s="7"/>
      <c r="B1780" s="8"/>
      <c r="C1780" s="8"/>
      <c r="D1780" s="9"/>
      <c r="E1780" s="8"/>
      <c r="F1780" s="8"/>
      <c r="G1780" s="8"/>
      <c r="H1780" s="8"/>
      <c r="I1780" s="10"/>
      <c r="J1780" s="8"/>
    </row>
    <row r="1781" spans="1:10" x14ac:dyDescent="0.15">
      <c r="A1781" s="7"/>
      <c r="B1781" s="8"/>
      <c r="C1781" s="8"/>
      <c r="D1781" s="9"/>
      <c r="E1781" s="8"/>
      <c r="F1781" s="8"/>
      <c r="G1781" s="8"/>
      <c r="H1781" s="8"/>
      <c r="I1781" s="10"/>
      <c r="J1781" s="8"/>
    </row>
    <row r="1782" spans="1:10" x14ac:dyDescent="0.15">
      <c r="A1782" s="7"/>
      <c r="B1782" s="8"/>
      <c r="C1782" s="8"/>
      <c r="D1782" s="9"/>
      <c r="E1782" s="8"/>
      <c r="F1782" s="8"/>
      <c r="G1782" s="8"/>
      <c r="H1782" s="8"/>
      <c r="I1782" s="10"/>
      <c r="J1782" s="8"/>
    </row>
    <row r="1783" spans="1:10" x14ac:dyDescent="0.15">
      <c r="A1783" s="7"/>
      <c r="B1783" s="8"/>
      <c r="C1783" s="8"/>
      <c r="D1783" s="9"/>
      <c r="E1783" s="8"/>
      <c r="F1783" s="8"/>
      <c r="G1783" s="8"/>
      <c r="H1783" s="8"/>
      <c r="I1783" s="10"/>
      <c r="J1783" s="8"/>
    </row>
    <row r="1784" spans="1:10" x14ac:dyDescent="0.15">
      <c r="A1784" s="7"/>
      <c r="B1784" s="8"/>
      <c r="C1784" s="8"/>
      <c r="D1784" s="9"/>
      <c r="E1784" s="8"/>
      <c r="F1784" s="8"/>
      <c r="G1784" s="8"/>
      <c r="H1784" s="8"/>
      <c r="I1784" s="10"/>
      <c r="J1784" s="8"/>
    </row>
    <row r="1785" spans="1:10" x14ac:dyDescent="0.15">
      <c r="A1785" s="7"/>
      <c r="B1785" s="8"/>
      <c r="C1785" s="8"/>
      <c r="D1785" s="9"/>
      <c r="E1785" s="8"/>
      <c r="F1785" s="8"/>
      <c r="G1785" s="8"/>
      <c r="H1785" s="8"/>
      <c r="I1785" s="10"/>
      <c r="J1785" s="8"/>
    </row>
    <row r="1786" spans="1:10" x14ac:dyDescent="0.15">
      <c r="A1786" s="7"/>
      <c r="B1786" s="8"/>
      <c r="C1786" s="8"/>
      <c r="D1786" s="9"/>
      <c r="E1786" s="8"/>
      <c r="F1786" s="8"/>
      <c r="G1786" s="8"/>
      <c r="H1786" s="8"/>
      <c r="I1786" s="10"/>
      <c r="J1786" s="8"/>
    </row>
    <row r="1787" spans="1:10" x14ac:dyDescent="0.15">
      <c r="A1787" s="7"/>
      <c r="B1787" s="8"/>
      <c r="C1787" s="8"/>
      <c r="D1787" s="9"/>
      <c r="E1787" s="8"/>
      <c r="F1787" s="8"/>
      <c r="G1787" s="8"/>
      <c r="H1787" s="8"/>
      <c r="I1787" s="10"/>
      <c r="J1787" s="8"/>
    </row>
    <row r="1788" spans="1:10" x14ac:dyDescent="0.15">
      <c r="A1788" s="7"/>
      <c r="B1788" s="8"/>
      <c r="C1788" s="8"/>
      <c r="D1788" s="9"/>
      <c r="E1788" s="8"/>
      <c r="F1788" s="8"/>
      <c r="G1788" s="8"/>
      <c r="H1788" s="8"/>
      <c r="I1788" s="10"/>
      <c r="J1788" s="8"/>
    </row>
    <row r="1789" spans="1:10" x14ac:dyDescent="0.15">
      <c r="A1789" s="7"/>
      <c r="B1789" s="8"/>
      <c r="C1789" s="8"/>
      <c r="D1789" s="9"/>
      <c r="E1789" s="8"/>
      <c r="F1789" s="8"/>
      <c r="G1789" s="8"/>
      <c r="H1789" s="8"/>
      <c r="I1789" s="10"/>
      <c r="J1789" s="8"/>
    </row>
    <row r="1790" spans="1:10" x14ac:dyDescent="0.15">
      <c r="A1790" s="7"/>
      <c r="B1790" s="8"/>
      <c r="C1790" s="8"/>
      <c r="D1790" s="9"/>
      <c r="E1790" s="8"/>
      <c r="F1790" s="8"/>
      <c r="G1790" s="8"/>
      <c r="H1790" s="8"/>
      <c r="I1790" s="10"/>
      <c r="J1790" s="8"/>
    </row>
    <row r="1791" spans="1:10" x14ac:dyDescent="0.15">
      <c r="A1791" s="7"/>
      <c r="B1791" s="8"/>
      <c r="C1791" s="8"/>
      <c r="D1791" s="9"/>
      <c r="E1791" s="8"/>
      <c r="F1791" s="8"/>
      <c r="G1791" s="8"/>
      <c r="H1791" s="8"/>
      <c r="I1791" s="10"/>
      <c r="J1791" s="8"/>
    </row>
    <row r="1792" spans="1:10" x14ac:dyDescent="0.15">
      <c r="A1792" s="7"/>
      <c r="B1792" s="8"/>
      <c r="C1792" s="8"/>
      <c r="D1792" s="9"/>
      <c r="E1792" s="8"/>
      <c r="F1792" s="8"/>
      <c r="G1792" s="8"/>
      <c r="H1792" s="8"/>
      <c r="I1792" s="10"/>
      <c r="J1792" s="8"/>
    </row>
    <row r="1793" spans="1:10" x14ac:dyDescent="0.15">
      <c r="A1793" s="7"/>
      <c r="B1793" s="8"/>
      <c r="C1793" s="8"/>
      <c r="D1793" s="9"/>
      <c r="E1793" s="8"/>
      <c r="F1793" s="8"/>
      <c r="G1793" s="8"/>
      <c r="H1793" s="8"/>
      <c r="I1793" s="10"/>
      <c r="J1793" s="8"/>
    </row>
    <row r="1794" spans="1:10" x14ac:dyDescent="0.15">
      <c r="A1794" s="7"/>
      <c r="B1794" s="8"/>
      <c r="C1794" s="8"/>
      <c r="D1794" s="9"/>
      <c r="E1794" s="8"/>
      <c r="F1794" s="8"/>
      <c r="G1794" s="8"/>
      <c r="H1794" s="8"/>
      <c r="I1794" s="10"/>
      <c r="J1794" s="8"/>
    </row>
  </sheetData>
  <autoFilter ref="A2:J2" xr:uid="{00000000-0009-0000-0000-000000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2024-07-24T06:49:35Z</dcterms:modified>
</cp:coreProperties>
</file>