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24226"/>
  <xr:revisionPtr revIDLastSave="0" documentId="13_ncr:1_{D4FB0DFE-8CB7-458A-9D93-5A5291829EA5}" xr6:coauthVersionLast="47" xr6:coauthVersionMax="47" xr10:uidLastSave="{00000000-0000-0000-0000-000000000000}"/>
  <bookViews>
    <workbookView xWindow="-120" yWindow="-120" windowWidth="29040" windowHeight="15840" xr2:uid="{00000000-000D-0000-FFFF-FFFF00000000}"/>
  </bookViews>
  <sheets>
    <sheet name="Sheet1" sheetId="4" r:id="rId1"/>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7" i="4" l="1"/>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443" i="4"/>
  <c r="D442" i="4"/>
  <c r="D441" i="4"/>
  <c r="D440" i="4"/>
  <c r="D439" i="4"/>
  <c r="D438" i="4"/>
  <c r="D437" i="4"/>
  <c r="D436" i="4"/>
  <c r="D435" i="4"/>
  <c r="D434" i="4"/>
  <c r="D433" i="4"/>
  <c r="D432" i="4"/>
  <c r="D431" i="4"/>
  <c r="D430" i="4"/>
  <c r="D429" i="4"/>
  <c r="D428" i="4"/>
  <c r="D427" i="4"/>
  <c r="D426" i="4"/>
  <c r="D425" i="4"/>
  <c r="D424" i="4"/>
  <c r="D423"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6" i="4"/>
  <c r="D525" i="4"/>
  <c r="D524" i="4"/>
  <c r="D523" i="4"/>
  <c r="D522" i="4"/>
  <c r="D521" i="4"/>
  <c r="D520" i="4"/>
  <c r="D519" i="4"/>
  <c r="D518" i="4"/>
  <c r="D517" i="4"/>
  <c r="D516" i="4"/>
  <c r="D515" i="4"/>
  <c r="D514" i="4"/>
  <c r="D513" i="4"/>
  <c r="D512" i="4"/>
  <c r="D511" i="4"/>
  <c r="D510" i="4"/>
  <c r="D509" i="4"/>
  <c r="D508" i="4"/>
  <c r="D507" i="4"/>
  <c r="D506" i="4"/>
  <c r="D505" i="4"/>
  <c r="D504" i="4"/>
  <c r="D503" i="4"/>
  <c r="D502" i="4"/>
  <c r="D501" i="4"/>
  <c r="D500" i="4"/>
  <c r="D499" i="4"/>
  <c r="D498" i="4"/>
  <c r="D497" i="4"/>
  <c r="D496" i="4"/>
  <c r="D495" i="4"/>
  <c r="D494" i="4"/>
  <c r="D493" i="4"/>
  <c r="D492" i="4"/>
  <c r="D491" i="4"/>
  <c r="D490" i="4"/>
  <c r="D489" i="4"/>
  <c r="D488" i="4"/>
  <c r="D487" i="4"/>
  <c r="D486" i="4"/>
  <c r="D485" i="4"/>
  <c r="D484" i="4"/>
  <c r="D483" i="4"/>
  <c r="D689" i="4"/>
  <c r="D688" i="4"/>
  <c r="D687" i="4"/>
  <c r="D686" i="4"/>
  <c r="D685" i="4"/>
  <c r="D684" i="4"/>
  <c r="D683" i="4"/>
  <c r="D682" i="4"/>
  <c r="D681" i="4"/>
  <c r="D680" i="4"/>
  <c r="D679" i="4"/>
  <c r="D678" i="4"/>
  <c r="D677" i="4"/>
  <c r="D676" i="4"/>
  <c r="D675" i="4"/>
  <c r="D674" i="4"/>
  <c r="D673" i="4"/>
  <c r="D672" i="4"/>
  <c r="D671" i="4"/>
  <c r="D670" i="4"/>
  <c r="D669" i="4"/>
  <c r="D668" i="4"/>
  <c r="D667"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634" i="4"/>
  <c r="D633" i="4"/>
  <c r="D632" i="4"/>
  <c r="D631"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598" i="4"/>
  <c r="D597" i="4"/>
  <c r="D596" i="4"/>
  <c r="D595" i="4"/>
  <c r="D594" i="4"/>
  <c r="D593" i="4"/>
  <c r="D592" i="4"/>
  <c r="D781" i="4"/>
  <c r="D780" i="4"/>
  <c r="D779" i="4"/>
  <c r="D778" i="4"/>
  <c r="D777" i="4"/>
  <c r="D776" i="4"/>
  <c r="D775" i="4"/>
  <c r="D774" i="4"/>
  <c r="D773" i="4"/>
  <c r="D772" i="4"/>
  <c r="D771" i="4"/>
  <c r="D770" i="4"/>
  <c r="D769" i="4"/>
  <c r="D768" i="4"/>
  <c r="D767" i="4"/>
  <c r="D766" i="4"/>
  <c r="D765" i="4"/>
  <c r="D764" i="4"/>
  <c r="D763" i="4"/>
  <c r="D762" i="4"/>
  <c r="D761" i="4"/>
  <c r="D760" i="4"/>
  <c r="D759" i="4"/>
  <c r="D758" i="4"/>
  <c r="D757" i="4"/>
  <c r="D756" i="4"/>
  <c r="D755" i="4"/>
  <c r="D754" i="4"/>
  <c r="D753" i="4"/>
  <c r="D752" i="4"/>
  <c r="D751" i="4"/>
  <c r="D750" i="4"/>
  <c r="D749" i="4"/>
  <c r="D748" i="4"/>
  <c r="D747" i="4"/>
  <c r="D746" i="4"/>
  <c r="D745" i="4"/>
  <c r="D744" i="4"/>
  <c r="D743" i="4"/>
  <c r="D742" i="4"/>
  <c r="D741" i="4"/>
  <c r="D740" i="4"/>
  <c r="D739" i="4"/>
  <c r="D738" i="4"/>
  <c r="D737" i="4"/>
  <c r="D736" i="4"/>
  <c r="D735" i="4"/>
  <c r="D734" i="4"/>
  <c r="D733" i="4"/>
  <c r="D732" i="4"/>
  <c r="D731" i="4"/>
  <c r="D730" i="4"/>
  <c r="D729" i="4"/>
  <c r="D728" i="4"/>
  <c r="D727" i="4"/>
  <c r="D726" i="4"/>
  <c r="D725" i="4"/>
  <c r="D724" i="4"/>
  <c r="D723" i="4"/>
  <c r="D722" i="4"/>
  <c r="D721" i="4"/>
  <c r="D720" i="4"/>
  <c r="D719" i="4"/>
  <c r="D718" i="4"/>
  <c r="D717" i="4"/>
  <c r="D716" i="4"/>
  <c r="D715" i="4"/>
  <c r="D714" i="4"/>
  <c r="D713" i="4"/>
  <c r="D712" i="4"/>
  <c r="D711" i="4"/>
  <c r="D710" i="4"/>
  <c r="D709" i="4"/>
  <c r="D708" i="4"/>
  <c r="D707" i="4"/>
  <c r="D706" i="4"/>
  <c r="D705" i="4"/>
  <c r="D704" i="4"/>
  <c r="D703" i="4"/>
  <c r="D702" i="4"/>
  <c r="D701" i="4"/>
  <c r="D700" i="4"/>
  <c r="D699" i="4"/>
  <c r="D698" i="4"/>
  <c r="D697" i="4"/>
  <c r="D696" i="4"/>
  <c r="D695" i="4"/>
  <c r="D694" i="4"/>
  <c r="D693" i="4"/>
  <c r="D692" i="4"/>
  <c r="D691" i="4"/>
  <c r="D690" i="4"/>
  <c r="D890" i="4"/>
  <c r="D889" i="4"/>
  <c r="D888" i="4"/>
  <c r="D887" i="4"/>
  <c r="D886" i="4"/>
  <c r="D885" i="4"/>
  <c r="D884" i="4"/>
  <c r="D883" i="4"/>
  <c r="D882" i="4"/>
  <c r="D881" i="4"/>
  <c r="D880" i="4"/>
  <c r="D879" i="4"/>
  <c r="D878" i="4"/>
  <c r="D877" i="4"/>
  <c r="D876" i="4"/>
  <c r="D875" i="4"/>
  <c r="D874" i="4"/>
  <c r="D873" i="4"/>
  <c r="D872" i="4"/>
  <c r="D871" i="4"/>
  <c r="D870" i="4"/>
  <c r="D869" i="4"/>
  <c r="D868" i="4"/>
  <c r="D867" i="4"/>
  <c r="D866" i="4"/>
  <c r="D865" i="4"/>
  <c r="D864" i="4"/>
  <c r="D863" i="4"/>
  <c r="D862" i="4"/>
  <c r="D861" i="4"/>
  <c r="D860" i="4"/>
  <c r="D859" i="4"/>
  <c r="D858" i="4"/>
  <c r="D857" i="4"/>
  <c r="D856" i="4"/>
  <c r="D855" i="4"/>
  <c r="D854" i="4"/>
  <c r="D853" i="4"/>
  <c r="D852" i="4"/>
  <c r="D851" i="4"/>
  <c r="D850" i="4"/>
  <c r="D849" i="4"/>
  <c r="D848" i="4"/>
  <c r="D847" i="4"/>
  <c r="D846" i="4"/>
  <c r="D845" i="4"/>
  <c r="D844" i="4"/>
  <c r="D843" i="4"/>
  <c r="D842" i="4"/>
  <c r="D841" i="4"/>
  <c r="D840" i="4"/>
  <c r="D839" i="4"/>
  <c r="D838" i="4"/>
  <c r="D837" i="4"/>
  <c r="D836" i="4"/>
  <c r="D835" i="4"/>
  <c r="D834" i="4"/>
  <c r="D833" i="4"/>
  <c r="D832" i="4"/>
  <c r="D831" i="4"/>
  <c r="D830" i="4"/>
  <c r="D829" i="4"/>
  <c r="D828" i="4"/>
  <c r="D827" i="4"/>
  <c r="D826" i="4"/>
  <c r="D825" i="4"/>
  <c r="D824" i="4"/>
  <c r="D823" i="4"/>
  <c r="D822" i="4"/>
  <c r="D821" i="4"/>
  <c r="D820" i="4"/>
  <c r="D819" i="4"/>
  <c r="D818" i="4"/>
  <c r="D817" i="4"/>
  <c r="D816" i="4"/>
  <c r="D815" i="4"/>
  <c r="D814" i="4"/>
  <c r="D813" i="4"/>
  <c r="D812" i="4"/>
  <c r="D811" i="4"/>
  <c r="D810" i="4"/>
  <c r="D809" i="4"/>
  <c r="D808" i="4"/>
  <c r="D807" i="4"/>
  <c r="D806" i="4"/>
  <c r="D805" i="4"/>
  <c r="D804" i="4"/>
  <c r="D803" i="4"/>
  <c r="D802" i="4"/>
  <c r="D801" i="4"/>
  <c r="D800" i="4"/>
  <c r="D799" i="4"/>
  <c r="D798" i="4"/>
  <c r="D797" i="4"/>
  <c r="D796" i="4"/>
  <c r="D795" i="4"/>
  <c r="D794" i="4"/>
  <c r="D793" i="4"/>
  <c r="D792" i="4"/>
  <c r="D791" i="4"/>
  <c r="D790" i="4"/>
  <c r="D789" i="4"/>
  <c r="D788" i="4"/>
  <c r="D787" i="4"/>
  <c r="D786" i="4"/>
  <c r="D785" i="4"/>
  <c r="D784" i="4"/>
  <c r="D783" i="4"/>
  <c r="D782" i="4"/>
  <c r="D1096" i="4"/>
  <c r="D1095" i="4"/>
  <c r="D1094" i="4"/>
  <c r="D1093" i="4"/>
  <c r="D1092" i="4"/>
  <c r="D1091" i="4"/>
  <c r="D1090" i="4"/>
  <c r="D1089" i="4"/>
  <c r="D1088" i="4"/>
  <c r="D1087" i="4"/>
  <c r="D1086" i="4"/>
  <c r="D1085" i="4"/>
  <c r="D1084" i="4"/>
  <c r="D1083" i="4"/>
  <c r="D1082" i="4"/>
  <c r="D1081" i="4"/>
  <c r="D1080" i="4"/>
  <c r="D1079" i="4"/>
  <c r="D1078" i="4"/>
  <c r="D1077" i="4"/>
  <c r="D1076" i="4"/>
  <c r="D1075" i="4"/>
  <c r="D1074" i="4"/>
  <c r="D1073" i="4"/>
  <c r="D1072" i="4"/>
  <c r="D1071" i="4"/>
  <c r="D1070" i="4"/>
  <c r="D1069" i="4"/>
  <c r="D1068" i="4"/>
  <c r="D1067" i="4"/>
  <c r="D1066" i="4"/>
  <c r="D1065" i="4"/>
  <c r="D1064" i="4"/>
  <c r="D1063" i="4"/>
  <c r="D1062" i="4"/>
  <c r="D1061" i="4"/>
  <c r="D1060" i="4"/>
  <c r="D1059" i="4"/>
  <c r="D1058" i="4"/>
  <c r="D1057" i="4"/>
  <c r="D1056" i="4"/>
  <c r="D1055" i="4"/>
  <c r="D1054" i="4"/>
  <c r="D1053" i="4"/>
  <c r="D1052" i="4"/>
  <c r="D1051" i="4"/>
  <c r="D1050" i="4"/>
  <c r="D1049" i="4"/>
  <c r="D1048" i="4"/>
  <c r="D1047" i="4"/>
  <c r="D1046" i="4"/>
  <c r="D1045" i="4"/>
  <c r="D1044" i="4"/>
  <c r="D1043" i="4"/>
  <c r="D1042" i="4"/>
  <c r="D1041" i="4"/>
  <c r="D1040" i="4"/>
  <c r="D1039" i="4"/>
  <c r="D1038" i="4"/>
  <c r="D1037" i="4"/>
  <c r="D1036" i="4"/>
  <c r="D1035" i="4"/>
  <c r="D1034" i="4"/>
  <c r="D1033" i="4"/>
  <c r="D1032" i="4"/>
  <c r="D1031" i="4"/>
  <c r="D1030" i="4"/>
  <c r="D1029" i="4"/>
  <c r="D1028" i="4"/>
  <c r="D1027" i="4"/>
  <c r="D1026" i="4"/>
  <c r="D1025" i="4"/>
  <c r="D1024" i="4"/>
  <c r="D1023" i="4"/>
  <c r="D1022" i="4"/>
  <c r="D1021" i="4"/>
  <c r="D1020" i="4"/>
  <c r="D1019" i="4"/>
  <c r="D1018" i="4"/>
  <c r="D1017" i="4"/>
  <c r="D1016" i="4"/>
  <c r="D1015" i="4"/>
  <c r="D1014" i="4"/>
  <c r="D1013" i="4"/>
  <c r="D1012" i="4"/>
  <c r="D1011" i="4"/>
  <c r="D1010" i="4"/>
  <c r="D1009" i="4"/>
  <c r="D1008" i="4"/>
  <c r="D1007" i="4"/>
  <c r="D1006" i="4"/>
  <c r="D1005" i="4"/>
  <c r="D1004" i="4"/>
  <c r="D1003" i="4"/>
  <c r="D1002" i="4"/>
  <c r="D1001" i="4"/>
  <c r="D1000" i="4"/>
  <c r="D999" i="4"/>
  <c r="D998" i="4"/>
  <c r="D997" i="4"/>
  <c r="D996" i="4"/>
  <c r="D995" i="4"/>
  <c r="D994" i="4"/>
  <c r="D993" i="4"/>
  <c r="D992" i="4"/>
  <c r="D991" i="4"/>
  <c r="D990" i="4"/>
  <c r="D989" i="4"/>
  <c r="D988" i="4"/>
  <c r="D987" i="4"/>
  <c r="D986" i="4"/>
  <c r="D985" i="4"/>
  <c r="D984" i="4"/>
  <c r="D983" i="4"/>
  <c r="D982" i="4"/>
  <c r="D981" i="4"/>
  <c r="D980" i="4"/>
  <c r="D979" i="4"/>
  <c r="D978" i="4"/>
  <c r="D977" i="4"/>
  <c r="D976" i="4"/>
  <c r="D975" i="4"/>
  <c r="D974" i="4"/>
  <c r="D973" i="4"/>
  <c r="D972" i="4"/>
  <c r="D971" i="4"/>
  <c r="D970" i="4"/>
  <c r="D969" i="4"/>
  <c r="D968" i="4"/>
  <c r="D967" i="4"/>
  <c r="D966" i="4"/>
  <c r="D965" i="4"/>
  <c r="D964" i="4"/>
  <c r="D963" i="4"/>
  <c r="D962" i="4"/>
  <c r="D961" i="4"/>
  <c r="D960" i="4"/>
  <c r="D959" i="4"/>
  <c r="D958" i="4"/>
  <c r="D957" i="4"/>
  <c r="D956" i="4"/>
  <c r="D955" i="4"/>
  <c r="D954" i="4"/>
  <c r="D953" i="4"/>
  <c r="D952" i="4"/>
  <c r="D951" i="4"/>
  <c r="D950" i="4"/>
  <c r="D949" i="4"/>
  <c r="D948" i="4"/>
  <c r="D947" i="4"/>
  <c r="D946" i="4"/>
  <c r="D945" i="4"/>
  <c r="D944" i="4"/>
  <c r="D943" i="4"/>
  <c r="D942" i="4"/>
  <c r="D941" i="4"/>
  <c r="D940" i="4"/>
  <c r="D939" i="4"/>
  <c r="D938" i="4"/>
  <c r="D937" i="4"/>
  <c r="D936" i="4"/>
  <c r="D935" i="4"/>
  <c r="D934" i="4"/>
  <c r="D933" i="4"/>
  <c r="D932" i="4"/>
  <c r="D931" i="4"/>
  <c r="D930" i="4"/>
  <c r="D929" i="4"/>
  <c r="D928" i="4"/>
  <c r="D927" i="4"/>
  <c r="D926" i="4"/>
  <c r="D925" i="4"/>
  <c r="D924" i="4"/>
  <c r="D923" i="4"/>
  <c r="D922" i="4"/>
  <c r="D921" i="4"/>
  <c r="D920" i="4"/>
  <c r="D919" i="4"/>
  <c r="D918" i="4"/>
  <c r="D917" i="4"/>
  <c r="D916" i="4"/>
  <c r="D915" i="4"/>
  <c r="D914" i="4"/>
  <c r="D913" i="4"/>
  <c r="D912" i="4"/>
  <c r="D911" i="4"/>
  <c r="D910" i="4"/>
  <c r="D909" i="4"/>
  <c r="D908" i="4"/>
  <c r="D907" i="4"/>
  <c r="D906" i="4"/>
  <c r="D905" i="4"/>
  <c r="D904" i="4"/>
  <c r="D903" i="4"/>
  <c r="D902" i="4"/>
  <c r="D901" i="4"/>
  <c r="D900" i="4"/>
  <c r="D899" i="4"/>
  <c r="D898" i="4"/>
  <c r="D897" i="4"/>
  <c r="D896" i="4"/>
  <c r="D895" i="4"/>
  <c r="D894" i="4"/>
  <c r="D893" i="4"/>
  <c r="D892" i="4"/>
  <c r="D891" i="4"/>
  <c r="D1228" i="4"/>
  <c r="D1227" i="4"/>
  <c r="D1226" i="4"/>
  <c r="D1225" i="4"/>
  <c r="D1224" i="4"/>
  <c r="D1223" i="4"/>
  <c r="D1222" i="4"/>
  <c r="D1221" i="4"/>
  <c r="D1220" i="4"/>
  <c r="D1219" i="4"/>
  <c r="D1218" i="4"/>
  <c r="D1217" i="4"/>
  <c r="D1216" i="4"/>
  <c r="D1215" i="4"/>
  <c r="D1214" i="4"/>
  <c r="D1213" i="4"/>
  <c r="D1212" i="4"/>
  <c r="D1211" i="4"/>
  <c r="D1210" i="4"/>
  <c r="D1209" i="4"/>
  <c r="D1208" i="4"/>
  <c r="D1207" i="4"/>
  <c r="D1206" i="4"/>
  <c r="D1205" i="4"/>
  <c r="D1204" i="4"/>
  <c r="D1203" i="4"/>
  <c r="D1202" i="4"/>
  <c r="D1201" i="4"/>
  <c r="D1200" i="4"/>
  <c r="D1199" i="4"/>
  <c r="D1198" i="4"/>
  <c r="D1197" i="4"/>
  <c r="D1196" i="4"/>
  <c r="D1195" i="4"/>
  <c r="D1194" i="4"/>
  <c r="D1193" i="4"/>
  <c r="D1192" i="4"/>
  <c r="D1191" i="4"/>
  <c r="D1190" i="4"/>
  <c r="D1189" i="4"/>
  <c r="D1188" i="4"/>
  <c r="D1187" i="4"/>
  <c r="D1186" i="4"/>
  <c r="D1185" i="4"/>
  <c r="D1184" i="4"/>
  <c r="D1183" i="4"/>
  <c r="D1182" i="4"/>
  <c r="D1181" i="4"/>
  <c r="D1180" i="4"/>
  <c r="D1179" i="4"/>
  <c r="D1178" i="4"/>
  <c r="D1177" i="4"/>
  <c r="D1176" i="4"/>
  <c r="D1175" i="4"/>
  <c r="D1174" i="4"/>
  <c r="D1173" i="4"/>
  <c r="D1172" i="4"/>
  <c r="D1171" i="4"/>
  <c r="D1170" i="4"/>
  <c r="D1169" i="4"/>
  <c r="D1168" i="4"/>
  <c r="D1167" i="4"/>
  <c r="D1166" i="4"/>
  <c r="D1165" i="4"/>
  <c r="D1164" i="4"/>
  <c r="D1163" i="4"/>
  <c r="D1162" i="4"/>
  <c r="D1161" i="4"/>
  <c r="D1160" i="4"/>
  <c r="D1159" i="4"/>
  <c r="D1158" i="4"/>
  <c r="D1157" i="4"/>
  <c r="D1156" i="4"/>
  <c r="D1155" i="4"/>
  <c r="D1154" i="4"/>
  <c r="D1153" i="4"/>
  <c r="D1152" i="4"/>
  <c r="D1151" i="4"/>
  <c r="D1150" i="4"/>
  <c r="D1149" i="4"/>
  <c r="D1148" i="4"/>
  <c r="D1147" i="4"/>
  <c r="D1146" i="4"/>
  <c r="D1145" i="4"/>
  <c r="D1144" i="4"/>
  <c r="D1143" i="4"/>
  <c r="D1142" i="4"/>
  <c r="D1141" i="4"/>
  <c r="D1140" i="4"/>
  <c r="D1139" i="4"/>
  <c r="D1138" i="4"/>
  <c r="D1137" i="4"/>
  <c r="D1136" i="4"/>
  <c r="D1135" i="4"/>
  <c r="D1134" i="4"/>
  <c r="D1133" i="4"/>
  <c r="D1132" i="4"/>
  <c r="D1131" i="4"/>
  <c r="D1130" i="4"/>
  <c r="D1129" i="4"/>
  <c r="D1128" i="4"/>
  <c r="D1127" i="4"/>
  <c r="D1126" i="4"/>
  <c r="D1125" i="4"/>
  <c r="D1124" i="4"/>
  <c r="D1123" i="4"/>
  <c r="D1122" i="4"/>
  <c r="D1121" i="4"/>
  <c r="D1120" i="4"/>
  <c r="D1119" i="4"/>
  <c r="D1118" i="4"/>
  <c r="D1117" i="4"/>
  <c r="D1116" i="4"/>
  <c r="D1115" i="4"/>
  <c r="D1114" i="4"/>
  <c r="D1113" i="4"/>
  <c r="D1112" i="4"/>
  <c r="D1111" i="4"/>
  <c r="D1110" i="4"/>
  <c r="D1109" i="4"/>
  <c r="D1108" i="4"/>
  <c r="D1107" i="4"/>
  <c r="D1106" i="4"/>
  <c r="D1105" i="4"/>
  <c r="D1104" i="4"/>
  <c r="D1103" i="4"/>
  <c r="D1102" i="4"/>
  <c r="D1101" i="4"/>
  <c r="D1100" i="4"/>
  <c r="D1099" i="4"/>
  <c r="D1098" i="4"/>
  <c r="D1097" i="4"/>
  <c r="D1333" i="4"/>
  <c r="D1332" i="4"/>
  <c r="D1331" i="4"/>
  <c r="D1330" i="4"/>
  <c r="D1329" i="4"/>
  <c r="D1328" i="4"/>
  <c r="D1327" i="4"/>
  <c r="D1326" i="4"/>
  <c r="D1325" i="4"/>
  <c r="D1324" i="4"/>
  <c r="D1323" i="4"/>
  <c r="D1322" i="4"/>
  <c r="D1321" i="4"/>
  <c r="D1320" i="4"/>
  <c r="D1319" i="4"/>
  <c r="D1318" i="4"/>
  <c r="D1317" i="4"/>
  <c r="D1316" i="4"/>
  <c r="D1315" i="4"/>
  <c r="D1314" i="4"/>
  <c r="D1313" i="4"/>
  <c r="D1312" i="4"/>
  <c r="D1311" i="4"/>
  <c r="D1310" i="4"/>
  <c r="D1309" i="4"/>
  <c r="D1308" i="4"/>
  <c r="D1307" i="4"/>
  <c r="D1306" i="4"/>
  <c r="D1305" i="4"/>
  <c r="D1304" i="4"/>
  <c r="D1303" i="4"/>
  <c r="D1302" i="4"/>
  <c r="D1301" i="4"/>
  <c r="D1300" i="4"/>
  <c r="D1299" i="4"/>
  <c r="D1298" i="4"/>
  <c r="D1297" i="4"/>
  <c r="D1296" i="4"/>
  <c r="D1295" i="4"/>
  <c r="D1294" i="4"/>
  <c r="D1293" i="4"/>
  <c r="D1292" i="4"/>
  <c r="D1291" i="4"/>
  <c r="D1290" i="4"/>
  <c r="D1289" i="4"/>
  <c r="D1288" i="4"/>
  <c r="D1287" i="4"/>
  <c r="D1286" i="4"/>
  <c r="D1285" i="4"/>
  <c r="D1284" i="4"/>
  <c r="D1283" i="4"/>
  <c r="D1282" i="4"/>
  <c r="D1281" i="4"/>
  <c r="D1280" i="4"/>
  <c r="D1279" i="4"/>
  <c r="D1278" i="4"/>
  <c r="D1277" i="4"/>
  <c r="D1276" i="4"/>
  <c r="D1275" i="4"/>
  <c r="D1274" i="4"/>
  <c r="D1273" i="4"/>
  <c r="D1272" i="4"/>
  <c r="D1271" i="4"/>
  <c r="D1270" i="4"/>
  <c r="D1269" i="4"/>
  <c r="D1268" i="4"/>
  <c r="D1267" i="4"/>
  <c r="D1266" i="4"/>
  <c r="D1265" i="4"/>
  <c r="D1264" i="4"/>
  <c r="D1263" i="4"/>
  <c r="D1262" i="4"/>
  <c r="D1261" i="4"/>
  <c r="D1260" i="4"/>
  <c r="D1259" i="4"/>
  <c r="D1258" i="4"/>
  <c r="D1257" i="4"/>
  <c r="D1256" i="4"/>
  <c r="D1255" i="4"/>
  <c r="D1254" i="4"/>
  <c r="D1253" i="4"/>
  <c r="D1252" i="4"/>
  <c r="D1251" i="4"/>
  <c r="D1250" i="4"/>
  <c r="D1249" i="4"/>
  <c r="D1248" i="4"/>
  <c r="D1247" i="4"/>
  <c r="D1246" i="4"/>
  <c r="D1245" i="4"/>
  <c r="D1244" i="4"/>
  <c r="D1243" i="4"/>
  <c r="D1242" i="4"/>
  <c r="D1241" i="4"/>
  <c r="D1240" i="4"/>
  <c r="D1239" i="4"/>
  <c r="D1238" i="4"/>
  <c r="D1237" i="4"/>
  <c r="D1236" i="4"/>
  <c r="D1235" i="4"/>
  <c r="D1234" i="4"/>
  <c r="D1233" i="4"/>
  <c r="D1232" i="4"/>
  <c r="D1231" i="4"/>
  <c r="D1230" i="4"/>
  <c r="D1229" i="4"/>
  <c r="D1413" i="4"/>
  <c r="D1412" i="4"/>
  <c r="D1411" i="4"/>
  <c r="D1410" i="4"/>
  <c r="D1409" i="4"/>
  <c r="D1408" i="4"/>
  <c r="D1407" i="4"/>
  <c r="D1406" i="4"/>
  <c r="D1405" i="4"/>
  <c r="D1404" i="4"/>
  <c r="D1403" i="4"/>
  <c r="D1402" i="4"/>
  <c r="D1401" i="4"/>
  <c r="D1400" i="4"/>
  <c r="D1399" i="4"/>
  <c r="D1398" i="4"/>
  <c r="D1397" i="4"/>
  <c r="D1396" i="4"/>
  <c r="D1395" i="4"/>
  <c r="D1394" i="4"/>
  <c r="D1393" i="4"/>
  <c r="D1392" i="4"/>
  <c r="D1391" i="4"/>
  <c r="D1390" i="4"/>
  <c r="D1389" i="4"/>
  <c r="D1388" i="4"/>
  <c r="D1387" i="4"/>
  <c r="D1386" i="4"/>
  <c r="D1385" i="4"/>
  <c r="D1384" i="4"/>
  <c r="D1383" i="4"/>
  <c r="D1382" i="4"/>
  <c r="D1381" i="4"/>
  <c r="D1380" i="4"/>
  <c r="D1379" i="4"/>
  <c r="D1378" i="4"/>
  <c r="D1377" i="4"/>
  <c r="D1376" i="4"/>
  <c r="D1375" i="4"/>
  <c r="D1374" i="4"/>
  <c r="D1373" i="4"/>
  <c r="D1372" i="4"/>
  <c r="D1371" i="4"/>
  <c r="D1370" i="4"/>
  <c r="D1369" i="4"/>
  <c r="D1368" i="4"/>
  <c r="D1367" i="4"/>
  <c r="D1366" i="4"/>
  <c r="D1365" i="4"/>
  <c r="D1364" i="4"/>
  <c r="D1363" i="4"/>
  <c r="D1362" i="4"/>
  <c r="D1361" i="4"/>
  <c r="D1360" i="4"/>
  <c r="D1359" i="4"/>
  <c r="D1358" i="4"/>
  <c r="D1357" i="4"/>
  <c r="D1356" i="4"/>
  <c r="D1355" i="4"/>
  <c r="D1354" i="4"/>
  <c r="D1353" i="4"/>
  <c r="D1352" i="4"/>
  <c r="D1351" i="4"/>
  <c r="D1350" i="4"/>
  <c r="D1349" i="4"/>
  <c r="D1348" i="4"/>
  <c r="D1347" i="4"/>
  <c r="D1346" i="4"/>
  <c r="D1345" i="4"/>
  <c r="D1344" i="4"/>
  <c r="D1343" i="4"/>
  <c r="D1342" i="4"/>
  <c r="D1341" i="4"/>
  <c r="D1340" i="4"/>
  <c r="D1339" i="4"/>
  <c r="D1338" i="4"/>
  <c r="D1337" i="4"/>
  <c r="D1336" i="4"/>
  <c r="D1335" i="4"/>
  <c r="D1334" i="4"/>
</calcChain>
</file>

<file path=xl/sharedStrings.xml><?xml version="1.0" encoding="utf-8"?>
<sst xmlns="http://schemas.openxmlformats.org/spreadsheetml/2006/main" count="9262" uniqueCount="1862">
  <si>
    <t>Country</t>
  </si>
  <si>
    <t>Area</t>
  </si>
  <si>
    <t>URL</t>
  </si>
  <si>
    <t>Brand</t>
  </si>
  <si>
    <t>Group</t>
  </si>
  <si>
    <t>Update Date</t>
  </si>
  <si>
    <t>Release Month</t>
  </si>
  <si>
    <t>Updates (Double-click on a cell to read the entire note.)</t>
  </si>
  <si>
    <t>*Please copy the URL if hyperlinks for detailed plant information are not working.</t>
  </si>
  <si>
    <t>OEM Location Name</t>
  </si>
  <si>
    <t>Province</t>
  </si>
  <si>
    <t>USA</t>
    <phoneticPr fontId="1"/>
  </si>
  <si>
    <t>GM</t>
    <phoneticPr fontId="1"/>
  </si>
  <si>
    <t>Others</t>
    <phoneticPr fontId="1"/>
  </si>
  <si>
    <t>Russia</t>
    <phoneticPr fontId="1"/>
  </si>
  <si>
    <t>Honda</t>
    <phoneticPr fontId="1"/>
  </si>
  <si>
    <t>North America</t>
    <phoneticPr fontId="1"/>
  </si>
  <si>
    <t>West Europe</t>
    <phoneticPr fontId="1"/>
  </si>
  <si>
    <t>East Europe/Russia, CIS</t>
    <phoneticPr fontId="1"/>
  </si>
  <si>
    <t>Chevrolet</t>
    <phoneticPr fontId="1"/>
  </si>
  <si>
    <t>East Asia</t>
    <phoneticPr fontId="1"/>
  </si>
  <si>
    <t>Germany</t>
    <phoneticPr fontId="1"/>
  </si>
  <si>
    <t>Toyota</t>
    <phoneticPr fontId="1"/>
  </si>
  <si>
    <t>Japan</t>
    <phoneticPr fontId="1"/>
  </si>
  <si>
    <t>Ford</t>
    <phoneticPr fontId="1"/>
  </si>
  <si>
    <t>South Asia/Oceania</t>
    <phoneticPr fontId="1"/>
  </si>
  <si>
    <t>India</t>
    <phoneticPr fontId="1"/>
  </si>
  <si>
    <t>China</t>
    <phoneticPr fontId="1"/>
  </si>
  <si>
    <t>Daimler Truck</t>
    <phoneticPr fontId="1"/>
  </si>
  <si>
    <t>Chongqing</t>
  </si>
  <si>
    <t>Poland</t>
    <phoneticPr fontId="1"/>
  </si>
  <si>
    <t>BMW</t>
    <phoneticPr fontId="1"/>
  </si>
  <si>
    <t>France</t>
    <phoneticPr fontId="1"/>
  </si>
  <si>
    <t>VW</t>
    <phoneticPr fontId="1"/>
  </si>
  <si>
    <t>Southeast Asia</t>
    <phoneticPr fontId="1"/>
  </si>
  <si>
    <t>Suzuki</t>
    <phoneticPr fontId="1"/>
  </si>
  <si>
    <t>Great Wall</t>
    <phoneticPr fontId="1"/>
  </si>
  <si>
    <t>Rivian</t>
    <phoneticPr fontId="1"/>
  </si>
  <si>
    <t>https://www.marklines.com/en/global/3153</t>
    <phoneticPr fontId="1"/>
  </si>
  <si>
    <t>Illinois</t>
  </si>
  <si>
    <t>Michigan</t>
  </si>
  <si>
    <t>Mercedes-Benz Group</t>
    <phoneticPr fontId="1"/>
  </si>
  <si>
    <t>Mercedes-Benz</t>
    <phoneticPr fontId="1"/>
  </si>
  <si>
    <t>Hyundai</t>
    <phoneticPr fontId="1"/>
  </si>
  <si>
    <t>Volkswagen</t>
    <phoneticPr fontId="1"/>
  </si>
  <si>
    <t>Stellantis</t>
    <phoneticPr fontId="1"/>
  </si>
  <si>
    <t>Italy</t>
    <phoneticPr fontId="1"/>
  </si>
  <si>
    <t>UK</t>
    <phoneticPr fontId="1"/>
  </si>
  <si>
    <t>MAN (TRATON)</t>
    <phoneticPr fontId="1"/>
  </si>
  <si>
    <t>Fiat</t>
    <phoneticPr fontId="1"/>
  </si>
  <si>
    <t>Sweden</t>
    <phoneticPr fontId="1"/>
  </si>
  <si>
    <t>Alexander Dennis</t>
    <phoneticPr fontId="1"/>
  </si>
  <si>
    <t>AvtoVAZ</t>
    <phoneticPr fontId="1"/>
  </si>
  <si>
    <t>Lada</t>
    <phoneticPr fontId="1"/>
  </si>
  <si>
    <t>https://www.marklines.com/en/global/675</t>
    <phoneticPr fontId="1"/>
  </si>
  <si>
    <t>Slovakia</t>
    <phoneticPr fontId="1"/>
  </si>
  <si>
    <t>Nissan</t>
    <phoneticPr fontId="1"/>
  </si>
  <si>
    <t>https://www.marklines.com/en/global/1809</t>
    <phoneticPr fontId="1"/>
  </si>
  <si>
    <t>Austria</t>
    <phoneticPr fontId="1"/>
  </si>
  <si>
    <t>Valmet</t>
    <phoneticPr fontId="1"/>
  </si>
  <si>
    <t>Ibaraki</t>
  </si>
  <si>
    <t>Aichi</t>
  </si>
  <si>
    <t>Spain</t>
    <phoneticPr fontId="1"/>
  </si>
  <si>
    <t>Audi</t>
    <phoneticPr fontId="1"/>
  </si>
  <si>
    <t>Kanagawa</t>
  </si>
  <si>
    <t>Stellantis (US)</t>
    <phoneticPr fontId="1"/>
  </si>
  <si>
    <t>Jeep</t>
    <phoneticPr fontId="1"/>
  </si>
  <si>
    <t>https://www.marklines.com/en/global/2271</t>
    <phoneticPr fontId="1"/>
  </si>
  <si>
    <t>Tank</t>
    <phoneticPr fontId="1"/>
  </si>
  <si>
    <t>Africa</t>
    <phoneticPr fontId="1"/>
  </si>
  <si>
    <t>South Africa</t>
    <phoneticPr fontId="1"/>
  </si>
  <si>
    <t>Thailand</t>
    <phoneticPr fontId="1"/>
  </si>
  <si>
    <t>Rayong</t>
  </si>
  <si>
    <t>Fuso</t>
    <phoneticPr fontId="1"/>
  </si>
  <si>
    <t>https://www.marklines.com/en/global/1995</t>
    <phoneticPr fontId="1"/>
  </si>
  <si>
    <t>https://www.marklines.com/en/global/581</t>
    <phoneticPr fontId="1"/>
  </si>
  <si>
    <t>https://www.marklines.com/en/global/2145</t>
    <phoneticPr fontId="1"/>
  </si>
  <si>
    <t>Fisker</t>
    <phoneticPr fontId="1"/>
  </si>
  <si>
    <t>https://www.marklines.com/en/global/1325</t>
    <phoneticPr fontId="1"/>
  </si>
  <si>
    <t>Korea</t>
    <phoneticPr fontId="1"/>
  </si>
  <si>
    <t>Skoda</t>
    <phoneticPr fontId="1"/>
  </si>
  <si>
    <t>Czech Republic</t>
    <phoneticPr fontId="1"/>
  </si>
  <si>
    <t>Pakistan</t>
    <phoneticPr fontId="1"/>
  </si>
  <si>
    <t>Volvo</t>
    <phoneticPr fontId="1"/>
  </si>
  <si>
    <t>Mack Trucks</t>
    <phoneticPr fontId="1"/>
  </si>
  <si>
    <t>https://www.marklines.com/en/global/10303</t>
    <phoneticPr fontId="1"/>
  </si>
  <si>
    <t>Virginia</t>
  </si>
  <si>
    <t>Indonesia</t>
    <phoneticPr fontId="1"/>
  </si>
  <si>
    <t>Hino</t>
    <phoneticPr fontId="1"/>
  </si>
  <si>
    <t>https://www.marklines.com/en/global/3233</t>
    <phoneticPr fontId="1"/>
  </si>
  <si>
    <t>Kentucky</t>
  </si>
  <si>
    <t>Mexico</t>
    <phoneticPr fontId="1"/>
  </si>
  <si>
    <t>https://www.marklines.com/en/global/9602</t>
    <phoneticPr fontId="1"/>
  </si>
  <si>
    <t>Sollers</t>
    <phoneticPr fontId="1"/>
  </si>
  <si>
    <t>https://www.marklines.com/en/global/687</t>
    <phoneticPr fontId="1"/>
  </si>
  <si>
    <t>https://www.marklines.com/en/global/799</t>
    <phoneticPr fontId="1"/>
  </si>
  <si>
    <t>Mercedes-Benz Truck</t>
    <phoneticPr fontId="1"/>
  </si>
  <si>
    <t>https://www.marklines.com/en/global/2243</t>
    <phoneticPr fontId="1"/>
  </si>
  <si>
    <t>VinFast</t>
    <phoneticPr fontId="1"/>
  </si>
  <si>
    <t>Vinfast</t>
    <phoneticPr fontId="1"/>
  </si>
  <si>
    <t>Chachoengsao</t>
  </si>
  <si>
    <t>Ohio</t>
  </si>
  <si>
    <t>https://www.marklines.com/en/global/757</t>
    <phoneticPr fontId="1"/>
  </si>
  <si>
    <t>https://www.marklines.com/en/global/10650</t>
    <phoneticPr fontId="1"/>
  </si>
  <si>
    <t>Isuzu</t>
    <phoneticPr fontId="1"/>
  </si>
  <si>
    <t>https://www.marklines.com/en/global/729</t>
    <phoneticPr fontId="1"/>
  </si>
  <si>
    <t>Middle East</t>
    <phoneticPr fontId="1"/>
  </si>
  <si>
    <t>Turkey</t>
    <phoneticPr fontId="1"/>
  </si>
  <si>
    <t>https://www.marklines.com/en/global/1426</t>
    <phoneticPr fontId="1"/>
  </si>
  <si>
    <t>https://www.marklines.com/en/global/1771</t>
    <phoneticPr fontId="1"/>
  </si>
  <si>
    <t>Vietnam</t>
    <phoneticPr fontId="1"/>
  </si>
  <si>
    <t>Tata Motors</t>
    <phoneticPr fontId="1"/>
  </si>
  <si>
    <t>Tata</t>
    <phoneticPr fontId="1"/>
  </si>
  <si>
    <t>Maharashtra</t>
  </si>
  <si>
    <t>Subaru</t>
    <phoneticPr fontId="1"/>
  </si>
  <si>
    <t>Taiwan</t>
    <phoneticPr fontId="1"/>
  </si>
  <si>
    <t>https://www.marklines.com/en/global/2213</t>
    <phoneticPr fontId="1"/>
  </si>
  <si>
    <t>Seres</t>
    <phoneticPr fontId="1"/>
  </si>
  <si>
    <t>DFSK</t>
    <phoneticPr fontId="1"/>
  </si>
  <si>
    <t>Lancia</t>
    <phoneticPr fontId="1"/>
  </si>
  <si>
    <t>Opel</t>
    <phoneticPr fontId="1"/>
  </si>
  <si>
    <t>https://www.marklines.com/en/global/10472</t>
    <phoneticPr fontId="1"/>
  </si>
  <si>
    <t>Lincoln</t>
    <phoneticPr fontId="1"/>
  </si>
  <si>
    <t>https://www.marklines.com/en/global/55</t>
    <phoneticPr fontId="1"/>
  </si>
  <si>
    <t>https://www.marklines.com/en/global/1161</t>
    <phoneticPr fontId="1"/>
  </si>
  <si>
    <t>https://www.marklines.com/en/global/381</t>
    <phoneticPr fontId="1"/>
  </si>
  <si>
    <t>Tokyo</t>
  </si>
  <si>
    <t>Gunma</t>
  </si>
  <si>
    <t>https://www.marklines.com/en/global/10409</t>
    <phoneticPr fontId="1"/>
  </si>
  <si>
    <t>https://www.marklines.com/en/global/911</t>
    <phoneticPr fontId="1"/>
  </si>
  <si>
    <t>https://www.marklines.com/en/global/2089</t>
    <phoneticPr fontId="1"/>
  </si>
  <si>
    <t>Porsche</t>
    <phoneticPr fontId="1"/>
  </si>
  <si>
    <t>Hungary</t>
    <phoneticPr fontId="1"/>
  </si>
  <si>
    <t>https://www.marklines.com/en/global/2261</t>
    <phoneticPr fontId="1"/>
  </si>
  <si>
    <t>https://www.marklines.com/en/global/553</t>
    <phoneticPr fontId="1"/>
  </si>
  <si>
    <t>https://www.marklines.com/en/global/2277</t>
    <phoneticPr fontId="1"/>
  </si>
  <si>
    <t>https://www.marklines.com/en/global/2165</t>
    <phoneticPr fontId="1"/>
  </si>
  <si>
    <t>https://www.marklines.com/en/global/2569</t>
    <phoneticPr fontId="1"/>
  </si>
  <si>
    <t>https://www.marklines.com/en/global/529</t>
    <phoneticPr fontId="1"/>
  </si>
  <si>
    <t>https://www.marklines.com/en/global/1679</t>
    <phoneticPr fontId="1"/>
  </si>
  <si>
    <t>https://www.marklines.com/en/global/2709</t>
    <phoneticPr fontId="1"/>
  </si>
  <si>
    <t>https://www.marklines.com/en/global/2595</t>
    <phoneticPr fontId="1"/>
  </si>
  <si>
    <t>On October 6, Umicore and Volkswagen Group-backed battery company PowerCo announced the name and branding of their joint venture (JV). The Brussels-headquartered JV for the production of CAM (cathode active materials) and precursors (pCAM) in Europe will bear the name IONWAY.  IONWAY is designed to supply PowerCo's European battery cell factories with key battery materials and cover a large part of PowerCo's EU demand while providing Umicore with secured access to an important part of the European demand for EV cathode materials. Both parents aim to grow IONWAY's annual production capacity to 160 GWh by the end of the decade.</t>
    <phoneticPr fontId="1"/>
  </si>
  <si>
    <t>https://www.marklines.com/en/global/2749</t>
    <phoneticPr fontId="1"/>
  </si>
  <si>
    <t>Finland</t>
    <phoneticPr fontId="1"/>
  </si>
  <si>
    <t>On October 5, Valmet Automotive started the Mercedes-AMG GT 4-Door Coupé series production at its Uusikaupunki plant in Finland. The production process of Mercedes-AMG will employ around 200 people at the location. Preparations for the Mercedes-AMG production include modifications to the former Mercedes-Benz GLC body shop and a completely new assembly line. Valmet Automotive has manufactured more than 750,000 Mercedes-Benz vehicles since 2013. Valmet also manufactures batteries for Mercedes-Benz.</t>
    <phoneticPr fontId="1"/>
  </si>
  <si>
    <t>On October 5, Ford Europe announced that its agreement with a potential investor to take over its Saarlouis plant had failed. The investor decided not to go ahead with the project following a rigorous due diligence process and negotiation, which also included the Saarland Government. Ford will continue to pursue an alternative plan and will maintain and create 1,000 Ford positions at its Saarlouis plant, which will serve as the foundation for a future technology center in Saarlouis with the potential to develop the plant and attract other, smaller investors.</t>
    <phoneticPr fontId="1"/>
  </si>
  <si>
    <t>KAMA</t>
    <phoneticPr fontId="1"/>
  </si>
  <si>
    <t>On October 5, the IBS group of companies announced that it is actively involved in the development of the Atom electric taxi product line. The main device for which the application is being developed is a tablet on the steering wheel of the Atom electric car. The taxi product line for Atom began in August 2022. By the end of this year, it is planned to complete work on a prototype of the product line. Modern functionality will allow ATOM to be presented in 4 modifications: a 5-seater "Fameli" version, as well as delivery versions, and a two-seat coupe version called "Duo". The taxi software will become part of the ATOM OS ecosystem, which is being created for ATOM electric vehicles.</t>
    <phoneticPr fontId="1"/>
  </si>
  <si>
    <t>On October 5, Motorinvest LLC announced that at present, its product line is represented by the i-PRO sedan, the i-JOY urban crossover, and i-SKY crossover. By the end of 2023, the EVOLUTE lineup will be complemented by two more new products, the i-VAN electric van and the i-JET premium sports crossover.</t>
    <phoneticPr fontId="1"/>
  </si>
  <si>
    <t>On October 5, Toyota Motor Thailand officially held the press conference to introduce the all-new Toyota Yaris Cross hybrid SUV, which is made at Toyota Gateway Plant in Chachoengsao. This project significantly contributes to the Thai economy and the automotive industry sector, creating over THB 3.3 billion. It is powered by a 2NR-VEX 1.5-liter Inline 4-cylinder 16-valve DOHC Dual VVT-i hybrid engine, combined with a lithium-ion battery and an e-CVT transmission, delivering a total system output of 111 PS. Priced from THB 789,000, the 3 variants are HEV Smart, HEV Premium, and HEV Premium Luxury.</t>
    <phoneticPr fontId="1"/>
  </si>
  <si>
    <t>https://www.marklines.com/en/global/10685</t>
    <phoneticPr fontId="1"/>
  </si>
  <si>
    <t>On October 5, Alexander Dennis announced that it had leased a new warehouse capacity located near its existing Scarborough bus and coach manufacturing facility in England from Eshton Group, a Yorkshire-based commercial property developer. The new warehouse will help in the rationalization of all logistics, freeing up space to restructure production arrangements and increase capacity to meet the growing demand for Alexander Dennis buses and Plaxton coaches. The improvements in Scarborough are part of an investment program in Alexander Dennis's production capabilities in the UK, which is also seeing two new production lines for its next generation of zero-emission buses at its headquarters in Larbert, Scotland.</t>
    <phoneticPr fontId="1"/>
  </si>
  <si>
    <t>https://www.marklines.com/en/global/2567</t>
    <phoneticPr fontId="1"/>
  </si>
  <si>
    <t>On October 4, Ford Motor Co. confirmed that it has been notifying approximately 400 workers at Livonia Transmission and Sterling Axle Plant. The new layoffs, which are related to the Ford Explorer and Lincoln Aviator built at the Chicago Assembly Plant that is on strike, added to 930 layoffs at other facilities, brings Ford's total to approximately 1,330 employees impacted by strike-related layoffs. At the Michigan Assembly Plant, 4,626 workers are on strike or laid off. Chicago Stamping Plant has 1,044 employees on strike or laid off. Lima Engine Plant has1,493 employees on strike or laid off.</t>
    <phoneticPr fontId="1"/>
  </si>
  <si>
    <t>https://www.marklines.com/en/global/2575</t>
    <phoneticPr fontId="1"/>
  </si>
  <si>
    <t>https://www.marklines.com/en/global/2587</t>
    <phoneticPr fontId="1"/>
  </si>
  <si>
    <t>https://www.marklines.com/en/global/2597</t>
    <phoneticPr fontId="1"/>
  </si>
  <si>
    <t>On October 3, Anadolu Isuzu announced that it had delivered new vehicles to Shtip Municipality in North Macedonia. The new delivery included Citiport 12m Diesel, Citibus AT, NovoCiti, and NOVO model vehicles. The new vehicles will provide a different dimension to passenger transportation, which will help institutions reduce their investment and operating costs. Isuzu's Novo, Novo Ultra, Citiport, NovoCiti, Citiport, and Citibus AT series vehicles come with durable and high-performance engines, advanced comfort, safety features, as well as high agility and maneuverability.</t>
    <phoneticPr fontId="1"/>
  </si>
  <si>
    <t>https://www.marklines.com/en/global/10046</t>
    <phoneticPr fontId="1"/>
  </si>
  <si>
    <t>On October 3, Nissan Motor Co., Ltd. (Nissan) showed members of the media its new design presentation hall at its Global Design Center in Atsugi, Kanagawa Prefecture. The facility uses an ultra-wide 24 K curved screen, full-color ceiling screen, remote lighting, and 7.1-channel sound to reproduce digitally created models and various environments on the screen. For verification purposes, models can be lined up across the screen and subtle design differences and colors can be closely compared. In addition, the ability to quickly switch model positions and angles in real time allows for faster decision making. Acting as a creative hub, the new facility is accessible online from anywhere.  </t>
    <phoneticPr fontId="1"/>
  </si>
  <si>
    <t>Mitsubishi Fuso Truck and Bus Corporation (MFTBC) announced on October 2 that it has received the first customer order in the Taiwanese market for the new all-electric eCanter truck, through Daimler Truck Asia Taiwan Ltd. (DTAT), MFTBC’s local joint venture and official distributor. President Transnet Corporation is the company that is first in Taiwan to commit to the eCanter in advance of its official 2024 launch. President Transnet, founded in 2000, is currently one of Taiwan’s leading logistics companies. As the eCanter will be the first electric truck to be introduced into its business, President Transnet will conduct trial operations with a 5-ton eCanter in Taipei.</t>
    <phoneticPr fontId="1"/>
  </si>
  <si>
    <t>https://www.marklines.com/en/global/1793</t>
    <phoneticPr fontId="1"/>
  </si>
  <si>
    <t>On September 28, Magyar Suzuki rolled off the 500,000th S-Cross from its production line in Esztergom, Hungary. The 500,000th S-Cross hybrid was equipped with an automatic transmission. Hungarian Suzuki has only been selling S-Cross with a hybrid drive to European markets, since 2020.</t>
    <phoneticPr fontId="1"/>
  </si>
  <si>
    <t>https://www.marklines.com/en/global/31</t>
    <phoneticPr fontId="1"/>
  </si>
  <si>
    <t>Hotai Motor Co., Ltd., the distributor of Toyota brand vehicles in Taiwan, launched the Yaris Cross, a compact SUV, on September 28. The new model uses Daihatsu Motor Co., Ltd.'s DNGA platform and is priced between TWD 710,000 and 820,000. The vehicles will be produced at Kuozui Motors, Ltd.'s Chungli Plant. The overall length of the Yaris Cross is 4,310mm, and it has a large capacity (458L) cargo space. The powertrain is a 1.5L Dual VVT-i engine (maximum output: 106ps/peak torque: 14.1kgm), combined with a 7-speed CVT with manual mode. The average fuel economy is 17.5km/L. The minimum turning radius is 5.2m, making it easy to turn around in urban areas. It is also equipped with six SRS airbags and Toyota Safety Sense, a package of preventive safety features, as standard equipment.</t>
    <phoneticPr fontId="1"/>
  </si>
  <si>
    <t>https://www.marklines.com/en/global/9932</t>
    <phoneticPr fontId="1"/>
  </si>
  <si>
    <t>On September 28, Hitachi Astemo, Ltd. announced postponement of a change in capital structure including capital participation of JIC Capital, Ltd. Since not all countries’ procedures and measures for approvals regarding the transaction have been completed, the scheduled closing date of the transaction was changed from September 2023 to during the third quarter of the fiscal year ending March 31, 2024. The current capital structure for Hitachi Astemo will be changed from Hitachi, Ltd. 66.6% and Honda Motor Co., Ltd. 33.4% to Hitachi 40.0%, Honda 40.0%, and JICC-01 Limited Partnership managed by JICC-01 G.K., which is a wholly owned subsidiary of JIC Capital, Ltd., 20.0%. For this change in the capital structure, Honda plans to transfer all of its common shares of Hitachi Astemo Electric Motor Systems, Ltd. (Hitachi Astemo EMS) to Hitachi Astemo, and in exchange Honda will acquire common shares of Hitachi Astemo which will be newly issued. As a result, Hitachi Astemo EMS will become a wholly-owned subsidiary of Hitachi Astemo.</t>
    <phoneticPr fontId="1"/>
  </si>
  <si>
    <t>https://www.marklines.com/en/global/565</t>
    <phoneticPr fontId="1"/>
  </si>
  <si>
    <t>On September 28, Hino Motors, Ltd. (Hino) signed a real estate purchase agreement with Mitsui Fudosan Co., Ltd. for part of the site of the Hino Plant. The date of delivery of the property was also the 28th, and the gain from the transfer is approximately JPY 50 billion. Hino will record an extraordinary gain in its financial statements for the second quarter of the fiscal year ending March 31, 2024. The area of the transferred property is 114,000 square meters, which is approximately one-quarter of the total site including Hino’s headquarters and the Hino Plant. The site had been used to manufacture dies and perform press processing of cab parts for heavy- and medium-duty trucks, which will be gradually transferred to other plants and to facilities in the remaining site area of the Hino Plant. Mitsui Fudosan plans to use the site as a data center. The Hino plant will continue to manufacture differential assemblies and other parts for heavy- and medium-duty trucks and buses.</t>
    <phoneticPr fontId="1"/>
  </si>
  <si>
    <t>On October 4, Volvo Defense, a vehicle and power systems provider based on the Volvo branded trucks, signed a 7-year framework agreement with the Estonian Centre for Defence Investments and the Ministry of Defence of the Republic of Latvia for the delivery of logistic trucks. Volvo is one out of two suppliers that combined will deliver up to 3,000 vehicles, representing a total value of EUR 440 million. The Volvo vehicles will have five truck configurations based on Volvo Trucks' robust FMX model, which will be produced in Volvo Trucks' Tuve assembly plant in Gothenburg.</t>
    <phoneticPr fontId="1"/>
  </si>
  <si>
    <t>https://www.marklines.com/en/global/625</t>
    <phoneticPr fontId="1"/>
  </si>
  <si>
    <t>On October 4, MAN Truck &amp; Bus delivered its first all-electric complete bus, the Lion's Explorer E, in Cape Town, South Africa. The vehicle, based on the new Lion's Chassis E, will enter series production in 2024. The first Lion's Explorer E was handed over to Golden Arrow Bus Services (GABS), which plans to use it for testing in Cape Town and gradually transition its diesel bus fleet to electric. The company not only supplied the chassis but also customized the body to meet GABS' requirements at the MAN Bus plant in Olifantsfontein, South Africa. The electric high-floor chassis assembly was carried out in collaboration with the local MAN site in Pinetown. Lion's Explorer E, is equipped with four 80 kWh battery packs, totaling 320 kWh capacity, and a 240 kW electric motor. More "demo buses" based on the Lion's Chassis E will be delivered in non-European markets in the coming months, with series production planned to begin in 2024 at MAN's plant in Starachowice, Poland.</t>
    <phoneticPr fontId="1"/>
  </si>
  <si>
    <t>https://www.marklines.com/en/global/627</t>
    <phoneticPr fontId="1"/>
  </si>
  <si>
    <t>On October 4, Avtovaz announced that it continues to increase the pace of production of new cars. From September 2023, all three production lines in Togliatti have been transferred to maximum operating speed. The current production volume allows it to meet market demand and keep dealership warehouses full. 118 thousand cars were produced in the third quarter of 2023, which is 1.7 times higher than production volumes in the second quarter.</t>
    <phoneticPr fontId="1"/>
  </si>
  <si>
    <t>On October 4, LG Energy Solution and Toyota Motor North America announced they have signed a supply agreement for lithium-ion battery modules at an annual capacity of 20 GWh starting from 2025 to be used in battery electric vehicles assembled at Toyota Motor Manufacturing Kentucky.The high-nickel NCMA (nickel, cobalt, manganese, aluminum) pouch-type battery cells will be manufactured in LG Energy Solution’s Michigan facility. LGES will invest KRW 4 trillion (USD 3 billion) in its Michigan facility to establish new production lines for battery cells and modules exclusively for Toyota, with completion slated for 2025. </t>
    <phoneticPr fontId="1"/>
  </si>
  <si>
    <t>https://www.marklines.com/en/global/1743</t>
    <phoneticPr fontId="1"/>
  </si>
  <si>
    <t>On October 3, Škoda Auto announced that it has reached a milestone by producing its five millionth DQ200 seven-speed automatic transmission since transmission production began in Vrchlabí in 2012. To meet high demand, production operates 7 days a week in a 20-shift mode, with an annual capacity of up to 690,000 transmissions.</t>
    <phoneticPr fontId="1"/>
  </si>
  <si>
    <t>On October 3, the Italian Metalworkers Federation (FIM-CISL) announced that Stellantis held a meeting with trade unions to discuss the future of the Melfi plant. Stellantis outlined the production schedule as per the agreement signed on July 12, 2023. The production of electric vehicles will commence: in the first quarter of 2024, and the first DS brand vehicle production will start at the Melfi pilot. In 2025, two more vehicles, one under the Jeep brand and another DS, will begin production. Then in 2026, the last two electric vehicles i.e., Lancia Gamma and Opel Manta, will go into production. All these five models will be based on the STLA Medium platform designed for electric vehicles. Stellantis will also establish a new battery assembly line alongside the new model launches. Jeep Compass will be produced in the latest hybrid version to align with the electric market. The schedule for existing models is: the 500X production will end in 2024, and the Jeep Renegade will follow by the end of 2025.</t>
    <phoneticPr fontId="1"/>
  </si>
  <si>
    <t>DS</t>
    <phoneticPr fontId="1"/>
  </si>
  <si>
    <t>https://www.marklines.com/en/global/9509</t>
    <phoneticPr fontId="1"/>
  </si>
  <si>
    <t>On September 28, Dürr announced that it has commissioned a new paint shop for new energy vehicle manufacturer SERES for its plant in Liangjiang in southwestern China. Just nine months after receiving the contract, Dürr installed the plant and exhaust air purification technology as well as the software. The new paint shop in the Liangjiang plant in Chongqing can complete 60 jobs per hour. Dürr uses RoDip M mechanical rotational process which is well known for conserving energy and resources during the pretreatment and cathodic electrocoating of vehicle bodies. Exhaust air from the paint booths undergoes further purification using a highly efficient VOC concentration system in combination with the downstream Oxi.X TR TAR recuperative thermal oxidizer. This results in up to 15% reduction in energy consumption.</t>
    <phoneticPr fontId="1"/>
  </si>
  <si>
    <t>https://www.marklines.com/en/global/9592</t>
    <phoneticPr fontId="1"/>
  </si>
  <si>
    <t>On October 3, Hyundai Nishat Pakistan launched the Santa Fe Hybrid Electric Vehicle (HEV) for a starting price of PKR 12.99 million and going till PKR 14.69 million. It comes with a Euro 5 compliant 1.6 T-GDi HEV In-Line 4-cylinder gasoline engine that produces max power of 132 kW at 5,500 rpm and max torque of 265 Nm at 1500-4500 rpm.</t>
    <phoneticPr fontId="1"/>
  </si>
  <si>
    <t>https://www.marklines.com/en/global/273</t>
    <phoneticPr fontId="1"/>
  </si>
  <si>
    <t>Effective on October 2, operations of PT Mercedes-Benz Indonesia (manufacturer of Mercedes-Benz passenger cars) and PT Mercedes-Benz Distribution Indonesia (the CBU importer and the wholesale distributor of Mercedes-Benz passenger cars) have been transferred to Inchcape Indonesia. Production activity at Wanaherang, Bogor plant will continue uninterrupted. The operations will be managed by Inchcape in joint venture with local partner PT Indomobil Sukses Internasional Tbk (Indomobil), owning a 70% share and a 30% share, respectively.</t>
    <phoneticPr fontId="1"/>
  </si>
  <si>
    <t>On October 2, multiple sources reported that the employee union of General Motors India (GMEU) which includes over 1,000 workers have begun an indefinite hunger strike. The union has demanded transfer of all its workers to Hyundai Motors which were not the part of the asset purchase agreement between General Motors and Hyundai India. The GMEU has also appealed to the Maharashtra government seeking its intervention to ensure their employment.</t>
    <phoneticPr fontId="1"/>
  </si>
  <si>
    <t>On October 2, Ford announced that the strike at the Chicago Assembly Plant, which builds the Ford Explorer and Lincoln Aviator, has led to 330 employees being laid off at the Chicago Stamping Plant and Lima Engine Plant that makes parts for the two SUVs. The 330 layoffs are in addition to 600 laid off from the Michigan Assembly Plant, bringing Ford’s total to 930 employees affected by strike-related layoffs.</t>
    <phoneticPr fontId="1"/>
  </si>
  <si>
    <t>On September 29, Volkswagen Slovakia announced that its Bratislava plant is expanding and renovating its production facilities in preparation for new models. The press shop, celebrating its 10th anniversary and is undergoing expansion, marking the production of its 40 millionth volume. The main press has made over 22 million strokes, resulting in 40 million round parts. As part of new projects, logistics areas are expanding by an additional 21,000 square meters.</t>
    <phoneticPr fontId="1"/>
  </si>
  <si>
    <t>On September 29, Volkswagen Group announced plans of its Germany plants through 2028 which were presented to the Supervisory Board, focusing on profitable capacity utilization and increased productivity under the "Accelerate forward | Road to 6.5" performance program. The Wolfsburg plant will produce a second electric model alongside the ID.3, with a new all-electric SUV for the A segment starting in 2026. It will also continue producing the Golf and the new Tiguan generation, including the Tiguan Allspace successor from 2025. Rather than building a new plant in Wolfsburg Warmenau, the plan is to integrate new electric models based on the SSP architecture into existing structures at the main plant. The iconic Golf will transition to electric under the SSP platform. The Trinity vehicle project originally planned for Wolfsburg will move to the Zwickau plant. Osnabrück plant will continue its partnership with Porsche while producing Arteon and T-Roc convertible alongside other locations of the Volkswagen brand.</t>
    <phoneticPr fontId="1"/>
  </si>
  <si>
    <t>https://www.marklines.com/en/global/10547</t>
    <phoneticPr fontId="1"/>
  </si>
  <si>
    <t>On October 3, Sollers PJSC announced that its subsidiary Sollers Transmission Production LLC, will receive a RUB 564 million preferential loan from the Industrial Development Fund to localize the production of a 6-speed manual transmission at the industrial site of the Zavolzhsky Motor Plant. The funds will be used to purchase equipment for a gearbox assembly shop, a line for machining manual transmission body parts, as well as serial foundry equipment. It will create 100 jobs. It will launch serial production of manual transmissions in the second quarter of 2024. The total production volume of the project will be 7 thousand pieces in 2024 with a subsequent increase to 50 thousand pieces per year. Light commercial vehicles and pickup trucks from Sollers and UAZ brand vehicles will receive new manual transmissions.</t>
    <phoneticPr fontId="1"/>
  </si>
  <si>
    <t>https://www.marklines.com/en/global/3291</t>
    <phoneticPr fontId="1"/>
  </si>
  <si>
    <t>Pennsylvania</t>
  </si>
  <si>
    <t>On October 2, Mack Trucks announced that it reached a tentative agreement with the UAW on a new five-year contract covering about 3,900 employees at the Macungie Plant in Pennsylvania, Roanoke Valley Operations in Virginia, and other operations in Maryland and Florida.</t>
    <phoneticPr fontId="1"/>
  </si>
  <si>
    <t>https://www.marklines.com/en/global/103</t>
    <phoneticPr fontId="1"/>
  </si>
  <si>
    <t>On October 2, Mercedes Benz Custom Tailored Trucks (CTT) celebrated its 300,000th successful vehicle conversion – an Actros 8x4/4 Full-SLT for heavy-duty use. The conversions are carried out at the Wörth truck plant and at the CTT plant in Molsheim, France, through the CTT conversion partner network. They can convert up to 70 vehicles daily. CTT is also working on a lowliner variant of the eActros 300 semitrailer truck in Molsheim for megatrailers and automotive logistics. The lowliners will be used initially by selected customers in Mercedes-Benz Trucks' plant logistics.</t>
    <phoneticPr fontId="1"/>
  </si>
  <si>
    <t>On October 2, Rivian Automotive announced that it produced 16,304 vehicles at its manufacturing facility in Normal, Illinois and delivered 15,564 vehicles during Q3 2023. Rivian believes it is on track to deliver on the 52,000 annual production guidance previously provided. </t>
    <phoneticPr fontId="1"/>
  </si>
  <si>
    <t>On September 29, BMW announced the investment of EUR 100 million in a new battery testing center at Wackersdorf, Germany, by 2026. The 8,442 meters square battery testing center will be operational by mid-2024 and will focus on evaluating high-voltage batteries and electric powertrain components for future BMW Group vehicles during the early development stages. The investment primarily goes into advanced test bench technology and infrastructure upgrades for Hall 80, which is undergoing remodeling for this purpose. The first section is equipped with specialized "battery testers," resembling large refrigerators but with cutting-edge technology. By 2025, the testing center will also play a crucial role in validating BMW Group's battery-electric vehicles before their official production launch.</t>
    <phoneticPr fontId="1"/>
  </si>
  <si>
    <t>On September 29, RENERA LLC (part of the TVEL Fuel Company of Rosatom) and the State Unitary Enterprise of Moscow Mosgortrans announced a partnership for the supply of traction batteries for electric transport. State Unitary Enterprise Mosgortrans is guaranteed to purchase more than 155 thousand traction batteries produced by Rosatom. The Moskvich automobile plant will in the coming years begin producing electric vehicles. It is planned to equip 150 thousand Moskvich electric vehicles with modern batteries from the new production. Rosatom will create the production of energy storage devices. The capacity will be 4 GWh per year.</t>
    <phoneticPr fontId="1"/>
  </si>
  <si>
    <t>https://www.marklines.com/en/global/647</t>
    <phoneticPr fontId="1"/>
  </si>
  <si>
    <t>On October 3, Tata Motors Limited announced that TML Holdings Pte Limited (THPL), a wholly owned subsidiary of Tata Motors Limited informed that THPL has entered into an agreement for sale of its entire shareholding of 60% in Tata Motors (SA) (Pty) Limited to Tata Africa Holdings (SA) on September 29, 2023. The sale will conclude by October 3, 2023 and Tata Motors (SA) (Pty) limited will cease to be a subsidiary of the company from that date.</t>
    <phoneticPr fontId="1"/>
  </si>
  <si>
    <t>https://www.marklines.com/en/global/9547</t>
    <phoneticPr fontId="1"/>
  </si>
  <si>
    <t>Announced on September 29, VinFast has officially launched the VF 6 EV in Vietnam. Priced from VND 675 million (excluding battery), deposits will be taken from October 20. The first VinFast VF 6 units are planned to be handed over to customers from the end of 2023. This first smart electric car model in the B-SUV segment’s overall dimensions are (LWH) 4,238x 1,820x 1,594 (mm) and a wheelbase of up to 2,730 mm. It comes with a 59.6 kW LFP battery with a range of 399 km (Base) and 381 km (Plus), respectively (according to WLTP standards) on a full charge. The Base variant and the Plus variant use an electric motor with a maximum capacity of 100 kW and 150 kW, respectively with a maximum torque of 135 Nm and 310 Nm.</t>
    <phoneticPr fontId="1"/>
  </si>
  <si>
    <t>On September 28, Great Wall Motor (GWM) officially launched 2 HEV models under its TANK brand in Thailand. The locally-made TANK 500 HEV and TANK 300 HEV. Both HEV models come with a 2.0-liter Gasoline with variable-geometry turbocharger engine that makes 244 PS and 380 Nm torque, working with a 106 PS/268 Nm torque electric motor and a 9-speed hybrid automatic transmission (9HAT).</t>
    <phoneticPr fontId="1"/>
  </si>
  <si>
    <t>On September 28, Volkswagen confirmed having been affected by a major IT (Information Technology) failure in its private network the day before on September 27, which caused production at several assembly and component plants in Germany, and in Mexico at the Volkswagen plant in Puebla, Audi plant in San José Chiapa, and Volkswagen engine plant in Silao. Operations returned to normal on September 28.</t>
    <phoneticPr fontId="1"/>
  </si>
  <si>
    <t>https://www.marklines.com/en/global/913</t>
    <phoneticPr fontId="1"/>
  </si>
  <si>
    <t>https://www.marklines.com/en/global/8739</t>
    <phoneticPr fontId="1"/>
  </si>
  <si>
    <t>On September 26, Fisker Inc. announced that it has manufactured 5,000 Fisker Oceans in Graz, Austria and anticipates it will be delivering 300 vehicle deliveries per day in the U.S. and Europe by the end of 2023. Fisker has delivered over 900 customer vehicles to date in its European and U.S. launch markets. </t>
    <phoneticPr fontId="1"/>
  </si>
  <si>
    <t>Edison Motors</t>
    <phoneticPr fontId="1"/>
  </si>
  <si>
    <t>https://www.marklines.com/en/global/10442</t>
    <phoneticPr fontId="1"/>
  </si>
  <si>
    <t>On September 26, KG Mobility announced Changwon District Court gave final approval of rehabilitation plan of Edison Motors and acquisition process of the company by KG Mobility. As a result, Edison Motors was able to conclude the rehabilitation procedure for about 10 months since it applied for rehabilitation procedures in November 2022 and begin to normalize the company. KG Mobility previously provided emergency operating funds to Edison Motors twice in May and August to support smooth production activities. Along with this, Edison Motors began a process of normalizing its management, including changing its name to KGM Commercial.</t>
    <phoneticPr fontId="1"/>
  </si>
  <si>
    <t>Subaru Corporation (Subaru) announced the launch of the upgraded Subaru BRZ, a pure sports car with an RWD layout on September 22. The upgraded model features Subaru's "EyeSight" driver assistance system for vehicles equipped with a manual transmission (MT). The system's high performance in collision avoidance, collision damage mitigation, and in reducing the driver’s workload is now tailored to the characteristics of manual transmission vehicles. On the same day, Toyota Motor Corporation's (Toyota’s) sibling car, the GR86, also underwent a partial upgrade. Like the BRZ, the upgraded GR86 comes with the EyeSight system as standard equipment on the manual transmission model. The BRZ and GR86 are sports cars jointly developed by Subaru and Toyota, and the current model (second generation), which was introduced in 2021, was originally equipped with EyeSight only for models with automatic transmission (AT).</t>
    <phoneticPr fontId="1"/>
  </si>
  <si>
    <t>Toyota Motor Corporation (Toyota) announced that it plans to release the all-new Lexus GX in Japan in 2024. The all-new GX is an off-road SUV unveiled in June during its world premiere in Austin, Texas, USA. The vehicle will be produced at the Tahara Plant and gradually released in different regions, starting from the end of 2023.</t>
    <phoneticPr fontId="1"/>
  </si>
  <si>
    <t>https://www.marklines.com/en/global/10403</t>
    <phoneticPr fontId="1"/>
  </si>
  <si>
    <t>AESC Group Ltd. (AESC), a leading automotive battery manufacturer, announced on September 20 that it will relocate its global headquarters from Zama City, Kanagawa Prefecture to Yokohama due to business expansion. The new address is K Tower Yokohama, 6-2-12, Minatomirai, Nishi-ku, Yokohama, Kanagawa. The company plans to begin operations at the new headquarters on November 6. The global headquarters also serves as the headquarters of AESC Japan Ltd. (a subsidiary of AESC Group). AESC Japan Ltd.’s Zama Plant will continue to manufacture lithium-ion batteries for electric vehicles (EVs) after the headquarters office relocation. The new head office is close to the Zama Plant and easily accessible from both domestic and overseas locations, which is expected to facilitate smooth cooperation with all related parties and secure excellent human resources.</t>
    <phoneticPr fontId="1"/>
  </si>
  <si>
    <t>Yulon Nissan Motor Co., Ltd. (Yulon Nissan) launched the all-new mild hybrid (MHV) system-equipped X-Trail in Taiwan on September 19. The all-new X-Trail is the fourth generation model since the first generation. Prior to the launch of the mild hybrid model in Taiwan, imports and sales of the e-POWER-equipped model began in February. The e-POWER-equipped models are imported from Japan, while the mild hybrid models are produced at Yulon Motor Co., Ltd.'s Sanyi Plant. The price starts at TWD 1,049,000, and the company has received more than 2,500 orders so far since it began accepting pre-orders on August 2. The powertrain is a 1.5-liter VC turbo engine (variable compression ratio engine) with maximum output of 204ps and peak torque of 30.6kgm, combined with a mild hybrid system. Fuel economy is 16km/L. The car is equipped with Nissan's driving assist technology ProPILOT and other features.</t>
    <phoneticPr fontId="1"/>
  </si>
  <si>
    <t>Ashok Leyland</t>
    <phoneticPr fontId="1"/>
  </si>
  <si>
    <t>https://www.marklines.com/en/global/1107</t>
    <phoneticPr fontId="1"/>
  </si>
  <si>
    <t>Tamil Nadu</t>
  </si>
  <si>
    <t>On October 13, Ashok Leyland announced that it bagged an order from TN STU’s (Tamil Nadu State Transport Undertakings) for 1,666 buses. It will deliver diesel fuel type passenger bus chassis for Mofussil, Town and Hill Operation and the buses will be equipped with an advanced iGen6 BS VI technology, featuring a 147 kW H-series engine. They will be supplied during the November 2023 - March 2024 period.</t>
    <phoneticPr fontId="1"/>
  </si>
  <si>
    <t>On October 13, multiple sources reported that the production at Stellantis' Melfi plant will be halted till October 14, 2023, due to the lack of engines coming from Termoli.</t>
    <phoneticPr fontId="1"/>
  </si>
  <si>
    <t>https://www.marklines.com/en/global/1343</t>
    <phoneticPr fontId="1"/>
  </si>
  <si>
    <t>On October 13, the Moscow automobile plant "Moskvich" welded the first test body using new equipment. By the end of this year, the plant will produce a series of test bodies of its welding. To launch the welding shop, a new modern robotic system of welding equipment was installed. The next stage is tests in the paint shop. Already at the beginning of 2024, full-cycle production of the Moskvich 3 and Moskvich 3e models will begin, where welding and painting of the bodies will be entirely carried out at the Moskvich plant. From the second quarter of 2024, these models will be produced exclusively using the small component assembly (CKD) method. It is also localizing the battery with the Moscow Government. The plant is working on organizing the production of a completely electric vehicle, which will eventually become the main product of the plant.</t>
    <phoneticPr fontId="1"/>
  </si>
  <si>
    <t>https://www.marklines.com/en/global/10245</t>
    <phoneticPr fontId="1"/>
  </si>
  <si>
    <t>On October 13, Mercedes-Benz performed the world's first public crash test involving two fully electric vehicles, An EQA and an EQS SUV, at the Group's Technology Centre for Vehicle Safety in Sindelfingen, Germany. In the crash, Both vehicles collided head-on with a 50 percent overlap in a real-life accident scenario, each traveling at 56 km/h, which is considerably higher than required by law. The passenger safety cell of both electric models remained intact, the doors could still be opened, and the high-voltage system in both vehicles switched off automatically, making it possible for occupants to exit the vehicle on their own or for first responders and rescue personnel to reach them in case of emergency. All safety equipment, such as airbags and belt tensioners with belt force limiters, worked as intended. The crash test confirmed the results that the engineers had previously calculated in numerous computer simulations.</t>
    <phoneticPr fontId="1"/>
  </si>
  <si>
    <t>https://www.marklines.com/en/global/2209</t>
    <phoneticPr fontId="1"/>
  </si>
  <si>
    <t>On October 13, the BMW Group announced that BMW Group Plant Regensburg will start a night shift in November and thus go into a three-shift operation. By the end of the year, it will invest over EUR 350 million in vehicle production in Regensburg and employ around 500 new employees at the location. At present, the plant is running at full capacity. The plant also produced its eight millionth vehicle. The vehicle was an electrically powered BMW iX1 xDrive30 in space silver metallic. The plant will start production of the BMW iX2 from November 2023.</t>
    <phoneticPr fontId="1"/>
  </si>
  <si>
    <t>Ebusco</t>
    <phoneticPr fontId="1"/>
  </si>
  <si>
    <t>https://www.marklines.com/en/global/10553</t>
    <phoneticPr fontId="1"/>
  </si>
  <si>
    <t>Netherlands</t>
    <phoneticPr fontId="1"/>
  </si>
  <si>
    <t>On October 11, Ebusco announced that it has successfully expanded its Ebusco 3.0 bus production capacity, which includes the scaling of 3.0 casco production in Deurne and the start of production with international assembly partners. The first shipments from the assembly partners are expected in Q4, 2023. In addition, Ebusco also reported its order book of a total of 1,823 buses at the end of Q3, 2023, and expects to further increase its order book in the coming period. The first Ebusco 3.0 buses have been successfully manufactured and the first shipments of Ebusco 3.0 buses are expected in November 2023.</t>
    <phoneticPr fontId="1"/>
  </si>
  <si>
    <t>Mahindra &amp; Mahindra</t>
    <phoneticPr fontId="1"/>
  </si>
  <si>
    <t>Mahindra</t>
    <phoneticPr fontId="1"/>
  </si>
  <si>
    <t>https://www.marklines.com/en/global/9590</t>
    <phoneticPr fontId="1"/>
  </si>
  <si>
    <t>On October 12, Mahindra South Africa highlighted the significant investment in improving the Mahindra Assembly Facility at the Dube TradePort in KwaZulu-Natal. The facility, which produced its first South African Pik Up in 2018, has since been upgraded to include a comprehensive post-production testing track, a modern painting facility, and a more streamlined production line. With these upgrades, the assembly facility can produce more than 500 Pik Ups a month across the entire product range.</t>
    <phoneticPr fontId="1"/>
  </si>
  <si>
    <t>Bugatti</t>
    <phoneticPr fontId="1"/>
  </si>
  <si>
    <t>https://www.marklines.com/en/global/63</t>
    <phoneticPr fontId="1"/>
  </si>
  <si>
    <t>On October 12, Bugatti Rimac announced a new R&amp;D and innovation center in Italy. Bugatti Rimac Italy office opened its doors this October at Via Del Monte 1, Bologna. The new center will act as a satellite for the company headquarters in Zagreb, with a future capacity of up to 50 employees working in tandem with the team in Croatia. The team will work on future luxury hypercars from both the Bugatti and Rimac brands. The center will focus on electric, hybrid, and alternative fuel powertrains; advanced manufacturing techniques such as 3D printing and enhanced use of composites; integrated vehicle controls and digital twins; and chassis engineering. Traditional areas of car development, such as aerodynamics and NVH, will also be covered, alongside ongoing research into new fuels, concepts, and architectures.</t>
    <phoneticPr fontId="1"/>
  </si>
  <si>
    <t>Rimac</t>
    <phoneticPr fontId="1"/>
  </si>
  <si>
    <t>https://www.marklines.com/en/global/9844</t>
    <phoneticPr fontId="1"/>
  </si>
  <si>
    <t>Croatia</t>
    <phoneticPr fontId="1"/>
  </si>
  <si>
    <t>https://www.marklines.com/en/global/10606</t>
    <phoneticPr fontId="1"/>
  </si>
  <si>
    <t>Renault</t>
    <phoneticPr fontId="1"/>
  </si>
  <si>
    <t>https://www.marklines.com/en/global/169</t>
    <phoneticPr fontId="1"/>
  </si>
  <si>
    <t>On October 12, the European Investment Bank (EIB) announced that it is investing EUR 450 million in the construction of AESC (Automotive Energy Supply Corporation) electric battery gigafactory in Douai, France with support from the InvestEU program. This funding will provide 9 GWh of batteries to power 200,000 electric vehicles produced each year from 2025 by the manufacturer Renault. The Douai site will then see its capacity gradually increase to reach a production of 24 GWh to 30 GWh/year by 2030.  The batteries produced in Douai will equip the future ECHO models (new R5) and 4Ever produced by Renault. This large-scale project represents a total investment of EUR 1.3 billion for this first phase with the creation of some 1,200 direct jobs in the next three years and up to 3,000 jobs by 2030.</t>
    <phoneticPr fontId="1"/>
  </si>
  <si>
    <t>https://www.marklines.com/en/global/10626</t>
    <phoneticPr fontId="1"/>
  </si>
  <si>
    <t>https://www.marklines.com/en/global/9906</t>
    <phoneticPr fontId="1"/>
  </si>
  <si>
    <t>California</t>
  </si>
  <si>
    <t>On October 12, the Roads and Transport Authority (RTA) in Dubai and Cruise, which specializes in autonomous vehicle technology, started a supervised test of the Chevrolet Bolt with autonomous Cruise technology in the Jumeirah 1 area. GM Cruise will work to verify the safety and performance of its self-driving vehicles in Dubai and the compatibility of the requirements of those vehicles with the digital and physical infrastructure of the target operating area. RTA issued the first permit to test autonomous vehicles in Dubai to the Cruise Company.</t>
    <phoneticPr fontId="1"/>
  </si>
  <si>
    <t>https://www.marklines.com/en/global/2589</t>
    <phoneticPr fontId="1"/>
  </si>
  <si>
    <t>On October 12, after the UAW strike called at the Kentucky Truck Plant, Ford released a list of 13 plants directly affected, where layoffs and closure could happen within days, including Ohio Assembly, Louisville Assembly, Sterling Axle Plant, Michigan Assembly Plant and Integral Stamping, Dearborn Stamping Plant, Buffalo Stamping Plant, Chicago Stamping Plant, Sharonville Transmission Plant, Cleveland Engine Plant, Rawsonville Components Plant in Ypsilanti, Dearborn Diversified Manufacturing Plant, Windsor Engine Plant, and Chihuahua Engine Plant.</t>
    <phoneticPr fontId="1"/>
  </si>
  <si>
    <t>https://www.marklines.com/en/global/2605</t>
    <phoneticPr fontId="1"/>
  </si>
  <si>
    <t>https://www.marklines.com/en/global/2607</t>
    <phoneticPr fontId="1"/>
  </si>
  <si>
    <t>Tesla</t>
    <phoneticPr fontId="1"/>
  </si>
  <si>
    <t>https://www.marklines.com/en/global/10321</t>
    <phoneticPr fontId="1"/>
  </si>
  <si>
    <t>Texas</t>
  </si>
  <si>
    <t>Tesla is sourcing some stainless steel panels for the exterior of its new Cybertruck from Finnish supplier Outokumpu Oyj, which will be shipped to Tesla’s Gigafactory Texas factory in Austin.</t>
    <phoneticPr fontId="1"/>
  </si>
  <si>
    <t>On October 11, Tesla announced it had built its 20 millionth cell at Gigafactory Texas, doubling its cumulative 4680 battery cell total in just four months, since mid-June when it had reached 10 million cells there. Tesla confirmed the milestone on X, saying: “The 4680 battery cell has been in production for several years and could hit the manufacturing stage from third-party companies as soon as next spring.”</t>
    <phoneticPr fontId="1"/>
  </si>
  <si>
    <t>https://www.marklines.com/en/global/3049</t>
    <phoneticPr fontId="1"/>
  </si>
  <si>
    <t>Alabama</t>
  </si>
  <si>
    <t>More than 100 workers have been on strike at a ZF Group axle plant in Tuscaloosa, Alabama, which supplies the Mercedes-Benz assembly plant there, since September 20. So far in the strike, the Mercedes-Benz U.S International (MBUSI) plant has continued to operate, with production as yet unaffected, though the company continues to monitor the situation.</t>
    <phoneticPr fontId="1"/>
  </si>
  <si>
    <t>Arrival</t>
    <phoneticPr fontId="1"/>
  </si>
  <si>
    <t>https://www.marklines.com/en/global/10552</t>
    <phoneticPr fontId="1"/>
  </si>
  <si>
    <t>On October 10, Arrival announced that following a detailed review of its operations and its markets, its actions began on October 5, 2023, to further reduce its operating costs and to optimize the deployment of its current cash resources. This includes the difficult decision to reduce its global workforce by up to approximately 25%.</t>
    <phoneticPr fontId="1"/>
  </si>
  <si>
    <t>Haval</t>
    <phoneticPr fontId="1"/>
  </si>
  <si>
    <t>https://www.marklines.com/en/global/3533</t>
    <phoneticPr fontId="1"/>
  </si>
  <si>
    <t>Hebei</t>
  </si>
  <si>
    <t>On October 10, Haval officially launched the new Raptor compact plug-in hybrid off-road SUV. The Raptor rides on the new Hi4 intelligent 4WD hybrid technology and comes standard with a 1.5T hybrid-dedicated turbocharged engine (123kW/243Nm), a 2-speed dedicated hybrid transmission, dual permanent magnet synchronous motors in the front (70kW/160Nm) and rear (150kW/350Nm), and a lithium iron phosphate battery, with a front-engine 4WD layout. The 102km- and 145km-range variants have WLTC combined fuel consumption of 1.68L/100km and 1.15L/100km, respectively. The top speed is 190km/h.</t>
    <phoneticPr fontId="1"/>
  </si>
  <si>
    <t>Kia</t>
    <phoneticPr fontId="1"/>
  </si>
  <si>
    <t>https://www.marklines.com/en/global/3145</t>
    <phoneticPr fontId="1"/>
  </si>
  <si>
    <t>Georgia</t>
  </si>
  <si>
    <t>On October 9, Kia America announced the opening of orders for the all-new 2024 EV9 three-row SUV EV, with U.S. deliveries of imported units slated to begin in late 2023. Production of the seven-seat EV9 in West Point, Georgia, is expected to commence in 2024. Based on E-GMP electric architecture, the EV9 is 197.2 inches long, 77.9 inches wide, and up to 70.1 inches high, on a 122.0-inch wheelbase with a drag coefficient of 0.2818.</t>
    <phoneticPr fontId="1"/>
  </si>
  <si>
    <t>https://www.marklines.com/en/global/893</t>
    <phoneticPr fontId="1"/>
  </si>
  <si>
    <t>On October 3 Nissan Mexicana that the production line 1 of CIVAC plant, located in Cuernavaca, Morelos, will re-open, for a certain period, in addition to the line 2 of this same plant. For approximately one year, the production of the Nissan V-Drive and the Nissan Versa will happen again at the CIVAC plant, after the line 1 of said plant stopped working in February 2021 and its production got moved to the Aguascalientes plant. “Additionally, it is also an opportunity for the Aguascalientes plant, which now with this new expansion at CIVAC, to add more volume of production to its lines” said Joan Busquets, vice president of manufacturing at Nissan Mexicana.</t>
    <phoneticPr fontId="1"/>
  </si>
  <si>
    <t>https://www.marklines.com/en/global/895</t>
    <phoneticPr fontId="1"/>
  </si>
  <si>
    <t>NIO</t>
    <phoneticPr fontId="1"/>
  </si>
  <si>
    <t>https://www.marklines.com/en/global/9981</t>
    <phoneticPr fontId="1"/>
  </si>
  <si>
    <t>Jiangsu</t>
  </si>
  <si>
    <t>On October 12, Comau implemented a high-performance turnkey solution to automate the manufacturing of NIO's next-generation electric drive systems. The multi-faceted project also ensures fast and reliable co-line production for the NIO's third-gen induction and permanent magnet motors, both of which are integral parts of its proprietary electric drive systems (EDS). The comprehensive solution includes primary lines such as e-motor assembly lines, gearbox manufacturing, and inverter assembly lines, as well as EOL (End of Line) testing processes. It is designed to support a large-scale annual production capacity of 1 million units, to be used within NIO's electric sedans, coupes, and SUVs, as well as select models of its sub-brand ALPS.</t>
    <phoneticPr fontId="1"/>
  </si>
  <si>
    <t>https://www.marklines.com/en/global/1485</t>
    <phoneticPr fontId="1"/>
  </si>
  <si>
    <t>On October 11, VDL announced that BMW Group had placed an initial, long-term order to assemble approximately 125,000 battery modules for the German car brand’s after-sales business until at least 2035. VDL Groep will assemble battery systems at the Mobility Innovation Centre (MIC) in Born, with the first battery modules scheduled to be delivered in a year. Two battery lines will be put into use in a new production unit in Born, which measures approximately 30,000 square meters and will take up approximately 10% of the available production capacity. The start-up work in Born had already begun, which will provide employment for several dozen employees.</t>
    <phoneticPr fontId="1"/>
  </si>
  <si>
    <t>VDL</t>
    <phoneticPr fontId="1"/>
  </si>
  <si>
    <t>On October 11, BMW unveiled its Sports Activity Coupé (SAC) concept X2 in the premium compact segment. It also includes the all-electric variant BMW iX2. Both the X2 and iX2 are produced on a single line at Regensburg plant, Germany, with the batteries for the electric variant produced there as well. The electric BMW iX2 xDrive30 features fifth-generation eDrive technology, one electric motor at the front axle and one at the rear. It generates output of 313 hp and 494 Nm torque. BMW X2 sDrive20i features a three-cylinder gasoline engine with a 48V mild hybrid system, which generates output of 170 hp and 280 Nm torque.</t>
    <phoneticPr fontId="1"/>
  </si>
  <si>
    <t>https://www.marklines.com/en/global/1931</t>
    <phoneticPr fontId="1"/>
  </si>
  <si>
    <t>On October 11, the Ministry of Industry, Commerce and Tourism, Spain approved a new round of aid for electric vehicle battery production projects corresponding to PERTE VEC II. Seven new proposals representing EUR 87 million are provisionally authorized. The four approved Stellantis projects will serve to finance the Madrid, Vigo, and Zaragoza plants, and add up to a total of EUR 63.75 million.</t>
    <phoneticPr fontId="1"/>
  </si>
  <si>
    <t>https://www.marklines.com/en/global/1935</t>
    <phoneticPr fontId="1"/>
  </si>
  <si>
    <t>https://www.marklines.com/en/global/1939</t>
    <phoneticPr fontId="1"/>
  </si>
  <si>
    <t>UAW negotiations that began at 5:30 p.m. on October 10 at Ford headquarters broke down after only 10 minutes, and the UAW began a new strike at its Kentucky truck plant at around 6:35 p.m. on the same day. The UAW had asked Ford for more concessions before the negotiations, but Ford reportedly refused it. At the Kentucky truck plant, which employs 8,700 unionized workers, the strike is aimed at the F-Series Super Duty full-size pickup truck, the Lincoln Expedition full-size SUV, and the Lincoln Aviator mid-size crossover SUV. The Kentucky truck plant is one of Ford's most important production facilities due to its scale and profitability.</t>
    <phoneticPr fontId="1"/>
  </si>
  <si>
    <t>https://www.marklines.com/en/global/1253</t>
    <phoneticPr fontId="1"/>
  </si>
  <si>
    <t>Haryana</t>
  </si>
  <si>
    <t>On October 11, Maruti Suzuki started exports of the Jimny 5-Door. The vehicle will be shipped to destinations including Latin America, Middle East, and Africa regions. In November 2020, Maruti Suzuki started production of the 3-door Jimny exclusively for exports to areas including Latin America and Africa. In June 2023, it launched Jimny 5-Door for the domestic market.</t>
    <phoneticPr fontId="1"/>
  </si>
  <si>
    <t>https://www.marklines.com/en/global/10752</t>
    <phoneticPr fontId="1"/>
  </si>
  <si>
    <t>Announced on October 11, Vingroup’s Chairman will donate 99.8% of VinES Energy Solutions JSC’s shares to VinFast, with an aim to improve VinFast’s self-sufficiency in battery technology and its production chain. With the combined business, VinFast expects at least 5-7% savings on battery costs, as well as access to external partners and internal R&amp;D on the latest battery technologies to bring up competitive edge for its EVs. Under the terms of the merger, VinFast will acquire all VinES’ intellectual property related to battery cells, battery packs, manufacturing facilities, technology, partnerships, and supplier contracts. VinFast will acquire VinES from its Chairman, Mr. Pham, for no consideration other than assuming borrowings of approximately VND 11,122 billion (USD 462 million) which VinES has outstanding to finance the construction of its manufacturing facilities and its operations. To support the ramp up for VinES until its operations stabilize, Mr. Pham will agree to provide grants to VinFast for all interest payments relating to these existing VinES borrowings up to 2027.</t>
    <phoneticPr fontId="1"/>
  </si>
  <si>
    <t>On October 11, Ashok Leyland launched the ecomet Star 1915 truck in the ICV (intermediate commercial vehicle) segment. The truck has a GVW (gross vehicle weight) of 18.49T, and is powered by H4 series engine which produces 110 kW and 450 Nm torque suited for long-distance applications.</t>
    <phoneticPr fontId="1"/>
  </si>
  <si>
    <t>https://www.marklines.com/en/global/10578</t>
    <phoneticPr fontId="1"/>
  </si>
  <si>
    <t>Indiana</t>
  </si>
  <si>
    <t>On October 11, Stellantis and Samsung SDI announced that Kokomo, Indiana, will receive a second battery manufacturing facility as part of the StarPlus Energy joint venture. The JV will invest more than USD 3.2 billion (EUR 2.8 billion) to co-locate the new battery plant with the gigafactory currently under construction in Kokomo and on track to open by Q1 2025 with an annual production capacity of 33 GWh. The new StarPlus Energy plant is expected to begin production in early 2027 with an annual capacity of 34 GWh and 1,400 new employees, bringing total investment for both facilities to more than USD 6.3 billion (EUR5.5 billion) for a combined annual production capacity of 67 GWh with 2,800 employees.</t>
    <phoneticPr fontId="1"/>
  </si>
  <si>
    <t>On October 10, Ebusco announced that it will remain the primary supplier to Deutsche Bahn for its 12- and 18-meter electric buses until 2026. According to the agreement, multiple orders have already been placed for the Ebusco 2.2 Model buses, which will be deployed in more than 10 different projects. With the new orders, which are currently in the final discussion stage, the total number of orders will exceed 100. The new contract also allows an option for Deutsche Bahn to purchase new Ebusco 3.0 buses, as until now Deutsche Bahn has only ordered Ebusco 2.2 buses.</t>
    <phoneticPr fontId="1"/>
  </si>
  <si>
    <t>On October 10, it is reported that Edison Motors, which was in a corporate rehabilitation process, changed its name to KGM COMMERCIAL. Under KG Group, KGM COMMERCIAL starts steps to normalize management. </t>
    <phoneticPr fontId="1"/>
  </si>
  <si>
    <t>KG Mobility</t>
    <phoneticPr fontId="1"/>
  </si>
  <si>
    <t>Kaiyi</t>
    <phoneticPr fontId="1"/>
  </si>
  <si>
    <t>https://www.marklines.com/en/global/9273</t>
    <phoneticPr fontId="1"/>
  </si>
  <si>
    <t>Anhui</t>
  </si>
  <si>
    <t>On October 10, Kaiyi Auto, a Chery sub-brand, announced that it officially started accepting pre-orders for the new Shiyue battery electric vehicle (BEV). The 201km-range variant is equipped with a motor with a maximum power of 35kW and a peak torque of 87Nm and either a Gotion High-tech or CATL battery.</t>
    <phoneticPr fontId="1"/>
  </si>
  <si>
    <t>https://www.marklines.com/en/global/3045</t>
    <phoneticPr fontId="1"/>
  </si>
  <si>
    <t>South Carolina</t>
  </si>
  <si>
    <t>On October 10, BMW announced that construction of its high-voltage battery assembly plant in Woodruff, South Carolina, has started. When completed in 2026, it will produce the sixth-generation batteries to supply BEVs in Spartanburg. BMW will purchase battery cells for its EVs from partner AESC, which is building a new 30 GWh battery cell factory in Florence, South Carolina, with BMW as its first customer. AESC, which broke ground for its new plant on June 7, will produce newly developed round lithium-ion battery cells, specifically designed for the sixth generation of BMW eDrive technology. </t>
    <phoneticPr fontId="1"/>
  </si>
  <si>
    <t>https://www.marklines.com/en/global/10729</t>
    <phoneticPr fontId="1"/>
  </si>
  <si>
    <t>https://www.marklines.com/en/global/8682</t>
    <phoneticPr fontId="1"/>
  </si>
  <si>
    <t>On October 9, Ford Pro announced that it had opened orders for the all-new Transit Custom and Tourneo Custom vans in Europe. Ford Pro offers Tourneo Custom with its latest-generation EcoBlue diesel engines in 136 PS, 150 PS, or 170 PS power outputs, with an option of an eight-speed automatic transmission or a six-speed manual gearbox. Production of the all-new Tourneo Custom is already underway at Ford Otosan's Yenikoy plant in Kocaeli, Turkey. The all-new Transit Custom comes with the latest generation of Ford EcoBlue diesel engines in 110 PS, 136 PS, 150 PS, or 170 PS power outputs. Transit Custom models with EcoBlue diesel engines are already in production, with deliveries commencing in Q4 2023. The PHEV models of Transit Custom and Tourneo Custom are also available for orders in Europe, with deliveries starting in Q4 2023. The electric versions, E-Tourneo Custom and E-Transit Custom models will be available for ordering soon, with deliveries expected to start in 2024.</t>
    <phoneticPr fontId="1"/>
  </si>
  <si>
    <t>https://www.marklines.com/en/global/1419</t>
    <phoneticPr fontId="1"/>
  </si>
  <si>
    <t>WM</t>
    <phoneticPr fontId="1"/>
  </si>
  <si>
    <t>https://www.marklines.com/en/global/9532</t>
    <phoneticPr fontId="1"/>
  </si>
  <si>
    <t>Shanghai</t>
  </si>
  <si>
    <t>According to public information on the National Enterprise Bankruptcy Information Disclosure Platform (NEBIDP) dated October 9, WM Motor has filed for bankruptcy reorganization with the Shanghai No. 3 Intermediate People’s Court.</t>
    <phoneticPr fontId="1"/>
  </si>
  <si>
    <t>BYD</t>
    <phoneticPr fontId="1"/>
  </si>
  <si>
    <t>https://www.marklines.com/en/global/10441</t>
    <phoneticPr fontId="1"/>
  </si>
  <si>
    <t>On October 9, BYD announced the recent holding of a media launch for the right-hand drive Seal midsize battery electric coupe at the Changi Exhibition Centre.</t>
    <phoneticPr fontId="1"/>
  </si>
  <si>
    <t>https://www.marklines.com/en/global/4269</t>
    <phoneticPr fontId="1"/>
  </si>
  <si>
    <t>Shaanxi</t>
  </si>
  <si>
    <t>BAIC</t>
    <phoneticPr fontId="1"/>
  </si>
  <si>
    <t>ARCFOX</t>
    <phoneticPr fontId="1"/>
  </si>
  <si>
    <t>https://www.marklines.com/en/global/9126</t>
    <phoneticPr fontId="1"/>
  </si>
  <si>
    <t>On October 9, Arcfox and Bin Omeir Holding Group (Bin Omeir), a UAE company, signed a cooperation agreement, planning to co-develop the two Middle East markets of the UAE and Saudi Arabia. Arcfox models will be the main export products on this occasion. According to the agreement, Bin Omeir will purchase Arcfox models for certification in the Persian Gulf region, development of an emergency calling system, and verification of applicability and adaptability at high temperatures in preliminary preparation for the official introduction of Arcfox products. In the future, the two parties will discuss cooperation in other areas such as equity.</t>
    <phoneticPr fontId="1"/>
  </si>
  <si>
    <t>https://www.marklines.com/en/global/9895</t>
    <phoneticPr fontId="1"/>
  </si>
  <si>
    <t>On October 8, IG Metall said there has a steep rise in the number of new union members at Tesla’s Gigafactory Berlin, as employees complain about safety hazards, including extreme workloads due to staff shortages and overly ambitious production targets, with at times approximately 30% of workers signed off as sick, according to the union. Tesla and the Brandenburg government have denied problems with safety at the plant, citing twice monthly inspections for compliance with occupational safety measures.</t>
    <phoneticPr fontId="1"/>
  </si>
  <si>
    <t>On October 8, BAIC BJEV, a subsidiary of BAIC BluePark New Energy Technology Co., Ltd., officially signed a Letter of Intent (LoI) for cooperation with Turing, a Japanese company, to provide the Japanese market with high-level intelligent driving products and to explore the commercial application of autonomous driving technologies in the market in the future. According to the LoI, the two parties’ first cooperative model based on the Alpha S of Arcfox, a BAIC BJEV sub-brand, and is planned for sales in the market in 2024.</t>
    <phoneticPr fontId="1"/>
  </si>
  <si>
    <t>https://www.marklines.com/en/global/1737</t>
    <phoneticPr fontId="1"/>
  </si>
  <si>
    <t>On October 6, Škoda Group announced that it will present advanced technologies for electric vehicle propulsion and a 12-metre electric bus in cooperation with SOR Libchavy, at Busworld 2023, in Brussels. Škoda Group's technologies for electric propulsion include the IPMSM motor and the SiC inverter. The group will also present the ASTRID system, a monitoring system for wheeled vehicles, which monitors and analyses Škoda's vehicles in operation. It can monitor up to 50 different parameters during the journey, including fuel consumption, battery life, and bus position.</t>
    <phoneticPr fontId="1"/>
  </si>
  <si>
    <t>Sor</t>
    <phoneticPr fontId="1"/>
  </si>
  <si>
    <t>https://www.marklines.com/en/global/1745</t>
    <phoneticPr fontId="1"/>
  </si>
  <si>
    <t>VW Group</t>
    <phoneticPr fontId="1"/>
  </si>
  <si>
    <t>On October 11, Exyte, an engineering, procurement, and construction (EPC) company, announced that it will build the dry room for Volkswagen's battery cell gigafactory in Salzgitter, Germany. Exyte is responsible for the detailed design, procurement, construction, and commissioning of the required dry room including the exhaust treatment and particle monitoring for increased operator safety.</t>
    <phoneticPr fontId="1"/>
  </si>
  <si>
    <t>https://www.marklines.com/en/global/1384</t>
    <phoneticPr fontId="1"/>
  </si>
  <si>
    <t>Portugal</t>
    <phoneticPr fontId="1"/>
  </si>
  <si>
    <t>On October 10, multiple sources reported that Volkswagen Autoeuropa plant, Portugal plans to resume to its regular working hours on October 23, 2023. The plant intends to gradually ramp up the number of shifts in the assembly area to compensate for the time lost during the production suspension. It is also set to hire additional employees, with the opening of several workstations in the near future.</t>
    <phoneticPr fontId="1"/>
  </si>
  <si>
    <t>https://www.marklines.com/en/global/2171</t>
    <phoneticPr fontId="1"/>
  </si>
  <si>
    <t>On October 9, MAN Truck and Bus announced that it has begun the construction of the new M50 battery building followed by inauguration in Nuremberg site, Germany. Starting in 2025, the facility will produce up to 100,000 high-voltage batteries in large-scale production. These batteries will be used in the MAN eTruck for long-distance transport, city buses, and future coaches. The 16,000 square meters facility will create 350 new jobs and involve investments approx. EUR 100 million, covering logistics, infrastructure, buildings, and production facilities. By the end of 2024, first customer vehicles will be served from small series production until 2025 when large-scale battery production will support electric truck manufacturing in Munich.</t>
    <phoneticPr fontId="1"/>
  </si>
  <si>
    <t>https://www.marklines.com/en/global/2175</t>
    <phoneticPr fontId="1"/>
  </si>
  <si>
    <t>NWTN</t>
    <phoneticPr fontId="1"/>
  </si>
  <si>
    <t>https://www.marklines.com/en/global/10641</t>
    <phoneticPr fontId="1"/>
  </si>
  <si>
    <t>Zhejiang</t>
  </si>
  <si>
    <t>On October 9, NWTN Inc. announced that its first new energy vehicle ("NEV"), Rabdan One, is officially marked as "Made in the Emirates". Rabdan One is the first new energy vehicle with this mark in the UAE. The Rabdan One is assembled in NWTN's first assembly facility located in Khalifa Economic Zone Abu Dhabi (KEZAD). The "Made in the Emirates" mark was launched by the MoIAT as a new quality mark for UAE-made products. NWTN has also passed the inspection of the Ministry of Industry and Advanced Technology ("MoIAT"). The inspection consisted of an audit of NWTN's supply chain, warehousing, production process flows, quality control, and quality assurance in NWTN's assembly.</t>
    <phoneticPr fontId="1"/>
  </si>
  <si>
    <t>Hozon Auto</t>
    <phoneticPr fontId="1"/>
  </si>
  <si>
    <t>Neta</t>
    <phoneticPr fontId="1"/>
  </si>
  <si>
    <t>https://www.marklines.com/en/global/10712</t>
    <phoneticPr fontId="1"/>
  </si>
  <si>
    <t>According to multiple press releases dated October 9, Hozon Juhe Technology (Anhui) Co., Ltd. was recently established in Chuzhou, Anhui. The new company’s registered capital is CNY 100 million, and its business scope includes R&amp;D of automotive parts, manufacturing of automotive parts and accessories, manufacturing of electronic elements and electromechanical components and devices, development of AI application software, and manufacturing of motors. The company is jointly owned by Hozon New Energy Automobile Co., Ltd., a Neta Auto affiliate.</t>
    <phoneticPr fontId="1"/>
  </si>
  <si>
    <t>Chrysler</t>
    <phoneticPr fontId="1"/>
  </si>
  <si>
    <t>https://www.marklines.com/en/global/2659</t>
    <phoneticPr fontId="1"/>
  </si>
  <si>
    <t>On October 9, Stellantis announced additional layoffs, including workers from the Trenton Engine Complex in Michigan, due to the ongoing UAW strike at its Toledo Assembly Complex. However, the approximately 300 employees laid off on September 22 from the Kokomo Transmission and Kokomo Casting Plants had returned to work on October 9.</t>
    <phoneticPr fontId="1"/>
  </si>
  <si>
    <t>https://www.marklines.com/en/global/2661</t>
    <phoneticPr fontId="1"/>
  </si>
  <si>
    <t>https://www.marklines.com/en/global/2645</t>
    <phoneticPr fontId="1"/>
  </si>
  <si>
    <t>https://www.marklines.com/en/global/10574</t>
    <phoneticPr fontId="1"/>
  </si>
  <si>
    <t>Shandong</t>
  </si>
  <si>
    <t>On October 8, BYD announced the recent launch of special editions of the Dolphin compact battery electric hatchback, the Dolphin Plus and the Dolphin Diamond, in Brazil. The Dolphin Plus encompasses better performance, with a maximum torque of 310Nm and an NEDC range of 490km when fully charged. It is equipped with a BYD intelligent cockpit system.</t>
    <phoneticPr fontId="1"/>
  </si>
  <si>
    <t>https://www.marklines.com/en/global/4125</t>
    <phoneticPr fontId="1"/>
  </si>
  <si>
    <t>Guangdong</t>
  </si>
  <si>
    <t>https://www.marklines.com/en/global/4043</t>
    <phoneticPr fontId="1"/>
  </si>
  <si>
    <t>Hunan</t>
  </si>
  <si>
    <t>https://www.marklines.com/en/global/9538</t>
    <phoneticPr fontId="1"/>
  </si>
  <si>
    <t>On October 7, Neta Auto announced that the first mass-produced Neta X models officially rolled off the production line, with launch and delivery expected in October. In terms of intelligent hardware, the Neta X rides standard on a Qualcomm Snapdragon high-performance automotive-grade 8155 chip.</t>
    <phoneticPr fontId="1"/>
  </si>
  <si>
    <t>https://www.marklines.com/en/global/10162</t>
    <phoneticPr fontId="1"/>
  </si>
  <si>
    <t>On October 6, Renault Group unveiled its new simulation center, located at the Technocentre in Guyancourt (France), dedicated to driving and immersive simulation. The investment of EUR 26 million includes the unveiling of the Renault Operational Advanced Driving Simulator (ROADS). The company has inaugurated 2,300 square meter digital simulation facility which enhances vehicle design and development for its various brands. The integration of digital twins enables ongoing testing and updates throughout a vehicle's lifecycle. ROADS provides a 360° phygital immersion experience, replicating dynamic vehicle behavior under various conditions such as road type, traffic density, altitude, and weather. The simulation centre involves over 70 engineers and allows real drivers to test and refine vehicle behavior during development.</t>
    <phoneticPr fontId="1"/>
  </si>
  <si>
    <t>https://www.marklines.com/en/global/10700</t>
    <phoneticPr fontId="1"/>
  </si>
  <si>
    <t>On October 5, Tesla Sr. Manager of Operations Jason Bevan said that construction of the Tesla Lithium Refinery in Robstown, Texas is progressing at a rapid pace, and the company will begin commissioning it in early 2024, and be ramping up production until the end of 2024. Tesla plans to invest USD 375 million to build the plant, that when completed will represent an overall USD 1 billion investment in southwest Texas and supply over a million EVs.</t>
    <phoneticPr fontId="1"/>
  </si>
  <si>
    <t>GAC</t>
    <phoneticPr fontId="1"/>
  </si>
  <si>
    <t>https://www.marklines.com/en/global/4075</t>
    <phoneticPr fontId="1"/>
  </si>
  <si>
    <t>On October 1, GAC Trumpchi officially started accepting pre-orders for the new ES9 plug-in hybrid SUV. The ES9 is powered by a 2.0TM high-efficiency plug-in hybrid-dedicated engine (maximum power 140kW and peak torque 330Nm), a 2-speed dedicated hybrid transmission (2-speed automatic transmission), and a 25.57kWh high-safety magazine battery, with a comprehensive system power of 274kW, a comprehensive system torque of 630Nm, and a CLTC combined range of 1,215km. The vehicle has a front-engine FWD layout. The ES9 comes standard with intelligent driver assistance features such as ACC (Adaptive Cruise Control) and LDW (Lane Departure Warning).</t>
    <phoneticPr fontId="1"/>
  </si>
  <si>
    <t>ORA</t>
    <phoneticPr fontId="1"/>
  </si>
  <si>
    <t>https://www.marklines.com/en/global/9837</t>
    <phoneticPr fontId="1"/>
  </si>
  <si>
    <t>On September 30 and October 1, at the Guadalajara Auto Show, Great Wall Motor (GWM) unveiled the Ora sub-brand and officially launched the Ora 03 (called Ora Funky Cat in China) battery electric vehicle, which is the second GWM New Energy Vehicle launched in Mexico. The vehicle became available for pre-ordering at the event.</t>
    <phoneticPr fontId="1"/>
  </si>
  <si>
    <t>On September 29, BYD held a launch event in Istanbul, Turkey, where it unveiled five New Energy Vehicles (NEVs): the Yuan Plus (Atto 3) compact SUV, the Han mid-to-large-size coupe, the Tang mid-to-large-size SUV, the Seal midsize battery electric coupe, and the Dolphin compact battery electric hatchback. The Yuan Plus (Atto 3) became available for pre-ordering and will be officially launched in November.</t>
    <phoneticPr fontId="1"/>
  </si>
  <si>
    <t>https://www.marklines.com/en/global/635</t>
    <phoneticPr fontId="1"/>
  </si>
  <si>
    <t>On October 10, multiple sources reported that Nissan South Africa is planning to cut jobs of 400 of its current 1,600 employees, as part of an employee reduction plan due to its inability to secure a replacement model for its NP200 bakkie for production at its Rosslyn plant in Pretoria. According to the sources, the company initially planned an immediate replacement model to be built through the Renault-Nissan-Mitsubishi alliance in Russia, but due to the geopolitical situations in Russia, the model was no longer viable due to significantly reduced volumes.</t>
    <phoneticPr fontId="1"/>
  </si>
  <si>
    <t>On October 10, Škoda Auto announced that it is re-entering the Kazakhstan market in partnership with Allur Company for vehicle sales and production. Four models (Kodiaq, Kamiq, Octavia, and Karoq) will be assembled locally in Kazakhstan starting in early 2024 at a plant operated by Allur Company in Kostanay. These models are produced at the factories in Mladá Boleslav and Kvasiny. Skoda Auto targets a sustained market share of 5% between 2024 and 2028 in Kazakhstan.</t>
    <phoneticPr fontId="1"/>
  </si>
  <si>
    <t>https://www.marklines.com/en/global/1739</t>
    <phoneticPr fontId="1"/>
  </si>
  <si>
    <t>https://www.marklines.com/en/global/1741</t>
    <phoneticPr fontId="1"/>
  </si>
  <si>
    <t>On October 9, BMW announced that its fully electric BMW iX2 will begin series production at the Regensburg plant, Germany on November 1, 2023, alongside the BMW X1. In the plant, up to 1,000 BMW 1 Series, BMW X1, and BMW X2 vehicles are manufactured on each working day.</t>
    <phoneticPr fontId="1"/>
  </si>
  <si>
    <t>https://www.marklines.com/en/global/1209</t>
    <phoneticPr fontId="1"/>
  </si>
  <si>
    <t>Telangana</t>
  </si>
  <si>
    <t>On October 9, 2023, Mahindra announced that Mahindra Last Mile Mobility Limited (MLMML) has completed regulatory and procedural requirements and has received the first tranche of INR 3 billion from IFC (International Finance Corporation). Further to which, MLMML commenced commercial operations in September 2023 and will focus on scaling last mile passenger and cargo transportation solutions. In March 2023, IFC committed to invest INR 6 billion (in one or more tranches), at a valuation of up to INR 6.020 billion, in a new company housing the last mile mobility division of Mahindra Group.</t>
    <phoneticPr fontId="1"/>
  </si>
  <si>
    <t>https://www.marklines.com/en/global/10569</t>
    <phoneticPr fontId="1"/>
  </si>
  <si>
    <t>On October 9, BYD India partnered with OHM E Logistics, electric cab aggregator and cargo leasing App platform to deliver 300 e6 electric passenger vehicles across India in the next six months. The first phase of this project has started with the delivery of 50 BYD e6 vehicles in Hyderabad. The BYD e6 boasts a 71.7 kWh blade battery, and delivers an WLTC (worldwide light vehicles test cycle) city range of 520 kms and a combined range of 415 kms on a single charge.</t>
    <phoneticPr fontId="1"/>
  </si>
  <si>
    <t>https://www.marklines.com/en/global/1965</t>
    <phoneticPr fontId="1"/>
  </si>
  <si>
    <t>On October 6, Volkswagen Navarra, Spain announced that the factory's flexibility to produce both combustion and electric cars simultaneously starting in 2026. It has approved the production forecast of up to 350,000 cars in 2027 and 2028, with the potential to reach 390,000 through agreed flexibility measures.</t>
    <phoneticPr fontId="1"/>
  </si>
  <si>
    <t>On October 6, Daimler Truck, EnBW (German based energy company), and the City of Wörth am Rhein formed a joint venture called WärmeWerk Wörth GmbH to explore the potential of a climate-neutral energy supply for the Mercedes-Benz plant in Wörth and the city itself, aligning with the German government's climate strategy. The primary goal is to assess the viability of geothermal energy for heat generation at the Wörth site. Site selection is expected in 2024/2025, with testing and development in 2025-2027. If federal funding is granted, the geothermal heating plant could be built and connected to the heating network, with commissioning anticipated in 2028.</t>
    <phoneticPr fontId="1"/>
  </si>
  <si>
    <t>On September 26, Great Wall Heavy Industries Co., Ltd. (Great Wall Heavy Industries), a subsidiary of Great Wall Holding Group, signed a partnership agreement with the Jining City Government of Shandong Province. Under the agreement, the two parties will build a new energy construction equipment headquarters in Jining National High-tech Industrial Development Zone, Shandong Province where Great Wall Heavy Industries will have its entire industrial chain. They will jointly establish an industrial park that can annually produce 50,000 units of intelligent green construction equipment, creating an iconic brand of green and smart equipment. With a total investment of over CNY 11.6 billion, the two parties plan to build six centers and two plants, including a New Energy Vehicle R&amp;D center, a digital intelligent production and research center, and a New Energy Vehicle production site. Great Wall Heavy Industries will produce three vehicle models and 7 core components in this project, including an excavator, a dedicated power battery system, and a hybrid transmission.</t>
    <phoneticPr fontId="1"/>
  </si>
  <si>
    <t>Iveco</t>
    <phoneticPr fontId="1"/>
  </si>
  <si>
    <t>FPT</t>
    <phoneticPr fontId="1"/>
  </si>
  <si>
    <t>https://www.marklines.com/en/global/1335</t>
    <phoneticPr fontId="1"/>
  </si>
  <si>
    <t>On October 6, Iveco Group N.V. and Hyundai Motor Company unveiled the first Iveco Bus E-WAY H2 at Busworld 2023 in Brussels. The hydrogen-powered fuel cell electric bus is a result of their partnership announced in March 2022. E-WAY H2 is a 12-meter low-floor city bus with a 310-kW e-motor and advanced fuel cell tech from Hyundai's HTWO brand. It has 7.8 kg hydrogen storage and 69 kWh battery pack by FPT Industrial, offering a 450 km range. Production will take place in France and Italy at Iveco Bus plants.</t>
    <phoneticPr fontId="1"/>
  </si>
  <si>
    <t>Heuliez Bus</t>
    <phoneticPr fontId="1"/>
  </si>
  <si>
    <t>https://www.marklines.com/en/global/87</t>
    <phoneticPr fontId="1"/>
  </si>
  <si>
    <t>https://www.marklines.com/en/global/10358</t>
    <phoneticPr fontId="1"/>
  </si>
  <si>
    <t>On October 6, the President of the Republic of Uzbekistan met with the President of Russia to discuss strategic partnership and alliance. During the negotiations, the possibility of launching an Atom electric vehicle, entirely designed and developed in Russia was discussed.</t>
    <phoneticPr fontId="1"/>
  </si>
  <si>
    <t>https://www.marklines.com/en/global/2013</t>
    <phoneticPr fontId="1"/>
  </si>
  <si>
    <t>Samut Prakan</t>
  </si>
  <si>
    <t>Announced on October 6, Isuzu Motors stayed committed to realizing a carbon-neutral society, while confirming the plan to make a BEV pickup truck in Thailand. Isuzu said it will first introduce its electric pickup truck in Europe and then examine its gradual roll out by meeting the needs of each market, including Thailand. As of the end of September 2023, the total number of pickup truck units produced by Isuzu Motors Company (Thailand) Limited (IMCT) already hit 5 million (including the KB and TF models, which were the predecessors to the D-MAX, as well as OEM vehicles).</t>
    <phoneticPr fontId="1"/>
  </si>
  <si>
    <t>On October 5, Stellantis announced that starting in 2024, DS Automobiles will launch a 100% electric version of DS 4 and introduce a new design, marking its first all-electric project on the Stellantis STLA M global platform. DS 4 will feature a large battery (up to 98 kWh). Development is nearing completion in France, with production set to take place at the Melfi plant in Italy.</t>
    <phoneticPr fontId="1"/>
  </si>
  <si>
    <t>Geely</t>
    <phoneticPr fontId="1"/>
  </si>
  <si>
    <t>https://www.marklines.com/en/global/3807</t>
    <phoneticPr fontId="1"/>
  </si>
  <si>
    <t>On September 27, multiple sources reported that Geely established a battery subsidiary, Guiyang Shanju Battery Co., Ltd., in Guiyang, Guizhou Province. The new company has a registered capital of CNY 500 million, with its business scope covering battery manufacturing, power electronic component manufacturing, research and development of new energy technology, and the manufacture of specialized equipment for semiconductor devices. It is wholly owned by Zhejiang Xingchuang Automobile Industry Development Co., Ltd., a wholly-owned subsidiary of Zhejiang Jirun Automobile Co., Ltd., which is owned by Geely Automobile Holdings Limited.</t>
    <phoneticPr fontId="1"/>
  </si>
  <si>
    <t>https://www.marklines.com/en/global/10678</t>
    <phoneticPr fontId="1"/>
  </si>
  <si>
    <t>Henan</t>
  </si>
  <si>
    <t>On September 27, Fang Cheng Bao, a new BYD sub-brand for personalized New Energy Vehicles, announced that the Bao 5, its first off-road plug-in hybrid SUV, rolled off the production line. The Bao 5 adopts an intelligent all-wheel drive layout. It carries an engine that delivers a maximum power of 143kW and a peak torque of 273Nm, coupled with two permanent magnet synchronous motors (front: 200kW/360Nm, rear: 285kW/400Nm). The SUV is powered by a 31.8kWh Blade Battery. The plug-in hybrid system has a total power of 505kW and a total torque of 760Nm. It can accelerate from 0-100km/h in 4.8s. According to CLTC, it has a range of 125km in EV mode and a combined range of 1,200km. It also has a fuel consumption of 7.8L/100km at the lowest charge. The Bao 5 has standard features such as the FiPilot intelligent driver assistance system supporting Level 2+ functions.</t>
    <phoneticPr fontId="1"/>
  </si>
  <si>
    <t>https://www.marklines.com/en/global/4101</t>
    <phoneticPr fontId="1"/>
  </si>
  <si>
    <t>On September 27, the Venucia brand of Dongfeng Nissan Passenger Vehicle Company (Dongfeng Nissan) announced that the first Venucia VX6 rolled off the production line at the Huadu plant in Guangzhou. Under Venucia’s new energy strategy, this new electric SUV adopts a new platform and new design. The Venucia VX6 will be powered by CATL's lithium iron phosphate batteries. The electric SUV also adopts the latest all-in-one lightweight motor with a maximum power of 160kW. It can reach a top speed of 165km/h.</t>
    <phoneticPr fontId="1"/>
  </si>
  <si>
    <t>SAIC</t>
    <phoneticPr fontId="1"/>
  </si>
  <si>
    <t>MG</t>
    <phoneticPr fontId="1"/>
  </si>
  <si>
    <t>https://www.marklines.com/en/global/9814</t>
    <phoneticPr fontId="1"/>
  </si>
  <si>
    <t>Fujian</t>
  </si>
  <si>
    <t>On September 26, the MG division of SAIC Motor Corporation Limited (SAIC Motor) announced that it opened reservations for the Cyberster. The Cyberster is powered by a 64kWh or 77kWh ternary lithium-ion battery. The three variants are each equipped with a motor that delivers a maximum power of 231kW/250kW/400kW and a peak torque of 475Nm/475Nm/725Nm. They can reach a top speed of 193/195/200km/h, respectively. According to CLTC, the vehicles have a range of 501/580/520km. It takes 4.9s or 3.2s for them to accelerate from 0-100km/h. The Cyberster has standard features such as a Qualcomm Snapdragon 8155 chip, and a Cyber OS smart cockpit system.</t>
    <phoneticPr fontId="1"/>
  </si>
  <si>
    <t>https://www.marklines.com/en/global/3341</t>
    <phoneticPr fontId="1"/>
  </si>
  <si>
    <t>Jilin</t>
  </si>
  <si>
    <t>On September 27, FAW-Volkswagen Automotive Co., Ltd. (FAW-VW) announced that it signed a strategic partnership agreement with Alibaba Cloud Computing Co., Ltd. (Alibaba Cloud) in Changchun, Jilin Province. In the future, the two companies will collaborate extensively across various domains, encompassing smart manufacturing, logistics, marketing, cloud platforms, talent cultivation, artificial intelligence, and mobility services. They plan to explore innovative means of collaboration between the Internet and the automotive industry, and jointly push ahead with the digital transformation and intelligent development of China's automotive industry. To establish smart factories and intelligent logistics, the two companies will promote the comprehensive digital transformation of FAW-VW’s five major production sites in Changchun, Chengdu, Foshan, Qingdao, and Tianjin. Alibaba Cloud will further provide FAW-VW with comprehensive in-factory intelligent logistics solutions. During the signing ceremony, FAW-VW and Alibaba Cloud unveiled their first joint lab, the Go Digital Creation Center. The Go Digital Creation Center platform has been successfully developed and is now in its operational phase.</t>
    <phoneticPr fontId="1"/>
  </si>
  <si>
    <t>Farizon</t>
    <phoneticPr fontId="1"/>
  </si>
  <si>
    <t>https://www.marklines.com/en/global/10361</t>
    <phoneticPr fontId="1"/>
  </si>
  <si>
    <t>Jiangxi</t>
  </si>
  <si>
    <t>On September 25, Farizon New Energy Commercial Vehicles Group (Farizon) held a launch event in Guiyang, Guizhou Province. During the event, Farion launched the Xingzhi H8M methanol range-extended light truck and the Fengrui V5M methanol-powered small truck. The Xingzhi H8M is built on the GXA-T architecture dedicated for New Energy Trucks. Supported by Geely's methanol power and e-GAPF extended range technology, it has an exceedingly long range of 1,100km.</t>
    <phoneticPr fontId="1"/>
  </si>
  <si>
    <t>https://www.marklines.com/en/global/3681</t>
    <phoneticPr fontId="1"/>
  </si>
  <si>
    <t>FAW</t>
    <phoneticPr fontId="1"/>
  </si>
  <si>
    <t>https://www.marklines.com/en/global/3335</t>
    <phoneticPr fontId="1"/>
  </si>
  <si>
    <t>On September 25, FAW Jiefang and Envision group officially signed the agreement on a co-invested intelligent battery manufacturing site project in Wuxi, Jiangsu. With an estimated investment amount of over CNY 10 billion, the project will focus on developing and manufacturing power batteries mainly for heavy- and light-duty trucks and relevant energy storage products to become a world-leading intelligent commercial vehicle battery manufacturing site, a New Energy commercial vehicle (NECV) business model innovation center, and an NECV-dedicated product development incubation site. The planned annual capacity is 20GWh, and the annual sales is expected to reach CNY 24 billion upon full commissioning. On September 26, the FAW Jiefang Wuxi R&amp;D site project located in Liangxi District broke ground. With a total investment amount of CNY 420 million, the site will be built into the FAW Jiefang Powertrain R&amp;D Center to fill the gap in non-road engine development and testing capabilities under the future China-VII vehicle emission standards and enhance the automaker’s in-house powertrain R&amp;D capability.</t>
    <phoneticPr fontId="1"/>
  </si>
  <si>
    <t>https://www.marklines.com/en/global/2837</t>
    <phoneticPr fontId="1"/>
  </si>
  <si>
    <t>South America</t>
    <phoneticPr fontId="1"/>
  </si>
  <si>
    <t>Brazil</t>
    <phoneticPr fontId="1"/>
  </si>
  <si>
    <t>On September 29, BYD advisor Alexandre Baldy announced that BYD will inaugurate the cornerstone of its new plant in Camaçari, Brazil, which once belonged to Ford, on October 9. BYD intends to start vehicle production at the Camaçari factory in Q4 2024 with a capacity of 150,000 units, initially producing two to three models, which are expected to be the Dolphin and Song Plus with a third model to be revealed soon.</t>
    <phoneticPr fontId="1"/>
  </si>
  <si>
    <t>https://www.marklines.com/en/global/10393</t>
    <phoneticPr fontId="1"/>
  </si>
  <si>
    <t>Sichuan</t>
  </si>
  <si>
    <t>On October 20, Chinese LIVAN announced the official premiere of the dynamic city sedan in a sporty style LIVAN S6PRO, and the dynamic urban crossover LIVAN X6PRO in Russia. LIVAN X6PRO is the perfect combination of sporty style and ergonomics. There are 3 trim levels. LIVAN S6PRO is also available in 3 configurations.</t>
    <phoneticPr fontId="1"/>
  </si>
  <si>
    <t>https://www.marklines.com/en/global/10480</t>
    <phoneticPr fontId="1"/>
  </si>
  <si>
    <t>Livan</t>
    <phoneticPr fontId="1"/>
  </si>
  <si>
    <t>https://www.marklines.com/en/global/1973</t>
    <phoneticPr fontId="1"/>
  </si>
  <si>
    <t>Reported on October 20, BMW Group Thailand intended to conclude its local EV manufacturing plan by the end of 2023 as it needs further discussion with both the parent company and the Thai Board of Investment. The carmaker is currently considering two plans, which are upgrading its existing Rayong factory that makes ICE vehicles to include an EV production line, or setting up a whole new EV plant.</t>
    <phoneticPr fontId="1"/>
  </si>
  <si>
    <t>https://www.marklines.com/en/global/1971</t>
    <phoneticPr fontId="1"/>
  </si>
  <si>
    <t>On October 19, MAN Truck &amp; Bus announced that it is launching sales of the new heavy MAN eTruck in Europe at the end of October. The MAN eTruck has already undergone extensive durability, load, and safety validations on its way to series production readiness. Conditions that place extreme demands on the temperature management of the batteries, the charging management, but also the powertrain components. Besides, MAN and the German Freight Transport and Logistics Association (BGL) are jointly calling for the accelerated expansion of public charging infrastructure.</t>
    <phoneticPr fontId="1"/>
  </si>
  <si>
    <t>Chery</t>
    <phoneticPr fontId="1"/>
  </si>
  <si>
    <t>https://www.marklines.com/en/global/1311</t>
    <phoneticPr fontId="1"/>
  </si>
  <si>
    <t>On October 19, the Competition and Market Guarantor Authority (AGCM), Italy started an investigation against DR Automobiles Srl for possible illicit conduct during the promotion and sale of DR and EVO branded cars, in violation of the rules of the Consumer Code. In particular, the company would incorrectly represent information regarding the place of production of the DR and EVO brand vehicles. Furthermore, in some cases it would omit relevant information on their origin, suggesting that they are produced entirely in Italy, while they are Chinese-produced vehicles. The Authority's officials carried out inspections at the headquarters of the DR Automobiles Srl company with the help of the Special Antitrust Unit of the Financial Police.</t>
    <phoneticPr fontId="1"/>
  </si>
  <si>
    <t>DR Motor</t>
    <phoneticPr fontId="1"/>
  </si>
  <si>
    <t>Volvo Cars</t>
    <phoneticPr fontId="1"/>
  </si>
  <si>
    <t>https://www.marklines.com/en/global/2729</t>
    <phoneticPr fontId="1"/>
  </si>
  <si>
    <t>On October 19, Volvo Cars opened a new state-of-the-art software testing center in Gothenburg, Sweden, which will expand its capacity for integrated software testing at all levels. The new 22,000 square meter facility, built with an initial investment of around SEK 300 million, is Volvo Car's largest testing facility in terms of size and capacity. The Gothenburg site will work closely together with other engineering centers around the globe that play a central role in software development. The new facility will initially employ around 100 workers and will expand to 300 individuals once the testing center is fully operational. The site currently has 200 testing rigs and digital test environments, which will expand to 500.</t>
    <phoneticPr fontId="1"/>
  </si>
  <si>
    <t>https://www.marklines.com/en/global/2727</t>
    <phoneticPr fontId="1"/>
  </si>
  <si>
    <t>https://www.marklines.com/en/global/3125</t>
    <phoneticPr fontId="1"/>
  </si>
  <si>
    <t>Canada</t>
    <phoneticPr fontId="1"/>
  </si>
  <si>
    <t>On October 19, Honda announced it will introduce the Honda Civic Hybrid in Canada and the U.S. in 2024, with production of the Civic Hybrid sedan beginning in spring 2024 at Honda of Canada Mfg. (HCM) in Alliston, Ontario, lead North American Honda plant for Civic Hybrid production, followed by the hatchback at the Indiana Auto Plant (IAP) in Greensburg, Indiana, as both plants already produce the Honda CR-V Hybrid.</t>
    <phoneticPr fontId="1"/>
  </si>
  <si>
    <t>https://www.marklines.com/en/global/3117</t>
    <phoneticPr fontId="1"/>
  </si>
  <si>
    <t>On October 19, UAW workers at ZF Group's Tuscaloosa, Alabama, axle factory announced they have ratified a new four-year contract with the company, ending a nearly month-long strike, ending any threat to vehicle production at the Mercedes-Benz assembly plant in nearby Vance, which receives front and rear axles from ZF. </t>
    <phoneticPr fontId="1"/>
  </si>
  <si>
    <t>https://www.marklines.com/en/global/10671</t>
    <phoneticPr fontId="1"/>
  </si>
  <si>
    <t>On October 18, on the Q3 earnings call, Tesla CEO Musk said Cybertruck will begin deliveries on November 30,but  it will take 18 months to reach planned volume production of 250,000 units annually at Gigafactory Texas due to the complexity of the product. Musk said the company is not pushing an aggressive timeline to build the Gigafactory Mexico plant due to economic concerns, but "If interest rates come down, we will accelerate", while noting that Gigafactory Texas has significant room to expand vehicle production.</t>
    <phoneticPr fontId="1"/>
  </si>
  <si>
    <t>https://www.marklines.com/en/global/2521</t>
    <phoneticPr fontId="1"/>
  </si>
  <si>
    <t>GM is set to begin the start of regular production (SORP) for the 2024 Corvette E-Ray at the Bowling Green plant in Kentucky on October 23, according to sources. The 2024 Corvette E-Ray is powered by a hybrid powertrain that combines a naturally aspirated 6.2-liter V8 LT2 gasoline engine as in the C8 Corvette Stingray that sends power to the rear axle, with a single front-mounted electric motor that drives the front axle, powered by a 1.9 kWh battery pack located between the seats, for a combined output of 655 hp. All C8 Corvette variants ride on the GM Y2 platform.</t>
    <phoneticPr fontId="1"/>
  </si>
  <si>
    <t>BAIC Foton</t>
    <phoneticPr fontId="1"/>
  </si>
  <si>
    <t>https://www.marklines.com/en/global/3425</t>
    <phoneticPr fontId="1"/>
  </si>
  <si>
    <t>Beijing</t>
  </si>
  <si>
    <t>On October 19, Piaggio and Foton Motor Group signed a contract for the joint development of a new range of electrically powered Porter vehicles. The new range of electric Porter models will be manufactured in Italy, in the Piaggio Group’s Pontedera factory. The new electric Porter vehicles will feature innovative cybersecurity solutions and active and passive vehicle safety systems, including advanced driver-assistance systems (ADAS). The new content will also be made available on the Porter combustion models. The partnership will extend the Piaggio range of commercial vehicles with two new four-wheel electric variants. Marketing will begin by the end of 2024 in the main European countries.</t>
    <phoneticPr fontId="1"/>
  </si>
  <si>
    <t>Piaggio</t>
    <phoneticPr fontId="1"/>
  </si>
  <si>
    <t>https://www.marklines.com/en/global/1365</t>
    <phoneticPr fontId="1"/>
  </si>
  <si>
    <t>On October 19, Stellantis announced that Lancia's new flagship will be launched in a 100% electric version in 2026. It will be produced at the Melfi plant in Italy. With its almost 4.7 meters long, it is an elegant and innovative fastback, which will cover the largest segment of the market. It will be based on the STLA Medium platform. The car will be available in both front-wheel drive and all-wheel drive versions. It will have a range of more than 700 km. It will be the second of the three planned cars by Lancia.</t>
    <phoneticPr fontId="1"/>
  </si>
  <si>
    <t>https://www.marklines.com/en/global/10614</t>
    <phoneticPr fontId="1"/>
  </si>
  <si>
    <t>On November 19, Automotive Cells Company (ACC) started construction of Block 2 of the Billy-Berclau Douvrin, Gigafactory. The Gigafactory will have three blocks, each with a capacity of 15 GWh. Commissioning of the second block of the Billy-Berclau Douvrin Gigafactory is scheduled for 2025. Construction of the first block began in January 2022. Production is about to start on the first lines installed there. This second block, adjoining the first, has similar overall dimensions: 626 meters long, 95 meters wide, and up to 35 meters high.</t>
    <phoneticPr fontId="1"/>
  </si>
  <si>
    <t>https://www.marklines.com/en/global/1029</t>
    <phoneticPr fontId="1"/>
  </si>
  <si>
    <t>On October 18, Honda Atlas Cars Pakistan announced that it will shut down its manufacturing plant from October 24, 2023 to October 31, 2023. It mentioned that due to the current level of inventory and parts shortage, its supply chain has been severely disrupted and it is not in the position to continue production.</t>
    <phoneticPr fontId="1"/>
  </si>
  <si>
    <t>https://www.marklines.com/en/global/1255</t>
    <phoneticPr fontId="1"/>
  </si>
  <si>
    <t>On October 18, Maruti Suzuki India Limited (MSIL) crosses 1 million automatic vehicle sales milestone. MSIL offers four distinct automatic transmission systems – Auto Gear Shift (AGS), 4-speed Automatic Transmission (AT), Advanced 6-speed Automatic Transmission (AT) with Steering Mounted Paddle Shifters and Electronic-Continuous Variable Transmission (e-CVT) across 16 models. MSIL mentioned that over 65% of the automatic vehicles sold by MSIL are equipped with AGS technology. The share of AT automatic transmission models account for 27% of total MSIL automatic sales, while the Hybrid e-CVT transmission constitutes about 8% of MSIL automatic sales.</t>
    <phoneticPr fontId="1"/>
  </si>
  <si>
    <t>https://www.marklines.com/en/global/1251</t>
    <phoneticPr fontId="1"/>
  </si>
  <si>
    <t>Delhi</t>
  </si>
  <si>
    <t>https://www.marklines.com/en/global/1256</t>
    <phoneticPr fontId="1"/>
  </si>
  <si>
    <t>Gujarat</t>
  </si>
  <si>
    <t>On October 18, multiple sources reported that NWTN and the Abu Dhabi Investment Office (ADIO) signed a memorandum of understanding (MoU).  Under the MoU, NWTN will benefit from the Yas Island testing zone, offered by the E Smart and Autonomous Vehicles Industry (SAVI) cluster, which provides an established road mobility test bed with a growing number of incorporated technology startups.</t>
    <phoneticPr fontId="1"/>
  </si>
  <si>
    <t>https://www.marklines.com/en/global/10160</t>
    <phoneticPr fontId="1"/>
  </si>
  <si>
    <t>On October 18, Renault Group announced the installation of new testing resources and a testing team from its partner SERMA for the validation of the chain of electric traction at its Lardy Technical Center, in France. This partnership is part of Renault Group's strategy for the development of electric vehicles in France and will guarantee Ampère, the Group's new entity dedicated to electric vehicles, the testing capacity necessary for the electrification of Renault’s vehicle range. Renault’s Technical Center in Lardy provides a 3,500 square-meter building, in which SERMA will carry out electrical tests which include tests of energy storage systems, electric motor tests, chargers, converters, and inverters. SERMA will also conduct abuse tests which include the study of the behavior and reactions of batteries beyond standard specifications.</t>
    <phoneticPr fontId="1"/>
  </si>
  <si>
    <t>https://www.marklines.com/en/global/1061</t>
    <phoneticPr fontId="1"/>
  </si>
  <si>
    <t>On October 17, Pak Suzuki Motor, Pakistan announced that due to shortage of inventory level, the management of the company has decided to shut down automobile plant from October 25,2023 to October 27, 2023. However, the motorcycle plan will remain operative.</t>
    <phoneticPr fontId="1"/>
  </si>
  <si>
    <t>https://www.marklines.com/en/global/2671</t>
    <phoneticPr fontId="1"/>
  </si>
  <si>
    <t>As the Unifor labor union talks resume with Stellantis in Canada, it has declared 11:59 p.m. October 29 as the strike deadline to obtain a tentative agreement, which will have additional complexity with Its NextStar Energy battery JV with LG Energy Solution that will launch production in Q1 2024 in Windsor. Stellantis already has announced a CAD 3.6 billion investment for electric and other alternative fuel systems in its Brampton and Windsor plants. Windsor Assembly is undergoing retooling now and production at Brampton finishes at the end of 2023 ahead of retooling there.</t>
    <phoneticPr fontId="1"/>
  </si>
  <si>
    <t>https://www.marklines.com/en/global/2673</t>
    <phoneticPr fontId="1"/>
  </si>
  <si>
    <t>https://www.marklines.com/en/global/2675</t>
    <phoneticPr fontId="1"/>
  </si>
  <si>
    <t>Dodge</t>
    <phoneticPr fontId="1"/>
  </si>
  <si>
    <t>https://www.marklines.com/en/global/10577</t>
    <phoneticPr fontId="1"/>
  </si>
  <si>
    <t>Wuling</t>
    <phoneticPr fontId="1"/>
  </si>
  <si>
    <t>https://www.marklines.com/en/global/9039</t>
    <phoneticPr fontId="1"/>
  </si>
  <si>
    <t>On October 16, the SAIC-GM-Wuling Technology Evolution Day was opened, where Wuling Motors officially introduced two in-house developed core technologies, the Lingxi hybrid system and the Shenlian battery. The company also officially unveiled the Xingguang, its first compact family sedan based on a new original New Energy architecture. The sedan will be launched in late November 2023. The Lingxi hybrid system consists of industry-leading hardware components including a hybrid-dedicated engine, an electromagnetic DHT (dedicated hybrid transmission) system, an electric drive system, and a hybrid-dedicated battery. Specifically, the 1.5L hybrid engine platform achieves an industry-leading maximum thermal efficiency of 43.2% and a generating power from 8kW to 60kW. The hybrid motor achieves a maximum efficiency of 96.8% and has been certified by China Automotive Technology and Research Center Co., Ltd. The hybrid electronic control system achieves a maximum efficiency of 98.8% and, thanks to the latest high-power IGBT chip and the OreoPACK double-sided heat dissipation plastic sealing technology, a two-thirds reduction in size and a 25% reduction in thermal resistance losses. The Wuling Motors globally pioneered electromagnetic DHT system responds in as little as 0.1 seconds. The Xingguang will ride on the latest New Energy technologies including the Lingxi hybrid system and the Shenlian battery and be compatible with plug-in hybrid and battery electric powertrains, with a WLTC combined fuel consumption as low as 3.98L/100km and an NEDC fuel consumption as low as 3.7L/100km.</t>
    <phoneticPr fontId="1"/>
  </si>
  <si>
    <t>https://www.marklines.com/en/global/4153</t>
    <phoneticPr fontId="1"/>
  </si>
  <si>
    <t>Guangxi</t>
  </si>
  <si>
    <t>On October 16, Ford Motor Co. asked an additional 106 employees at its Sterling Axle Plant not to report to work, bringing the layoff total now to 268 as the Michigan facility must reduce its production of parts that would normally be shipped to Chicago Assembly Plant and Kentucky Truck Plant, now on strike. By close of business Monday, Ford had about 16,600 workers striking at three factories in Michigan, Illinois and Kentucky plus 2,580 layoffs at 10 sites in Michigan, Illinois and Ohio.</t>
    <phoneticPr fontId="1"/>
  </si>
  <si>
    <t>On October 16, GM announced it is experiencing "temporary parts supply issues" at its Chevrolet Corvette plant in Bowling Green, Kentucky, as it continues to operate with lower output. GM did not specify the supply issue, but said it is not connected to the UAW targeted plant strikes. </t>
    <phoneticPr fontId="1"/>
  </si>
  <si>
    <t>https://www.marklines.com/en/global/3189</t>
    <phoneticPr fontId="1"/>
  </si>
  <si>
    <t>Tennessee</t>
  </si>
  <si>
    <t>On October 16, Nissan USA announced that it has been able to certify that 2024 LEAF vehicles produced in the U.S. will qualify for part of the U.S. federal EV tax credit by meeting the “battery component” requirements of the Inflation Reduction Act (IRA) of 2022. Now qualifying for the USD 3,750 tax credit, the LEAF and its AESC-supplied battery are assembled in Smyrna, Tennessee.</t>
    <phoneticPr fontId="1"/>
  </si>
  <si>
    <t>https://www.marklines.com/en/global/10402</t>
    <phoneticPr fontId="1"/>
  </si>
  <si>
    <t>https://www.marklines.com/en/global/9345</t>
    <phoneticPr fontId="1"/>
  </si>
  <si>
    <t>On October 13, Farizon New Energy Commercial Vehicles Group (Farizon) signed a tripartite strategic cooperation agreement with Windey Energy Technology Group Co., Ltd. (Windey) and the Administrative Office of Alxa League (AOAL) in Alxa. The three parties will take this cooperation as an opportunity to co-build a full industrial chain for green electricity-to-methanol preparation and application. They will also co-build a demonstration site integrating production and application of fuel for zero-carbon methanol-powered heavy-duty trucks.</t>
    <phoneticPr fontId="1"/>
  </si>
  <si>
    <t>Changan/Chana</t>
    <phoneticPr fontId="1"/>
  </si>
  <si>
    <t>https://www.marklines.com/en/global/3449</t>
    <phoneticPr fontId="1"/>
  </si>
  <si>
    <t>According to multiple press releases dated October 13, Chongqing Xinlian Integrated Circuit Co., Ltd. was recently established. The new company’s registered capital is CNY 8.7 billion, and its business scope includes design of integrated circuits (ICs), manufacturing of ICs, manufacturing of IC chips and products, and manufacturing of semiconductor-dedicated devices. The company is jointly held by institutions and companies including the Chongqing High-tech Industrial Development Zone Intelligent Manufacturing Industry Research Institute, Chongqing Machinery &amp; Electronics Holding (Group) Co., Ltd., Qingling Motors (Group) Co., Ltd., and Changan Auto.</t>
    <phoneticPr fontId="1"/>
  </si>
  <si>
    <t>Qingling</t>
    <phoneticPr fontId="1"/>
  </si>
  <si>
    <t>https://www.marklines.com/en/global/4173</t>
    <phoneticPr fontId="1"/>
  </si>
  <si>
    <t>https://www.marklines.com/en/global/3685</t>
    <phoneticPr fontId="1"/>
  </si>
  <si>
    <t>On October 12, Forland, a Foton Motor sub-brand, held a launch for the Half-Million Strategy 2.0 in Zhucheng, Shandong, putting forward the strategic goals of striving to achieve an annual production and sales volume of 350,000 units by 2025 and 500,000 units by 2028. With New Energy, overseas, South China, and brand strategies at the core, Forland plans to achieve goals, such as a 50% New Energy Vehicle business proportion, a 2% annual market share improvement under the South China strategy, and a three-year sales doubling, in five years.</t>
    <phoneticPr fontId="1"/>
  </si>
  <si>
    <t>https://www.marklines.com/en/global/2865</t>
    <phoneticPr fontId="1"/>
  </si>
  <si>
    <t>On October 10, Hyundai Motor Brazil reached production of 2 million vehicles in the country since the beginning of operations in September 2012. The two-millionth vehicle is a Creta New generation Ultimate 2.0 and will be used in memorial ceremonies.</t>
    <phoneticPr fontId="1"/>
  </si>
  <si>
    <t>https://www.marklines.com/en/global/2781</t>
    <phoneticPr fontId="1"/>
  </si>
  <si>
    <t>Argentina</t>
    <phoneticPr fontId="1"/>
  </si>
  <si>
    <t>On October 10, GM temporarily stopped production of the second-generation Chevrolet Cruze and Chevrolet Tracker subcompact crossover at Rosario plant due to problems with the suppliers for importing the needed parts. Production will be resumed as soon as parts are received.</t>
    <phoneticPr fontId="1"/>
  </si>
  <si>
    <t>On September 22, the People’s Government of Longquan of Zhejiang Province (the Government) announced the recent groundbreaking of the first phase of a Geely intelligent thermal management system manufacturing project. On August 8, the Government and Geely Auto Group (Geely) held a project cooperation signing ceremony in Lishui, where a New Energy Vehicle (NEV) thermal management project, a battery swapping project, and an investment fund project for the automotive technology industry were successfully signed. These three projects will focus on the NEV thermal management industry for joint promotion of the transformation, upgrading, and cluster development of Longquan’s thermal management industry, and will further promote the implementation of the strategies of carbon peaking and carbon neutrality through cooperation on battery swapping and funding.</t>
    <phoneticPr fontId="1"/>
  </si>
  <si>
    <t>https://www.marklines.com/en/global/3377</t>
    <phoneticPr fontId="1"/>
  </si>
  <si>
    <t>Liaoning</t>
  </si>
  <si>
    <t>On September 21, BMW Group put the innovative iX1 xDrive30L battery electric SUV into mass production at the BMW Brilliance Tiexi Plant in Shenyang. Thus, all plants at the BMW Shenyang production site have become capable of flexibly producing battery electric models. In the future, the iX1 xDrive25L will be exported overseas.</t>
    <phoneticPr fontId="1"/>
  </si>
  <si>
    <t>https://www.marklines.com/en/global/10365</t>
    <phoneticPr fontId="1"/>
  </si>
  <si>
    <t>On October 18, Scania announced that production of the next level of battery-electric zero-emission regional trucks will now commence in Södertälje, Sweden, for trucks with R and S cabs with 400 or 450 kW of engine power. Scania's latest electric trucks are offered as both rigid and tractors with e-adapted chassis, new batteries, and optimized auxiliary systems. The truck can have gross train weights up to 64 tons, power up to 610 hp, and range up to 390 kilometers. Scania is using cells from the Northvolt. Scania's batteries can be charged repeatedly up to 100% of the SOC window without any impact on their lifespan.</t>
    <phoneticPr fontId="1"/>
  </si>
  <si>
    <t>Scania (TRATON)</t>
    <phoneticPr fontId="1"/>
  </si>
  <si>
    <t>https://www.marklines.com/en/global/2695</t>
    <phoneticPr fontId="1"/>
  </si>
  <si>
    <t>Citroen</t>
    <phoneticPr fontId="1"/>
  </si>
  <si>
    <t>https://www.marklines.com/en/global/1767</t>
    <phoneticPr fontId="1"/>
  </si>
  <si>
    <t>On October 17, Stellantis unveiled the all-electric ë-C3, which will arrive in dealerships across Europe in Q2 2024. The all-new ë-C3 is designed at Citroën's studio in the Stellantis Automotive Design Network facility at Velizy-Villacoublay and will be manufactured at the Stellantis Trnava manufacturing plant in Slovakia. The new ë-C3 is equipped with an 83 kW electric motor and a fully automatic transmission. The vehicle also comes with a 44 kWh LFP (Lithium Ferro Phosphate) battery pack, that offers a driving range of up to 320 km (WLTP) and can be charged from 20% to 80% in 26 minutes using its 100 kW DC charging capability. The vehicle has a 0 to 100 km/h acceleration time of 11 seconds and a top speed of 135 km/h. In addition, Citroën will also introduce a 200 km range version of the all-new Citroën ë-C3 in 2025.</t>
    <phoneticPr fontId="1"/>
  </si>
  <si>
    <t>https://www.marklines.com/en/global/10417</t>
    <phoneticPr fontId="1"/>
  </si>
  <si>
    <t>https://www.marklines.com/en/global/615</t>
    <phoneticPr fontId="1"/>
  </si>
  <si>
    <t>On October 17, Ford Motor Company of South Africa announced that it had reached a production milestone of 4 million engines manufactured at its Struandale Engine Plant. The four-millionth engine was a 2.0-litre four-cylinder Bi-Turbo diesel engine that will be installed in a new Ranger bakkie (pickup) at Ford’s Silverton Assembly Plant in Pretoria. The plant also reached a milestone of 300,000th 2.0L Single Turbo/Bi-Turbo diesel engine being produced at Struandale, since this program was launched in 2018. Struandale plant currently produces three diesel engines, which include a 2.2L/3.2L Duratorq TDCi introduced in 2011, a 2.0L SiT/BiT that commenced in 2018, and a 3.0L V6 Diesel engine launched in 2022 for the new Ranger. The Struandale Engine Plant has a total capacity of up to 250,000 engines per annum and employs around 850 employees.</t>
    <phoneticPr fontId="1"/>
  </si>
  <si>
    <t>https://www.marklines.com/en/global/10682</t>
    <phoneticPr fontId="1"/>
  </si>
  <si>
    <t>On October 17, Škoda Auto Volkswagen India Private Limited (SAVWIPL) inaugurated its Parts Expedition Centre (PEC) at the Volkswagen Group's Headquarters in Chakan, Pune. This 16,800-square metre facility will accelerate its export operations in the ASEAN region, starting with Vietnam from 2024. The centra has an initial capacity of 27,000 car sets annually for Vietnam, further has the infrastructure to scale up to 40,000 car sets annually. The made-in-India kits will be shipped from India to Vietnam for final production in the first phase and will also serve several emerging markets in the ASEAN region in the future. Skoda Auto will export the Slavia sedan and Kushaq SUV to Vietnam, following the CKD assembly approach. The export procedure entails parts being shipped to Vietnam through the port of Mumbai. Final assembly and customer delivery preparation will be executed at Škoda Auto's associated facility, TC Group, in Quãng Ninh province, Vietnam. The dedicated production line in Vietnam is under construction and slated for commissioning in the first half of 2024.</t>
    <phoneticPr fontId="1"/>
  </si>
  <si>
    <t>https://www.marklines.com/en/global/1304</t>
    <phoneticPr fontId="1"/>
  </si>
  <si>
    <t>https://www.marklines.com/en/global/179</t>
    <phoneticPr fontId="1"/>
  </si>
  <si>
    <t>On October 17, Renault Group announced that it had reached a milestone of 100 million engines and gearboxes manufactured at its Cléon factory in France. The milestone includes the production of 14,512,000 C-type engines, 14,520,000 F-type engines, and 21,139,294 J-type gearboxes to date. 50 families of parts are machined each day, including camshafts, valve covers, and crankshafts for internal combustion engines, drive shafts, transaxles, pinion gears for gearboxes, rotorshafts, lock housing and pinion gears for electric motors. Over 3,000 people are currently employed in the Cléon workshops. 250 automated guided vehicles (AGV) travel along the production lines every day to replenish workstations. 648 robots, including 89 collaborative robots, which work directly with humans are also part of the manufacturing process in the factory.</t>
    <phoneticPr fontId="1"/>
  </si>
  <si>
    <t>https://www.marklines.com/en/global/2479</t>
    <phoneticPr fontId="1"/>
  </si>
  <si>
    <t>On October 17, GM announced it is pushing back the launch of two electric pickups at its Orion Assembly plant by one year to late 2025, idling the factory where Chevrolet Bolt EV and Bolt EUV are currently built until production stops at the end of 2023 now for up to two years, in a move the company says is unrelated to the UAW strike. Production of the Chevrolet Silverado EV Work Truck has already launched at GM’s Factory Zero plant, and production of the retail Silverado EV should start there later in 2023. Production of the GMC Sierra EV is scheduled to start at Factory Zero in 2024. GM is investing USD 4 billion into Orion Assembly for EV truck production, including construction of new body and paint shops and new general assembly and battery pack assembly areas.</t>
    <phoneticPr fontId="1"/>
  </si>
  <si>
    <t>https://www.marklines.com/en/global/2459</t>
    <phoneticPr fontId="1"/>
  </si>
  <si>
    <t>Cadillac</t>
    <phoneticPr fontId="1"/>
  </si>
  <si>
    <t>GMC</t>
    <phoneticPr fontId="1"/>
  </si>
  <si>
    <t>Lucid Motors</t>
    <phoneticPr fontId="1"/>
  </si>
  <si>
    <t>https://www.marklines.com/en/global/9873</t>
    <phoneticPr fontId="1"/>
  </si>
  <si>
    <t>Arizona</t>
  </si>
  <si>
    <t>On October 17, Lucid announced that it produced 1,550 vehicles during Q3 in its plant in Casa Grande, Arizona. It also produced and sent 700 incomplete vehicles to the AMP-2 plant in King Abdullah Economic City, Saudi Arabia for final assembly. Lucid delivered 1,457 vehicles to buyers in Q3.</t>
    <phoneticPr fontId="1"/>
  </si>
  <si>
    <t>https://www.marklines.com/en/global/10762</t>
    <phoneticPr fontId="1"/>
  </si>
  <si>
    <t>Saudi Arabia</t>
    <phoneticPr fontId="1"/>
  </si>
  <si>
    <t>https://www.marklines.com/en/global/965</t>
    <phoneticPr fontId="1"/>
  </si>
  <si>
    <t>Malaysia</t>
    <phoneticPr fontId="1"/>
  </si>
  <si>
    <t>Reported on October 16, Chery unveiled that its Malaysia’s CKD operations at Inokom plant will cover both Omoda and Jaecoo brands. Its CKD operations will also cover EVs, and one of the models planned for Malaysia is the Exlantix ET in 2025. Other electrified options such as PHEVs are also under consideration. The launch of Chery Tiggo 7 Pro PHEV and 8 Pro PHEV in Malaysia will reportedly happen in 2024, and both models are also expected be locally-assembled. Regarding the potential of building its own production facility in Malaysia, Chery said it is possible, but it would be dependent on volume.</t>
    <phoneticPr fontId="1"/>
  </si>
  <si>
    <t>Omoda</t>
    <phoneticPr fontId="1"/>
  </si>
  <si>
    <t>Inokom</t>
    <phoneticPr fontId="1"/>
  </si>
  <si>
    <t>https://www.marklines.com/en/global/10730</t>
    <phoneticPr fontId="1"/>
  </si>
  <si>
    <t>On October 16, Umicore and AESC announced they have signed a ten-year agreement whereby Umicore will supply high-nickel battery materials for the production of EV batteries at AESC’s U.S. manufacturing facilities. Umicore will supply an annual equivalent to 50 GWh of CAM by the end of the decade for battery materials that will power the EVs of AESC’s customers, including BMW batteries assembled in Woodruff, South Carolina for EVs built in Spartanburg. AESC will begin receiving supplies in 2026 from Umicore’s factory in Cheonan, Korea, complemented by supplies from the Loyalist plant in Ontario, Canada, once it starts production that same year.</t>
    <phoneticPr fontId="1"/>
  </si>
  <si>
    <t>According to the publication on October 12th and 15th, BYD announced the recent successive holding of the Hong Kong and Macao launches for the Seal model at the Zhuhai International Circuit in Guangdong.</t>
    <phoneticPr fontId="1"/>
  </si>
  <si>
    <t>According to multiple press releases dated October 13, Shanghai Xingchuang Future Intelligent Technology Co., Ltd. was recently established. The new company’s registered capital is CNY 1 million, and its business scope includes development of AI application software, information system integration services, and computer system services. The company is wholly owned by Zhejiang Xingchuang Automobile Software Technology Co., Ltd., a joint venture (JV) between Shanghai Huixing Intelligent Technology Co., Ltd., a subsidiary of Thunder Software Technology Co., Ltd. (ThunderSoft), and Zhejiang Xingchuang Automobile Industry Development Co., Ltd., a Geely subsidiary.</t>
    <phoneticPr fontId="1"/>
  </si>
  <si>
    <t>On October 13 the state government of Nuevo Leon, Mexico launched 2 public biddings for the construction of 2 overpasses that are planned to connect the Tesla Gigafactory, one with the peripheral road ring and a second one to the Monterrey-Saltillo Free Highway. All these works are planned to start in January 2024 and are expected to take 14 to 15 months to complete.</t>
    <phoneticPr fontId="1"/>
  </si>
  <si>
    <t>On October 12, Neta Auto announced that it signed a memorandum of understanding with BNP Paribas in Shanghai to officially form a strategic partnership for automobile finance, with a multitude of areas, such as personal finance, automobile insurance, and automobile services, involved.</t>
    <phoneticPr fontId="1"/>
  </si>
  <si>
    <t>IM</t>
    <phoneticPr fontId="1"/>
  </si>
  <si>
    <t>https://www.marklines.com/en/global/3611</t>
    <phoneticPr fontId="1"/>
  </si>
  <si>
    <t>On October 12, IM Motors, an SAIC Motor sub-brand, officially launched and delivered the new LS6 mid-to-large-size intelligent coupe SUV. The LS6 is based on either a quasi-500V high-performance platform or a quasi-900V dual-silicon-carbide ultra-high-performance platform. The two quasi-500V platform-based variants are respectively equipped with 231kW/450Nm and 250kW/450Nm high-power magnesium-aluminum alloy motors and 71kWh and 90kWh batteries, with an RWD layout, respective CLTC combined ranges of 560km and 680km, a 0 to 100km/h acceleration time of 5.9 seconds, and a top speed of 200km/h. Riding standard on an Orin X high-computing-power chip. The vehicle also configurations such as eTAC edge torque control technology,.</t>
    <phoneticPr fontId="1"/>
  </si>
  <si>
    <t>Dongfeng</t>
    <phoneticPr fontId="1"/>
  </si>
  <si>
    <t>Voyah</t>
    <phoneticPr fontId="1"/>
  </si>
  <si>
    <t>https://www.marklines.com/en/global/9165</t>
    <phoneticPr fontId="1"/>
  </si>
  <si>
    <t>Hubei</t>
  </si>
  <si>
    <t>On October 12, Dongfeng Motor (DFM) announced that Voyah, a sub-brand, officially entered the Finnish market. The Finnish sales and delivery of the Voyah Free mid-to-large-size 5-seater SUV started.</t>
    <phoneticPr fontId="1"/>
  </si>
  <si>
    <t>https://www.marklines.com/en/global/4167</t>
    <phoneticPr fontId="1"/>
  </si>
  <si>
    <t>According to multiple press releases dated October 11, Changan Ford NEV Technology Co., Ltd. (Changan Ford NEV) was opened in Chongqing. Established on September 20, Changan Ford NEV is 40% and 60% owned by Changan Auto and Changan Ford, respectively, of which the former actually holds 70% as it holds 50% of the latter. Changan Ford NEV will first introduce FMeT products to increase the weight of localized development of future products, and then introduce Changan Auto resources to develop new models. The new company will function as the main carrier of Changan Ford’s electrification transformation and that of mainstream Ford Motor sub-brands’ electric vehicle operations in China.</t>
    <phoneticPr fontId="1"/>
  </si>
  <si>
    <t>https://www.marklines.com/en/global/10572</t>
    <phoneticPr fontId="1"/>
  </si>
  <si>
    <t>https://www.marklines.com/en/global/10765</t>
    <phoneticPr fontId="1"/>
  </si>
  <si>
    <t>https://www.marklines.com/en/global/4163</t>
    <phoneticPr fontId="1"/>
  </si>
  <si>
    <t>On October 11, Nissan Mexicana celebrated the production of 16 million engines at the Aguascalientes A1 plant. The 16 millionth engine includes the Bore Spray Coating technology (designed to increase the power and durability of monoblock cylinders) and belongs to a Nissan Kicks.</t>
    <phoneticPr fontId="1"/>
  </si>
  <si>
    <t>https://www.marklines.com/en/global/379</t>
    <phoneticPr fontId="1"/>
  </si>
  <si>
    <t>Toyota Motor Corporation announced a hybrid vehicle (HV) version of the Crown Sport, a sports SUV of the 16th generation "Crown" series, in Japan on October 6. Order-taking started the same day and the product will be released around November. The 16th generation Crown series offers four body types, including sedan and SUV, with the "Crown Crossover", a fusion of a sedan and SUV, already being introduced as the first model of the series. The second model, the Crown Sport, measures 4,720mm (length) x 1,880mm (width) x 1,565mm (height) and has a wheelbase of 2,770 mm. The vehicle is characterized by the fenders that extend dramatically outward from the D pillars to the rear tires. These fenders enhance the impression of a dynamic, low center of gravity, and the large-diameter tires accentuate its presence. The powertrain is a 2.5-liter Series Parallel Hybrid System that combines a 2.5-liter engine (maximum output: 137kW / peak torque: 221Nm) with high-output bipolar nickel-metal hydride battery and front and rear motors for maximum system output of 172kW. It is equipped with the E-Four electric 4WD system. The Crown Sport will be produced at the Tsutsumi Plant. Following the hybrid model, a plug-in hybrid vehicle (PHV) is scheduled to go on sale around December. The Crown Sedan is scheduled to go on sale around November, and the Crown Estate before the end of March 2024.</t>
    <phoneticPr fontId="1"/>
  </si>
  <si>
    <t>https://www.marklines.com/en/global/10015</t>
    <phoneticPr fontId="1"/>
  </si>
  <si>
    <t>Tecno Art Research Co., Ltd. announced on October 6 that it has participated in the exterior design and modeling of Toyota Motor Corporation's (Toyota’s) 16th generation "Crown" series sedan. Toyota is offering the 16th generation Crown in four body types, and the sedan will be produced at the Motomachi Plant. It is scheduled to go on sale around November. According to the introductory page of the design sketches released by Toyota, the sedan design was based on the new formal concept, pursuing a horizontal posture and a handsome demeanour.</t>
    <phoneticPr fontId="1"/>
  </si>
  <si>
    <t>https://www.marklines.com/en/global/373</t>
    <phoneticPr fontId="1"/>
  </si>
  <si>
    <t>Mazda</t>
    <phoneticPr fontId="1"/>
  </si>
  <si>
    <t>https://www.marklines.com/en/global/503</t>
    <phoneticPr fontId="1"/>
  </si>
  <si>
    <t>Hiroshima</t>
  </si>
  <si>
    <t>On October 5, Mazda Motor Corporation began accepting reservations in Japan for the Roadster (soft-top model) and Roadster RF (retractable hard-top model), two compact open-top sports cars that have undergone major improvements. Sales launch is scheduled in mid-January 2024. The new versions newly feature Mazda Radar Cruise Control (MRCC) and Smart Brake Support [Rear Crossing] (SBS-RC), which detects objects approaching from the left or right when moving in reverse. At the same time, the design evolved with new daytime running lamps and new wheels. The SKYACTIV-G 1.5 engine mounted on the Roadster (soft-top model) has a 3kW increase in output, enhancing the feeling of acceleration.</t>
    <phoneticPr fontId="1"/>
  </si>
  <si>
    <t>https://www.marklines.com/en/global/443</t>
    <phoneticPr fontId="1"/>
  </si>
  <si>
    <t>Mie</t>
  </si>
  <si>
    <t>On October 5, Honda Motor Co., Ltd. announced that it will begin sales in Japan of the all-new N-BOX on October 6. The all-new, third-generation N-BOX is produced at its Suzuka Factory, aiming for monthly sales of 15,000 units. While carrying forward one of the largest cabin spaces among all mini-vehicles in the market and the high eye position of the driver, the dashboard was flattened by changing the position of the driver meters to where they are visible through the steering wheel, which enabled a field of vision with an enhanced sense of openness. The exterior of the N-BOX features a perforated design grille which express a sense of familiarity and headlights shaped to convey the image of human eyes, while the N-BOX Custom features a front grille with a three-dimensional and intricate design. The powertrain is carried forward from the predecessor N-BOX and controls have been reviewed in every detail. Two engine types will be available: a naturally aspirated engine with VTEC intake valve control and a turbocharged engine with an electric wastegate (only for the N-BOX Custom). Each engine is combined with a CVT.</t>
    <phoneticPr fontId="1"/>
  </si>
  <si>
    <t>On October 17, Maruti Suzuki India Limited (MSIL) announced that its board has approved to issue of 12.32 million equity shares of the company to Suzuki Motor Corporation (SMC) for a price of INR 10.4 thousand per share as a consideration for the acquisition of 100% of equity shares of SMG (Suzuki Motor Gujarat). Post allotment of the subscriptions SMC, Japan holding would increase to 58.19% in MSIL.</t>
    <phoneticPr fontId="1"/>
  </si>
  <si>
    <t>https://www.marklines.com/en/global/1815</t>
    <phoneticPr fontId="1"/>
  </si>
  <si>
    <t>On October 17, Volta Trucks announced that its Board had decided to take steps to file for bankruptcy proceedings in Sweden. The main trading entity of the Group, Volta Trucks Limited, will shortly file for administration in England. The recent news that its battery supplier (Proterra) has filed for Chapter 11 Bankruptcy, has had a significant impact on Volta Trucks' manufacturing plans, reducing the volume of vehicles that it had forecast to produce. The uncertainty with its battery supplier also negatively affected its ability to raise sufficient capital in an already challenging capital-raising environment for electric vehicle players.</t>
    <phoneticPr fontId="1"/>
  </si>
  <si>
    <t>https://www.marklines.com/en/global/10432</t>
    <phoneticPr fontId="1"/>
  </si>
  <si>
    <t>On October 11, BlueOval SK, the joint venture between Ford and SK On, said it is increasing top wages at planned EV battery plants in Glendale, Kentucky and Stanton, Tennessee amid a push by the UAW for better pay and benefits at the facilities. Ford is planning four battery facilities, two in Kentucky, one in Tennessee and one in Michigan, although the company recently paused construction at the Michigan site. Including existing and future JV battery plants in the master contract is one of the remaining sticking points with the UAW.</t>
    <phoneticPr fontId="1"/>
  </si>
  <si>
    <t>https://www.marklines.com/en/global/10431</t>
    <phoneticPr fontId="1"/>
  </si>
  <si>
    <t>https://www.marklines.com/en/global/1065</t>
    <phoneticPr fontId="1"/>
  </si>
  <si>
    <t>On October 16, Indus Motor company, the manufacturers of Toyota in Pakistan, announced that it will shut down its production plant from October 17, 2023 to November 17, 2023 based on the current level of inventory of manufactured vehicles and parts shortage due to supply chain challenges.</t>
    <phoneticPr fontId="1"/>
  </si>
  <si>
    <t>https://www.marklines.com/en/global/2561</t>
    <phoneticPr fontId="1"/>
  </si>
  <si>
    <t>On October 16, Ford announced that it is laying off 306 employees at the Sharonville Transmission Plant, 100 at the Dearborn Stamping Plant, 65 at the Dearborn Diversified Manufacturing Plant, 45 at the Rawsonville Components Plant, 29 at the Sterling Axle Plant, and 12 employees at Chicago Stamping Plant for a total of 550 workers, as all of these facilities supply components to the Chicago Assembly or Kentucky Truck plants.</t>
    <phoneticPr fontId="1"/>
  </si>
  <si>
    <t>https://www.marklines.com/en/global/2571</t>
    <phoneticPr fontId="1"/>
  </si>
  <si>
    <t>https://www.marklines.com/en/global/2591</t>
    <phoneticPr fontId="1"/>
  </si>
  <si>
    <t>https://www.marklines.com/en/global/2549</t>
    <phoneticPr fontId="1"/>
  </si>
  <si>
    <t>On October 15, Unifor members working for GM overwhelmingly approved a new three-year pact that will cover the 4,300 workers in Canada. GM agreed to invest CAD 280 million at Oshawa to support next-gen full-size truck production, pending government funding, and launch a temporary battery cell repack project at the plant. At St. Catharines, GM agreed to "significant new investments" to support electric drive unit production pending government funding., with drive unit facility retooling planned to start in Q1 2024 with production starting in Q3 2025.</t>
    <phoneticPr fontId="1"/>
  </si>
  <si>
    <t>https://www.marklines.com/en/global/2543</t>
    <phoneticPr fontId="1"/>
  </si>
  <si>
    <t>https://www.marklines.com/en/global/10376</t>
    <phoneticPr fontId="1"/>
  </si>
  <si>
    <t>On October 14, Ford announced it will temporarily cut one of three shifts at the Rouge Electric Vehicle Center that builds the F-150 Lightning pickup, citing multiple constraints unrelated to the UAW strike. Ford said the cuts beginning October 16 are unrelated to the UAW strike and would affect about 700 jobs on a rotating shift method, but did not say how long the production cut would last. Ford said last week F-150 Lightning EV U.S. sales fell 46% in Q3 to 3,503 but are still up 40% over 2022 for the first nine months of 2023. </t>
    <phoneticPr fontId="1"/>
  </si>
  <si>
    <t>On October 16, Evolute presented the new premium electric crossover Evolute i-JET in Russia. The new Evolute i-JET is equipped with an intelligent all-wheel-drive system and electric powertrain, which deliver 646 hp of peak output and 940 Nm of maximum torque. The Evolute i-JET will be available for purchase in two battery versions: an 80-kW lithium iron phosphate battery, which would offer a range of 430 km (WLTP) and a 0 to 100 km/h acceleration time of 4 seconds and a 90-kW semi-solid-state battery that will deliver 0-100 km/h acceleration in just 3.7 seconds and a range of 530km (WLTP).</t>
    <phoneticPr fontId="1"/>
  </si>
  <si>
    <t>UralAZ</t>
    <phoneticPr fontId="1"/>
  </si>
  <si>
    <t>https://www.marklines.com/en/global/803</t>
    <phoneticPr fontId="1"/>
  </si>
  <si>
    <t>On October 13, the URAL automobile plant announced that the Prime Minister of the Republic of Belarus visited its plant in the Chelyabinsk region. The Prime Minister discussed additional niches and possible projects, in addition to supplies during his visit. In November 2022, following the visit of the South Ural delegation to the fraternal Republic, the Ural Automobile Plant closed its needs for Belarusian-made components. Now this topic is again relevant, especially since according to the results of the first half of 2023, the automobile plant is the main importer of products from the Republic of Belarus to the Southern Urals.</t>
    <phoneticPr fontId="1"/>
  </si>
  <si>
    <t>DRB-Hicom</t>
    <phoneticPr fontId="1"/>
  </si>
  <si>
    <t>Proton</t>
    <phoneticPr fontId="1"/>
  </si>
  <si>
    <t>https://www.marklines.com/en/global/997</t>
    <phoneticPr fontId="1"/>
  </si>
  <si>
    <t>Reported on October 13, Proton’s CamPro CFE (Fuel Efficiency unit) engine’s last unit has rolled off the manufacturing line in Malaysia after 12 years in production. At present, this turbocharged 1.6-liter engine powers the Proton Exora MPV. The final units are said to be withdrawn with the MPV by the end of 2023. Meanwhile, the CamPro engine in variable valve timing (VVT) form will be continued, currently serving the Proton Iriz, Persona, and Saga models.</t>
    <phoneticPr fontId="1"/>
  </si>
  <si>
    <t>https://www.marklines.com/en/global/995</t>
    <phoneticPr fontId="1"/>
  </si>
  <si>
    <t>https://www.marklines.com/en/global/1375</t>
    <phoneticPr fontId="1"/>
  </si>
  <si>
    <t>On October 12, the Italian Metalworkers Federation (FIM-CISL) announced that for Stellantis' Atessa plant, the production of commercial vehicles in the first nine months of 2023 increased by 9.8% y-o-y to 166,850 units. In recent days, approximately 100 workers with temporary contracts have been brought on board, and during September, 40 of the 180 staff leasing workers secured permanent Stellantis contracts.</t>
    <phoneticPr fontId="1"/>
  </si>
  <si>
    <t>Vauxhall</t>
    <phoneticPr fontId="1"/>
  </si>
  <si>
    <t>Peugeot</t>
    <phoneticPr fontId="1"/>
  </si>
  <si>
    <t>https://www.marklines.com/en/global/1329</t>
    <phoneticPr fontId="1"/>
  </si>
  <si>
    <t>On October 12, the Italian Metalworkers Federation (FIM-CISL) announced that for Stellantis' Giambattista Vico plant, Pomigliano D'Arco, production for the first nine months of 2023 increased by 31.5% y-o-y. The growth is driven by new production, including the Alfa Romeo Tonale SUV and the Dodge Hornet SUV, which reached 55,100 units. These new productions, along with the 94,400 units of Fiat Panda, largely contribute to the volume increase compared to 2022. The increased production of the Tonale and Dodge Hornet for the American market and the extension of Fiat Panda production until 2026 ensure production levels at the site for the next two years. The next step for Stellantis is defining the next production allocation on the Panda production line within the year.</t>
    <phoneticPr fontId="1"/>
  </si>
  <si>
    <t>Alfa Romeo</t>
    <phoneticPr fontId="1"/>
  </si>
  <si>
    <t>On October 12, the Italian Metalworkers Federation (FIM-CISL) announced that for Stellantis' Cassino plant, production for the first nine months declined by 7.7% y/y to 37,580 units. For Melfi plant, production for the first nine months of 2023 increased by 3.4% y/y to 142,320 units.</t>
    <phoneticPr fontId="1"/>
  </si>
  <si>
    <t>https://www.marklines.com/en/global/1323</t>
    <phoneticPr fontId="1"/>
  </si>
  <si>
    <t>Maserati</t>
    <phoneticPr fontId="1"/>
  </si>
  <si>
    <t>https://www.marklines.com/en/global/1361</t>
    <phoneticPr fontId="1"/>
  </si>
  <si>
    <t>On October 12, the Italian Metalworkers Federation (FIM-CISL) announced that for Stellantis' Modena plant, production slightly declined by 4.2% y/y for the first nine months of 2023 due to material shortages. The production of Maserati's MC20 super sports car is projected to stabilize at 2022 levels, around 1,200 units. The implementation of the Folgore full electric platform in 2025 will provide production continuity.</t>
    <phoneticPr fontId="1"/>
  </si>
  <si>
    <t>https://www.marklines.com/en/global/1327</t>
    <phoneticPr fontId="1"/>
  </si>
  <si>
    <t>On October 12, the Italian Metalworkers Federation (FIM-CISL) announced that for Stellantis' Mirafiori plant, Turin, the production volume for the first nine months of 2023 was nearly the same as in 2022, standing at 70,365 units. The bulk of production comes from the 500 BEV, which saw a 15% increase compared to 2022, reaching 63,400 units. The growth was offset by a significant drop in Maserati production, going from 15,000 units in 2022 to almost 7,000 in 2023. The Maserati Gran Cabrio production ramp-up is planned for early 2024, it will be electric from the new Folgore platform like the Maserati Granturismo. The launch of the new E sedan in full electric form is expected from 2025. Whereas two sedans, Quattroporte and Ghibli, will end production in 2023.</t>
    <phoneticPr fontId="1"/>
  </si>
  <si>
    <t>https://www.marklines.com/en/global/9831</t>
    <phoneticPr fontId="1"/>
  </si>
  <si>
    <t>On October 12, Master Changan Motors (MCML) exported the first batch of 14 Oshan X7s to Kenya for onward sale to Kenya and Tanzania markets. The Oshan X7 comes with a 1.5L turbo-charged engine that goes from 0-100 km/h in just 8.23 seconds.</t>
    <phoneticPr fontId="1"/>
  </si>
  <si>
    <t>Master</t>
    <phoneticPr fontId="1"/>
  </si>
  <si>
    <t>https://www.marklines.com/en/global/10684</t>
    <phoneticPr fontId="1"/>
  </si>
  <si>
    <t>On October 11, Foton Motor held a brand renewal and new product launch in Changsha, Hunan, where the Aumark next-generation light-duty truck and the Wonder next-generation micro-truck were globally launched. The Aumark next-generation light-duty truck is manufactured at a world-leading intelligent plant. The ICE variant is equipped with a super power chain with a Foton Cummins engine, delivering a 99.7% transmission efficiency. It also meets the European ECE-R29 crash regulation. The Wonder next-generation micro-truck is available in ICE and battery electric variants.</t>
    <phoneticPr fontId="1"/>
  </si>
  <si>
    <t>https://www.marklines.com/en/global/10415</t>
    <phoneticPr fontId="1"/>
  </si>
  <si>
    <t>Avatr</t>
    <phoneticPr fontId="1"/>
  </si>
  <si>
    <t>On October 11, Avatr announced that the first mass-produced new Avatr 12 luxury mid-to-large-size intelligent battery electric coupes officially rolled off the production line at the Changan Auto Chongqing Plant. The Avatr 12 is equipped with a CATL power battery.</t>
    <phoneticPr fontId="1"/>
  </si>
  <si>
    <t>Aion</t>
    <phoneticPr fontId="1"/>
  </si>
  <si>
    <t>https://www.marklines.com/en/global/9824</t>
    <phoneticPr fontId="1"/>
  </si>
  <si>
    <t>On October 10, Hyper officially launched and delivered the new Hyper SSR luxury battery electric supercar. Based on a 900V platform, the Hyper SSR is equipped with a 2-speed 4-in-1 high-performance motor (maximum total power 900kW and peak total torque 1,230Nm) and a 74.69kWh ternary lithium battery, with a power consumption of 16.7kWh/100km, a CLTC range of 506km, and a 0 to 100km/h acceleration time of 2.3 seconds or 1.9 seconds.</t>
    <phoneticPr fontId="1"/>
  </si>
  <si>
    <t>https://www.marklines.com/en/global/9976</t>
    <phoneticPr fontId="1"/>
  </si>
  <si>
    <t>On October 12, U.S. Department of Labor’s Occupational Safety and Health Administration (OSHA) announced that it is fining Ultium Cells LLC USD 270,091 for 19 safety and health violations at the battery plant in Warren, Ohio. The agency examined the cause of a March 2023 explosion and fire at the plant, and opened four separate inspections between April 24 and May 5. Employees at Ultium’s only operating plant voted overwhelmingly to join the UAW in December 2022, which is now negotiating an inaugural contract after GM recently agreed to include the battery plant workers in its master agreement.</t>
    <phoneticPr fontId="1"/>
  </si>
  <si>
    <t>On October 5 the government of Nuevo Leon, Mexico, published that Tesla asked to start constructing the infrastructure needed for the upcoming gigafactory, specifically infrastructure for transmission of electric power, an electric power substation, a railroad yard and the construction and expansion of railroad branches. Tesla also requested for the provision of treated water and said the company will maximize its beneficial use and will do its best to reduce consumption of potable water through a sustainable process.</t>
    <phoneticPr fontId="1"/>
  </si>
  <si>
    <t>Lordstown Motors</t>
    <phoneticPr fontId="1"/>
  </si>
  <si>
    <t>https://www.marklines.com/en/global/2495</t>
    <phoneticPr fontId="1"/>
  </si>
  <si>
    <t>In a September 29 U.S. Securities and Exchange Commission (SEC) filing, bankrupt Lordstown Motors announced it had sold its assets to company founder and former CEO Steve Burns for USD 10 million. It is unclear what assets Burns will get since the plant complex itself is owned by Foxconn, which purchased the plant in May 2022. Lordstown manufactured and sold a few dozen Endurance EV pickups that were involved in safety recalls.</t>
    <phoneticPr fontId="1"/>
  </si>
  <si>
    <t>https://www.marklines.com/en/global/2389</t>
    <phoneticPr fontId="1"/>
  </si>
  <si>
    <t>On October 27, Stellantis announced that it would be transporting components to the Ellesmere Port plant, UK from the Vigo plant, Spain via ship organized by Suardiaz shipping company, "Vigo-Liverpool maritime line". It will support the production of over 50,000 electric light commercial vehicles. Stellantis Vigo will send 47 sheet metal parts to Ellesmere Port, covering 83% of the vehicle bodywork, with 86% of components sourced from the Iberian Peninsula suppliers. Ellesmere Port plans to manufacture 50,000 electric light commercial vehicles for the Vauxhall, Opel, Peugeot, and Citroën brands, primarily for the UK market, using components from Vigo. This adds production in Vigo and Mangualde, Portugal.</t>
    <phoneticPr fontId="1"/>
  </si>
  <si>
    <t>On October 26, Scania announced that it had redesigned the Chassis Assembly plant in Södertälje, Sweden. This involved the construction of a new building equipped for handling battery megastructures, installation of a new line system, and implementation of a new layout and tools for all assembly and logistics areas. Then rebuilding existing logistics platforms and adding a new one. Staff training involved 200 white-collar workers and 700 production personnel, where 400 would work on the assembly line and 300 in logistics.</t>
    <phoneticPr fontId="1"/>
  </si>
  <si>
    <t>On October 26, Renault Group announced that it has designed E7A motor, which is more powerful, efficient, and doesn't rely on rare earth materials in collaboration with Valeo. Renault provides the rotor and Valeo contributes their stator expertise. Renault plans to make the E7A motor 30% more compact while eliminating rare earths. By using a wound rotor instead of permanent magnets, the company can improve performance and reduce its carbon footprint. The third-generation motor will be designed for 800 volts, shortening battery charging times, and will deliver up to 200 kW without increased electricity consumption. The motor is currently in the prototype stage and mass production is expected to begin at Renault Group's Cléon factory by the end of 2027.</t>
    <phoneticPr fontId="1"/>
  </si>
  <si>
    <t>https://www.marklines.com/en/global/9872</t>
    <phoneticPr fontId="1"/>
  </si>
  <si>
    <t>According to a Huaibei City press release dated October 26, a ceremony for the signing of a strategic cooperation agreement between the Huaibei Municipal People’s Government and Chery Holding Group was recently held in Wuhu, Anhui. At the ceremony, the Huaibei High-tech Industrial Development Zone signed a project investment agreement with Anhui Deyi Energy Technology Co., Ltd., a company 44.5% owned by Chery New Energy Automobile Co., Ltd. and engaged in activities such as R&amp;D of resource recycling technologies and manufacturing of batteries.</t>
    <phoneticPr fontId="1"/>
  </si>
  <si>
    <t>https://www.marklines.com/en/global/10191</t>
    <phoneticPr fontId="1"/>
  </si>
  <si>
    <t>On October 25, Renault announced its plan to launch eight new models by 2027 in overseas markets, supported by a EUR 3 billion investment. The CMA platform, a result of a partnership with Geely Holding Group, will be used for high-end D- and E- segment models with hybrid powertrains. It will be designed in Seoul and manufactured in Busan, with the first vehicle expected in the coming year.</t>
    <phoneticPr fontId="1"/>
  </si>
  <si>
    <t>https://www.marklines.com/en/global/2425</t>
    <phoneticPr fontId="1"/>
  </si>
  <si>
    <t>https://www.marklines.com/en/global/1438</t>
    <phoneticPr fontId="1"/>
  </si>
  <si>
    <t>On October 25, Renault announced its plan to launch eight new models by 2027 in overseas markets, supported by a EUR 3 billion investment. The company will also introduce a modular platform for international use, assembled in four regions i.e., Latin America, Turkey, Morocco, and India. The platform offers flexibility in vehicle length, wheelbase, and powertrains, including ICE, flex fuel, LPG, mild hybrid (48V), and full hybrid options for front-wheel and four-wheel drive.</t>
    <phoneticPr fontId="1"/>
  </si>
  <si>
    <t>https://www.marklines.com/en/global/1089</t>
    <phoneticPr fontId="1"/>
  </si>
  <si>
    <t>https://www.marklines.com/en/global/2907</t>
    <phoneticPr fontId="1"/>
  </si>
  <si>
    <t>https://www.marklines.com/en/global/6429</t>
    <phoneticPr fontId="1"/>
  </si>
  <si>
    <t>Morocco</t>
    <phoneticPr fontId="1"/>
  </si>
  <si>
    <t>https://www.marklines.com/en/global/9503</t>
    <phoneticPr fontId="1"/>
  </si>
  <si>
    <t>On October 25, NIO Capital announced that it recently led a Series C+ investment of nearly CNY 100 million in Shanghai Ingin Automotive Technology Co., Ltd,.</t>
    <phoneticPr fontId="1"/>
  </si>
  <si>
    <t>Beiben</t>
    <phoneticPr fontId="1"/>
  </si>
  <si>
    <t>https://www.marklines.com/en/global/3593</t>
    <phoneticPr fontId="1"/>
  </si>
  <si>
    <t>Inner Mongolia</t>
  </si>
  <si>
    <t>On October 25, Beiben Trucks signed a strategic cooperation agreement with Beijing Jianlong Heavy Industry Group Co., Ltd. (Jianlong Group) in Baotou, Inner Mongolia. According to the agreement, the two parties will continuously strengthen cooperation in areas such as advancement of key projects, customization of heavy-duty trucks, and market expansion. In the future, the two parties will develop synergistically in relevant areas such as steel for New Energy Vehicles, construction of overseas KD plants, New Energy transport vehicles, and hydrogen production from coke oven gas.</t>
    <phoneticPr fontId="1"/>
  </si>
  <si>
    <t>Xpeng</t>
    <phoneticPr fontId="1"/>
  </si>
  <si>
    <t>https://www.marklines.com/en/global/10668</t>
    <phoneticPr fontId="1"/>
  </si>
  <si>
    <t>On October 24, XPeng held its 2023 Tech Day, where the latest technologies in multiple areas were launched. In addition, XPeng debuted the X9, which is positioned as a large 7-seater intelligent battery electric vehicle and is the world’s only MPV to come standard with rear-wheel steering. The vehicle inherits the core technologies of the SEPA 2.0 architecture, including an all-domain 800V platform, the integrated front and rear aluminum body die-casting technology, and XNGP. It also makes the debut of the XOS Tianji system.</t>
    <phoneticPr fontId="1"/>
  </si>
  <si>
    <t>Kaicene</t>
    <phoneticPr fontId="1"/>
  </si>
  <si>
    <t>https://www.marklines.com/en/global/3539</t>
    <phoneticPr fontId="1"/>
  </si>
  <si>
    <t>On October 24, Changan Auto officially launched the new F70 Blue Core Edition large wide-bodied commercial pickup truck. Powered by a next-generation Blue Core 2.0T high-pressure direct-injection engine (rated power 171kW and peak torque 390Nm) and a ZF 8-speed automatic transmission, the F70 Blue Core Edition has a 0 to 100km/h acceleration time of less than 10 seconds and a top speed of 190km/h. The F70 Blue Core Edition comes with 15 safety configurations such as ABS (Anti-lock Brake System) with EBD (Electronic Brakeforce Distribution) and ESC (Electronic Stability Control) or ESP (Electronic Stability Program).</t>
    <phoneticPr fontId="1"/>
  </si>
  <si>
    <t>On October 24, Great Wall Motor (GWM) signed a strategic cooperation agreement on an industrial large model and a knowledge brain with iFlytek Co., Ltd. (iFlytek). According to the agreement, the two parties will conduct in-depth cooperation in areas such as AI large models, enterprise services, knowledge platforms, and digital application to contribute to the construction of the GWM Automotive Knowledge Brain, the automotive industry’s first knowledge large model. In the future, the two parties will accelerate promoting the practical application of the GWM Automotive Knowledge Brain to the automotive industry to co-build a new ecosystem for automotive intelligence.</t>
    <phoneticPr fontId="1"/>
  </si>
  <si>
    <t>https://www.marklines.com/en/global/375</t>
    <phoneticPr fontId="1"/>
  </si>
  <si>
    <t>On October 24, Toyota Motor Corporation (Toyota) resumed operations from the first shift at the Takaoka Plant (Production Line #2) and Toyota Industries Corporation's Nagakusa Plant (Production Lines 301 and 302). Due to an explosion that occurred on October 16 at its supplier, Chuo Spring Co., Ltd., operations at the above production lines had been temporarily suspended from October 17. A total of 14 lines at 9 plants in Japan were affected by the explosion, including the above production lines. Of these, a total of 5 lines at 4 plants continued the suspension of operations as of the first shift on October 24. Of the 5 lines at the 4 plants, Toyota Auto Body Co., Ltd.’s Yoshiwara Plant (Production Lines #1 and #2), Fujimatsu Plant (Production Line #1), and Inabe Plant (Production Line #1) will resume operations from the second shift on October 24. The remaining Gifu Auto Body Co., Ltd.'s Production Line #2 is scheduled to resume operations from October 26. </t>
    <phoneticPr fontId="1"/>
  </si>
  <si>
    <t>https://www.marklines.com/en/global/409</t>
    <phoneticPr fontId="1"/>
  </si>
  <si>
    <t>https://www.marklines.com/en/global/411</t>
    <phoneticPr fontId="1"/>
  </si>
  <si>
    <t>https://www.marklines.com/en/global/413</t>
    <phoneticPr fontId="1"/>
  </si>
  <si>
    <t>https://www.marklines.com/en/global/417</t>
    <phoneticPr fontId="1"/>
  </si>
  <si>
    <t>Gifu</t>
  </si>
  <si>
    <t>https://www.marklines.com/en/global/433</t>
    <phoneticPr fontId="1"/>
  </si>
  <si>
    <t>On October 23, Toyota Motor Corporation (Toyota) continued its operations suspension on 8 lines at 6 plants in Japan that produce finished vehicles. An explosion occurred on October 16 at its supplier, Chuo Spring Co., Ltd., which has affected the procurement of coil springs. Of the 8 lines at 6 plants, Toyota Auto Body Co. Ltd.'s Yoshiwara Plant (Production Lines #1 and #2) and Fujimatsu Plant (Production Line #1) have halted operations since the second shift of October 16. Toyota's Takaoka Plant (Production Line #2), Toyota Auto Body Co. Ltd.'s Inabe Plant (Production Line #1), and Toyota Industries Corporation's Nagakusa Plant (Production Lines 301 and 302) have been out of operations since October 17, while Gifu Auto Body Co., Ltd. (Production Line #2) has been shut down since October 18. On the other hand, the Takaoka Plant (Production Line #1) and Fujimatsu Plant (Production Line #2) resumed operations on October 23 after the weekend break, having been suspended since October 17. Toyota Motor East Japan, Inc.'s Iwate Plant (Production Lines #1 and #2) and Miyagi Ohira Plant also suspended operations on October 20 and resumed on the 23rd, also after the weekend break. </t>
    <phoneticPr fontId="1"/>
  </si>
  <si>
    <t>https://www.marklines.com/en/global/420</t>
    <phoneticPr fontId="1"/>
  </si>
  <si>
    <t>Miyagi</t>
  </si>
  <si>
    <t>https://www.marklines.com/en/global/424</t>
    <phoneticPr fontId="1"/>
  </si>
  <si>
    <t>Iwate</t>
  </si>
  <si>
    <t>On October 20, Farizon New Energy Commercial Vehicles Group (Farizon) held a strategic cooperation agreement signing ceremony with a Charoen Pokphand Group (CP Group) electromechanical equipment subsidiary in Hangzhou, Zhejiang. In the future, the two parties will conduct industrial and capital cooperation in areas such as efficiently utilizing the financial benefits of assets, promoting the rapid application of new technologies in agriculture, animal husbandry, food, and retail, and accelerating the construction of Farizon’s own logistics system.</t>
    <phoneticPr fontId="1"/>
  </si>
  <si>
    <t>Lexus</t>
    <phoneticPr fontId="1"/>
  </si>
  <si>
    <t>On October 19, Toyota Motor Corporation (Toyota) announced the Japanese version of the all-new Lexus LM, an MPV, which has been completely redesigned. Acceptance of orders began on the same day, and the model is scheduled for sales launch in late December. The first generation LM was produced by Toyota Auto Body Co., Ltd. at its Inabe Plant exclusively for export, but the new model, the second generation, is in production at Toyota's Tahara plant, and it will also be launched in the Japanese market. The manufacturer's suggested retail price (including tax) is JPY 20 million. The new model adopts the newly designed GA-K platform, with overall dimensions of 5,125mm (length) x 1,890mm (width) x 1,955mm/1,945mm (height) and a wheelbase of 3,000mm. The powertrain is a parallel hybrid system consisting of a 2.4L inline 4-cylinder turbocharged engine, 6-speed automatic transmission, front motor, and a high-output "eAxle" motor in the rear. Maximum system power output is 273kW.  The four-seat version now announced features a partition with a large 48-inch wide display in front of the rear seats as a chauffeur-driven model.</t>
    <phoneticPr fontId="1"/>
  </si>
  <si>
    <t>https://www.marklines.com/en/global/569</t>
    <phoneticPr fontId="1"/>
  </si>
  <si>
    <t>On October 19, Hino Motors, Ltd. (Hino) announced it will suspend operations from October 20 to 25 at the Koga Plant due to a shortage of in-vehicle tools. The Koga Plant produces heavy-duty trucks (Hino Profia / Hino 700 Series) and medium-duty trucks (Hino Ranger / Hino 500 Series) for Japanese domestic and overseas markets. In addition, the Nitta, Hamura, and Hino plants will also suspend unit production lines for heavy- and medium-duty trucks for the same period.</t>
    <phoneticPr fontId="1"/>
  </si>
  <si>
    <t>https://www.marklines.com/en/global/570</t>
    <phoneticPr fontId="1"/>
  </si>
  <si>
    <t>https://www.marklines.com/en/global/567</t>
    <phoneticPr fontId="1"/>
  </si>
  <si>
    <t>China Motor</t>
    <phoneticPr fontId="1"/>
  </si>
  <si>
    <t>https://www.marklines.com/en/global/7</t>
    <phoneticPr fontId="1"/>
  </si>
  <si>
    <t>China Motor Corporation (China Motor) launched the all-new RV (Recreational Vehicle) model "Zinger" on October 17. The new model is the third generation since the first generation launched in 2005. The first generation model was introduced as a Mitsubishi Motors Corporation MPV, but was switched to a China Motor brand model with the second generation launched in 2015. The all-new model has a revamped exterior design aimed at young people, and in addition to the existing 5-seat version, a new 3-row, 7-seater version has been added to the lineup. The powertrain has been changed from the previous 2.4-liter engine to a 1.5-liter direct injection turbocharged engine (maximum output 172 PS / peak torque 26.4 kgf-m), mated to a ZF 8-speed automatic transmission. The drive system is RWD, and some models are equipped with an automated driving level 2 ADAS (Advanced Driver Assistance System). Prices range from TWD 719,000 to TWD 825,000 for the five-seater and TWD 809,000 to TWD 915,000 for the seven-seater. The vehicles are produced at the Yangmei Plant in Taoyuan City.</t>
    <phoneticPr fontId="1"/>
  </si>
  <si>
    <t>On October 9, the Board of Investment (BoI) of Thailand approved project for Isuzu Motors Thailand Co., Ltd. to manufacture battery Electric truck locally.</t>
    <phoneticPr fontId="1"/>
  </si>
  <si>
    <t>https://www.marklines.com/en/global/2015</t>
    <phoneticPr fontId="1"/>
  </si>
  <si>
    <t>https://www.marklines.com/en/global/2017</t>
    <phoneticPr fontId="1"/>
  </si>
  <si>
    <t>https://www.marklines.com/en/global/10183</t>
    <phoneticPr fontId="1"/>
  </si>
  <si>
    <t>On October 27, Renault Group announced the inauguration of the Renault Design Center LatAm, relocated from Sao Paulo to Curitiba, Brazil. This new center will be responsible for developing concepts and models for the Latin American markets and contributing to the brand’s global projects.</t>
    <phoneticPr fontId="1"/>
  </si>
  <si>
    <t>https://www.marklines.com/en/global/10475</t>
    <phoneticPr fontId="1"/>
  </si>
  <si>
    <t>On October 27, it was reported that the Ultium plant in Spring Hill Tennessee, originally scheduled to open in Q3 2023, will now be postponed until early 2024 (January is tentative target) thanks to construction delays. The Spring Hill Ultium plant plans to add approximately 300 new employees by the end of 2023, at which point the plant will have some 1,700 workers.</t>
    <phoneticPr fontId="1"/>
  </si>
  <si>
    <t>On October 27, the Moscow automobile plant "Moskvich" completed the preparation of the body painting shop for the start of small-unit assembly in 2024. Based on the results of internal and external laboratory tests, the quality of the body painted at the plant has been confirmed. New trajectories of movement of the body and robots were developed to ensure uniform application of the paintwork. After this, a series of tests of the prototypes was carried out, aimed at confirming the resulting body color. In addition to the bodies, the Moskvich plant plans to independently paint most of the plastic parts of the car's exterior. At the beginning of 2024, in parallel with large-unit assembly, full-cycle production of the Moskvich 3 and Moskvich 3e models will begin.</t>
    <phoneticPr fontId="1"/>
  </si>
  <si>
    <t>KAMAZ</t>
    <phoneticPr fontId="1"/>
  </si>
  <si>
    <t>https://www.marklines.com/en/global/737</t>
    <phoneticPr fontId="1"/>
  </si>
  <si>
    <t>On October 27, Kamaz announced that it has produced more than 3 thousand fifth-generation trucks - KAMAZ-54901 tractors, which is 2.5 times higher than the volume of their production for the same period last year. According to production statistics, the production of the flagship KAMAZ-54901 tractors continues to gain momentum. Compared to last September, the production of new vehicles has increased fourfold - from 150 to 600 units.</t>
    <phoneticPr fontId="1"/>
  </si>
  <si>
    <t>https://www.marklines.com/en/global/10203</t>
    <phoneticPr fontId="1"/>
  </si>
  <si>
    <t>On October 26, BMW started the production of new battery cell samples at its Cell Manufacturing Competence Centre (CMCC) in Parsdorf. These cells will be used in the Neue Klasse models starting in 2025. The cells have a standard diameter of 46 mm and come in two heights i.e., 95 mm and 120 mm, offering increased volumetric energy density, with higher nickel content and reduced cobalt content. The company aims for a 60% reduction in carbon footprint compared to the current generation of battery cells. The centre in Parsdorf and Munich is building the sixth generation of electric drive trains and developing of all-solid-state batteries. At the Battery Cell Competence Centre in Munich, BMW has already manufactured battery cells using 100% recycled and/or secondary cathode material.</t>
    <phoneticPr fontId="1"/>
  </si>
  <si>
    <t>https://www.marklines.com/en/global/10316</t>
    <phoneticPr fontId="1"/>
  </si>
  <si>
    <t>https://www.marklines.com/en/global/671</t>
    <phoneticPr fontId="1"/>
  </si>
  <si>
    <t>On October 26, Avtotor starts production of the BAIC X7 mid-size crossover. It is equipped with a high-performance gasoline turbo engine developing 180 hp and 270 Nm torque. Preparations for mass production of the new model started in June. During the work of the launch group, specialists from BAIC and Avtotor carried out a set of control measures. In preparation for the release of the new model, line personnel were trained, and software for equipment used in operations to install and test the operation of vehicle electronic systems was implemented and tested.</t>
    <phoneticPr fontId="1"/>
  </si>
  <si>
    <t>Jaguar</t>
    <phoneticPr fontId="1"/>
  </si>
  <si>
    <t>https://www.marklines.com/en/global/9378</t>
    <phoneticPr fontId="1"/>
  </si>
  <si>
    <t>On October 26, JLR announced that it will start production of electric vehicles at its Nitra plant in Slovakia by 2023.  According to the automaker, the Nitra plant has 5,000 workers and a production capacity of 3,000 cars per week in three shifts. The Nitra Plant is part of JLR's GBP 15 billion investment to transform its vehicles to electric, which includes electrifying the Range Rover, Defender, Jaguar, and Discovery brands and launching nine pure electric models by 2030. JLR had invested EUR 1.3 billion to launch the Nitra plant and a further EUR 60 million in new technology, land, buildings, and software at the site.</t>
    <phoneticPr fontId="1"/>
  </si>
  <si>
    <t>Land Rover</t>
    <phoneticPr fontId="1"/>
  </si>
  <si>
    <t>https://www.marklines.com/en/global/2207</t>
    <phoneticPr fontId="1"/>
  </si>
  <si>
    <t>On October 25, BMW Group Logistik announced that it has collaborated with Trailer Dynamics and has successfully conducted real-world tests with an electric semi-trailer, achieving significant fuel savings using a diesel truck. Tests included four days of trials for short and medium distances (covering up to 250 km) around BMW's Dingolfing location and three days of long-distance (450 km) testing between Mamming and Leipzig.</t>
    <phoneticPr fontId="1"/>
  </si>
  <si>
    <t>https://www.marklines.com/en/global/2215</t>
    <phoneticPr fontId="1"/>
  </si>
  <si>
    <t>https://www.marklines.com/en/global/141</t>
    <phoneticPr fontId="1"/>
  </si>
  <si>
    <t>On October 25, Stellantis announced that it plans to have 50% of its industrial sites' energy needs met by carbon-free solutions by 2025. The Rennes plant collaborates with ENGIE Solutions to assist in this energy transition. Starting in 2024, the site will use renewable, locally sourced biomass energy, reducing gas consumption by 30%. The construction of the biomass boiler room has commenced at the site, marking the first step in this initiative. ENGIE Solutions, with support from ADEME (French Environment and Energy Management Agency), is responsible for designing and constructing this 8 MW biomass facility, which will provide 30 GWh of renewable heat annually, preventing the emission of 6,650 tonnes of CO2. ENGIE Solutions will operate the network for 15 years. The project involves a EUR 13.5 million investment, with a EUR 3.5 million subsidy from ADEME.</t>
    <phoneticPr fontId="1"/>
  </si>
  <si>
    <t>On October 25, Renault revealed its all-new Kardian model, a vehicle that belongs to the compact urban B-segment and be produced at the Curitiba plant in Brazil and later at athe Somoca plant in Casa Blanca, Morocco.</t>
    <phoneticPr fontId="1"/>
  </si>
  <si>
    <t>Lotus</t>
    <phoneticPr fontId="1"/>
  </si>
  <si>
    <t>https://www.marklines.com/en/global/10405</t>
    <phoneticPr fontId="1"/>
  </si>
  <si>
    <t>On October 25, Lotus Technology Inc. released its first annual Environmental, Social, and Governance (ESG) report. Lotus Tech expects to achieve a 100% electric portfolio by 2027 to achieve carbon neutrality across its value chain by 2038. The Company has established an advanced digital carbon emissions management system to analyze its carbon footprint at both the organizational and product levels. The company targets green manufacturing using a range of measures including rainwater reuse and heat recovery systems, as well as its own photovoltaic power station. Lotus Technology also plans to produce sustainable products such as Eletre, Lotus Tech's first fully electric hyper SUV to reduce its CO2 emissions.</t>
    <phoneticPr fontId="1"/>
  </si>
  <si>
    <t>https://www.marklines.com/en/global/10660</t>
    <phoneticPr fontId="1"/>
  </si>
  <si>
    <t>https://www.marklines.com/en/global/2353</t>
    <phoneticPr fontId="1"/>
  </si>
  <si>
    <t>https://www.marklines.com/en/global/9860</t>
    <phoneticPr fontId="1"/>
  </si>
  <si>
    <t>https://www.marklines.com/en/global/2351</t>
    <phoneticPr fontId="1"/>
  </si>
  <si>
    <t>Truong Hai</t>
    <phoneticPr fontId="1"/>
  </si>
  <si>
    <t>https://www.marklines.com/en/global/1621</t>
    <phoneticPr fontId="1"/>
  </si>
  <si>
    <t>Announced on October 25, THACO BUS factory in Vietnam, in September, begun the mass production of the full monocoque chassis for the new MOBIHOME sleeper bus line, namely new Bluesky TB120S and EVERGREEN 81S/87S seater buses, which are researched and developed by THACO AUTO’s R&amp;D Center. This will enable the plant to improve product quality, while saving time and costs. Previously, the chassis was imported as semi-finished products for the front and rear parts.</t>
    <phoneticPr fontId="1"/>
  </si>
  <si>
    <t>https://www.marklines.com/en/global/3349</t>
    <phoneticPr fontId="1"/>
  </si>
  <si>
    <t>On October 24, FAW Jiefang signed a special Memorandum of Cooperation (MoC) with Huawei Technologies Co., Ltd. (Huawei) at the Huawei Bantian Site in Shenzhen to comprehensively deepen cooperation on AI, intelligent driving, and intelligent cockpits. In terms of innovation of AI large model technologies, the two parties will co-build the FAW Jiefang Intelligent Brain based on the Huawei Cloud Pangu Models (HCPM) enable all business scenarios including R&amp;D, production, and supply. Based on the HCPM, they will also co-build a large model for the commercial vehicle industry and co-create industrial AI solutions.</t>
    <phoneticPr fontId="1"/>
  </si>
  <si>
    <t>Mitsubishi Motors</t>
    <phoneticPr fontId="1"/>
  </si>
  <si>
    <t>Mitsubishi</t>
    <phoneticPr fontId="1"/>
  </si>
  <si>
    <t>https://www.marklines.com/en/global/3651</t>
    <phoneticPr fontId="1"/>
  </si>
  <si>
    <t>On October 24, GAC Group announced that after the shareholders have reached a consensus through consultation, it plans to carry out restructuring matters of GMMC and GAC Mitsubishi Motors Sales Co., Ltd. (GMMS), a GMMC wholly-owned subsidiary, including equity adjustment. According to GAC Group, the restructuring of GMMC will maximize the revitalization and utilization of GMMC core assets, solve GAC Aion’s capacity bottleneck, and save time and investment costs in new plant construction. GAC Aion will leverage GMMC plants for capacity expansion and is expected to achieve mass production in June 2024, with a base annual capacity of 600,000 units.</t>
    <phoneticPr fontId="1"/>
  </si>
  <si>
    <t>https://www.marklines.com/en/global/8808</t>
    <phoneticPr fontId="1"/>
  </si>
  <si>
    <t>https://www.marklines.com/en/global/4073</t>
    <phoneticPr fontId="1"/>
  </si>
  <si>
    <t>On October 24, the Hyundai plant in Piracicaba, Brazil, received the gold seal of the Brazilian GHG Protocol program, which quantifies the greenhouse gas emissions emitted and goes hand in hand with the company's commitment to neutralize its carbon emissions by 2045. </t>
    <phoneticPr fontId="1"/>
  </si>
  <si>
    <t>https://www.marklines.com/en/global/153</t>
    <phoneticPr fontId="1"/>
  </si>
  <si>
    <t>On October 23, Stellantis unveiled the electric transition for all the production sites with the motive to achieve a production capacity of 1 million vehicles in 2024. The company plans to produce 800,000 electric motors which will be released from Trémery plant next year, featuring components from Charleville and Valenciennes plants. Within the e-Transmissions joint venture, Metz site will assemble 600,000 e-DCTs in response to demand for hybrid vehicles, benefitting from parts produced in Caen and Mulhouse plants. 190 employees from Douvrin site have joined the ACC Gigafactory, which is currently producing its initial battery batches. While Sept Fons remains committed to delivering thermal engine casings, it is expanding its brake disc production for the future. The transformation was made possible through employee training and the support of trade unions, exemplified by the Battery Training Center in Douvrin.</t>
    <phoneticPr fontId="1"/>
  </si>
  <si>
    <t>https://www.marklines.com/en/global/139</t>
    <phoneticPr fontId="1"/>
  </si>
  <si>
    <t>https://www.marklines.com/en/global/147</t>
    <phoneticPr fontId="1"/>
  </si>
  <si>
    <t>https://www.marklines.com/en/global/149</t>
    <phoneticPr fontId="1"/>
  </si>
  <si>
    <t>https://www.marklines.com/en/global/161</t>
    <phoneticPr fontId="1"/>
  </si>
  <si>
    <t>https://www.marklines.com/en/global/157</t>
    <phoneticPr fontId="1"/>
  </si>
  <si>
    <t>https://www.marklines.com/en/global/159</t>
    <phoneticPr fontId="1"/>
  </si>
  <si>
    <t>Announced on October 20, the THACO high-class sleeper bus product has officially been launched in the Philippines for the 78th Anniversary of Victory Liner Inc. (VLI), the Philippines’ leading transport company. THACO AUTO’s R&amp;D Center engineering team researched and designed the high-end sleeper bus model to Volvo's specifications and customer requirements, with over 60% localized content. Manufactured at THACO BUS plant, the vehicle is built on a Volvo chassis with an upper body structure that meets European ECE R66 safety standards. Since 2017, THACO AUTO, Autodelta Company (Philippines), and Volvo Buses have partnered to conduct market research in the Philippines to develop buses with Volvo chassis that meet the needs of customers. In addition, THACO AUTO said it expects to ship over 2,950 vehicles of all types to Myanmar, the Philippines, Indonesia, Cambodia, Laos, Kazakhstan, Uzbekistan, and Taiwan in 2023. THACO AUTO also plans to expand exports to new markets in Africa, West Asia, South Asia, and Australia.</t>
    <phoneticPr fontId="1"/>
  </si>
  <si>
    <t>https://www.marklines.com/en/global/1512</t>
    <phoneticPr fontId="1"/>
  </si>
  <si>
    <t>Belgium</t>
    <phoneticPr fontId="1"/>
  </si>
  <si>
    <t>On October 26, Volvo Cars announced that it will start building the new fully electric Volvo EX30 SUV in its Ghent plant in Belgium in 2025. The EX30 is the third fully electric Volvo vehicle produced in Europe, joining the XC40 and C40 models on the Ghent manufacturing line. The company chose to build the EX30 in Ghent to increase the production capacity in order to meet the anticipated demand for the new EX30 in Europe as well as for global export. The decision also adds production flexibility for the small SUV. The company expects that the EX30 will contribute significantly to its growth, profitability objectives, and electrification plans.</t>
    <phoneticPr fontId="1"/>
  </si>
  <si>
    <t>On October 26, Ford and the UAW have reached a tentative agreement in labor-management negotiations, six weeks into the strike, which will finally end the strikes at the Michigan, Chicago, Illinois, and Kentucky truck plants. The next step is the approval process by the 57,000 UAW members working at the Ford plants. If approved, the new collective agreement will run for four and a half years, through April 2028. The tentative agreement includes a 25% pay increase over four and a half years, reinstatement of cost-of-living adjustments (COLAs), and three years to reach top pay, which, including COLAs, will bring pay increases for top-paid employees to more than 30%, and with inflation becoming a social issue, the agreed rate of pay increases will be higher than in the past 22 years. Ford is working with its supply chain to resume production at its three main plants as soon as possible.</t>
    <phoneticPr fontId="1"/>
  </si>
  <si>
    <t>https://www.marklines.com/en/global/2847</t>
    <phoneticPr fontId="1"/>
  </si>
  <si>
    <t>On October 23, metal workers at GM’s Sao Jose dos Campos, Sao Caetano do Sul and Mogi das Cruzes plants went on strike for indefinite time over personnel cuts the company made due to the drop in sales and exports despite having offered job stability until May 2024 to its workers.</t>
    <phoneticPr fontId="1"/>
  </si>
  <si>
    <t>https://www.marklines.com/en/global/2845</t>
    <phoneticPr fontId="1"/>
  </si>
  <si>
    <t>https://www.marklines.com/en/global/2851</t>
    <phoneticPr fontId="1"/>
  </si>
  <si>
    <t>https://www.marklines.com/en/global/1731</t>
    <phoneticPr fontId="1"/>
  </si>
  <si>
    <t>On October 25, Iveco Bus announced that its Crossway range has rolled off its 60,000th unit recently from Vysoke Myto plant in the Czech Republic. The Crossway intercity range offers multiple variants in terms of size (10.8, 12, 13, and 14.5 m) and energy options (including biogas, hybrid, and electric), making it suitable for a wide range of customer needs.</t>
    <phoneticPr fontId="1"/>
  </si>
  <si>
    <t>https://www.marklines.com/en/global/9057</t>
    <phoneticPr fontId="1"/>
  </si>
  <si>
    <t>On October 25, Kamaz announced that it will start mass production of KAMAZ-62825 trolleybus in the first quarter of 2024. It is equipped with an asynchronous motor with a power of 150 to 180 kW. The line of configurations provides for variability in the layout of battery modules with a range of up to 30 km in the maximum configuration. The battery is charged from the contact network while driving. The total passenger capacity is 85 people. It will have a localization of 75%.</t>
    <phoneticPr fontId="1"/>
  </si>
  <si>
    <t>https://www.marklines.com/en/global/1573</t>
    <phoneticPr fontId="1"/>
  </si>
  <si>
    <t>On October 25, Honda Vietnam officially launched the all-new 6th generation Honda CR-V. This is also the first time Honda Vietnam introduces the RS version applied on CR-V with Hybrid engine. The all-new CR-V is larger than its predecessor in both length and width. Imported in complete units from Thailand, the 5-seater HEV option (e:HEV RS) is equipped with a 2-motor system and a 2.0-liter internal combustion engine, paired with an E-CVT transmission. Locally assembled, the 7-seater gasoline engine variants, namely G, L, L AWD, are powered by a 1.5L VTEC TURBO turbocharged engine, mated to a CVT. </t>
    <phoneticPr fontId="1"/>
  </si>
  <si>
    <t>https://www.marklines.com/en/global/2007</t>
    <phoneticPr fontId="1"/>
  </si>
  <si>
    <t>Ayutthaya</t>
  </si>
  <si>
    <t>https://www.marklines.com/en/global/9818</t>
    <phoneticPr fontId="1"/>
  </si>
  <si>
    <t>On October 25, multiple sources reported that Great Wall Motor has started sales of the Ora 3 compact electric hatchback in Russia. It has a range of 500 km. The battery can be charged from 30% to 80% in 30 minutes. Great Wall Motor also announced that it will start sales of hybrid cars from the Wey brand in Russia in 2024.</t>
    <phoneticPr fontId="1"/>
  </si>
  <si>
    <t>https://www.marklines.com/en/global/1861</t>
    <phoneticPr fontId="1"/>
  </si>
  <si>
    <t>Romania</t>
    <phoneticPr fontId="1"/>
  </si>
  <si>
    <t>On October 25, Ford announced that production of the all-new Ford Transit Courier and all-new Ford Tourneo Courier is underway at Ford Otosan's Craiova plant in Romania. Initial production includes diesel- and gasoline versions of the all-new Ford Transit Courier and gasoline versions of the all-new Ford Tourneo Courier, whereas the electric E-Transit Courier and E-Tourneo Courier will both go into production in 2024. Ford Otosan announced an investment of EUR 490 million for the production of the all-new Courier range at the Craiova plant, which is an addition to Ford's investment of USD 300 million at the plant where the Ford Puma is also produced. With the support of the investments, the plant capacity will increase from 250,000 to 272,000 vehicles per year.</t>
    <phoneticPr fontId="1"/>
  </si>
  <si>
    <t>https://www.marklines.com/en/global/10587</t>
    <phoneticPr fontId="1"/>
  </si>
  <si>
    <t>On October 25, Hyundai Motor Group Metaplant America (HMGMA) confirmed that it is on track to start production in early 2025, celebrating now the one-year anniversary of its groundbreaking in Bryan County. Construction has already begun on all HMGMA production-related buildings, with 99.9% of all foundation work complete, 81% of the steel framing installed, and roof, floor and wall construction in varying stages of completion. At full capacity, 8,500 employees will be employed on-site between HMGMA, the battery JV and on-site suppliers.</t>
    <phoneticPr fontId="1"/>
  </si>
  <si>
    <t>October 24, MAN Truck and Bus announced the progress in the ATLAS-L4 project for automated transport between logistics centers on Level 4 expressways. The vehicle is equipped with sensors on the roof, front, and sides of the driver's cab, as well as built-in computers. It had already completed its first successful kilometers at MAN's Munich test site, where functionalities and interfaces were tested for the first time. Significant milestones include the successful testing of safety-critical subsystems for Level 4 architecture, including the vehicle electrical system, steering system, and redundant braking system, which have been designed and tested.</t>
    <phoneticPr fontId="1"/>
  </si>
  <si>
    <t>https://www.marklines.com/en/global/165</t>
    <phoneticPr fontId="1"/>
  </si>
  <si>
    <t>On October 24, Renault Group unveiled the Ecogy portal for real-time plant consumption monitoring, a vital tool in achieving the goal of net-zero carbon emissions by 2030. The monitoring portal begun with the installation of 10,000 sensors in workshops and 8,500 cloud-connected processes, providing a unified platform to track resource usage like electricity, air, and water. More than 350 users are managing and analyzing the data that the sensors collected. For instance, at Batilly plant, heat-regulating sensors reduced heat loss by 80%, saving EUR 80,000 annually. In Sandouville plant, speed variators on welding unit motors cut consumption by 7%. In Cléon plant, sensors identified abnormal air conditioning settings in a piece of machinery, leading to a quick resolution of energy overconsumption.</t>
    <phoneticPr fontId="1"/>
  </si>
  <si>
    <t>https://www.marklines.com/en/global/175</t>
    <phoneticPr fontId="1"/>
  </si>
  <si>
    <t>https://www.marklines.com/en/global/3743</t>
    <phoneticPr fontId="1"/>
  </si>
  <si>
    <t>On October 23, Changan Mazda announced the signing of a strategic cooperation agreement with Chongqing Phoenix Auto Intelligence Co., Ltd. (Phoenix Auto). The two parties will conduct in-depth cooperation in multiple areas such as big data application and in-vehicle APPs. In addition, the two parties will establish a joint laboratory for human factors engineering to take the development of Changan Mazda NEV projects as a carrier to systematically study automotive human factors engineering technologies, build a complete system of standards and guidelines for automotive human factors engineering, and promote the development of Changan Mazda’s intelligentization business. In the future, the two parties will continuously strengthen cooperation. New Changan Mazda models will be equipped with leading Phoenix Auto intelligent cockpits.</t>
    <phoneticPr fontId="1"/>
  </si>
  <si>
    <t>On October 23, Changan Auto announced the recent holding of a media conference in Mexico, where the automaker comprehensively introduced its development plan and business strategy for the country and made the global debut of the Pioneer pickup truck. The model will become an important Changan Auto product in Mexico to link up with the implementation of the Program Pacific strategy.</t>
    <phoneticPr fontId="1"/>
  </si>
  <si>
    <t>According to multiple press releases dated October 20, Hubei Xinjidian New Energy Technology Co., Ltd. was recently established in Hubei, Wuhan. The new company’s registered capital is CNY 1 million, and its business scope includes R&amp;D of emerging energy technologies, energy storage technologies and services, manufacturing of battery parts and accessories, and manufacturing of automotive parts and accessories. The new company is jointly owned by Quzhou Jidian Electric Vehicle Technology Co., Ltd. and Hangzhou Geely Intelligent Innovation Enterprise Management Co., Ltd., Geely Holding Group subsidiaries.</t>
    <phoneticPr fontId="1"/>
  </si>
  <si>
    <t>On October 20, Changan Qiyuan officially launched the new A05 compact plug-in hybrid sedan. Based on the new CIIA 1.5 electrified architecture platform, the A05 comes standard with a 1.5L high-efficiency Blue Whale hybrid engine (maximum rated power 81kW and peak torque 143Nm) and an E-CVT (electronically controlled continuously variable transmission), with a front-engine FWD layout. A single permanent magnet synchronous motor (total power 140kW and 158kW for the 70km- and 145km-range variants, respectively; total torque 210Nm) completes the powertrain. In addition, the 70km- and 145km-range variants are equipped with 9.07kWh ternary lithium and 18.99kWh lithium iron phosphate batteries, with WLTC combined fuel consumption of 1.98L/100km and 0.98L/100km, respectively.</t>
    <phoneticPr fontId="1"/>
  </si>
  <si>
    <t>https://www.marklines.com/en/global/10767</t>
    <phoneticPr fontId="1"/>
  </si>
  <si>
    <t>On October 20, EPMB held a ground-breaking ceremony for the new EV/EEV manufacturing facility that will unfold in several phases at the HICOM Pegoh Industrial Park, with a substantial investment of over MYR 100 million. This project is poised to create around 1,000 new job opportunities in the state of Melaka. Upon completion, the first phase of this new facility will have the capacity to make up to 30,000 vehicles a year.</t>
    <phoneticPr fontId="1"/>
  </si>
  <si>
    <t>JAC</t>
    <phoneticPr fontId="1"/>
  </si>
  <si>
    <t>https://www.marklines.com/en/global/3865</t>
    <phoneticPr fontId="1"/>
  </si>
  <si>
    <t>On October 19, JAC Group announced its intention to transfer certain assets through public listing, involving the inventories, fixed assets, projects in progress, buildings, and land use rights of its passenger vehicle subsidiary’s No.3 Plant and the structures and equipment assets of the same subsidiary’s Xinqiao Plant. The proposed listing price is CNY 4.498 billion, with a value added of CNY 286 million and a value-added rate of 6.79%. The two plants involved are actually joint-venture plants between JAC Group and NIO, the JAC NIO Advanced Manufacturing Site and the NIO 2nd Advanced Manufacturing Site. NIO may acquire the aforementioned JAC assets to further seek independent production qualification. NIO said it is aware of the partner’s move and responded by confirming that this will not affect its future production and operation activities.</t>
    <phoneticPr fontId="1"/>
  </si>
  <si>
    <t>https://www.marklines.com/en/global/10357</t>
    <phoneticPr fontId="1"/>
  </si>
  <si>
    <t>https://www.marklines.com/en/global/10444</t>
    <phoneticPr fontId="1"/>
  </si>
  <si>
    <t>On October 18, EPMB announced that its subsidiary, PEPS-JV (Melaka) Sdn Bhd has signed a Memorandum of Understanding (MoU) with Great Wall Motor Sales Malaysia Sdn Bhd for local assembly and manufacturing in Malaysia. Both parties are poised to propel their collaboration towards a definitive agreement in the coming 3 months. This will entrust EPMB with the pivotal role of locally assembling selected GWM models, expected to cover SUV, pickup, and EVs. Should both parties reach an agreement, EPMB expects to start the collaboration from 2024 onwards. EPMB's production of GWM vehicles is expected to gradually ramp up every year, reaching 20,000 units by 2028.</t>
    <phoneticPr fontId="1"/>
  </si>
  <si>
    <t>Shaanxi Automobile</t>
    <phoneticPr fontId="1"/>
  </si>
  <si>
    <t>https://www.marklines.com/en/global/4271</t>
    <phoneticPr fontId="1"/>
  </si>
  <si>
    <t>On October 18, a New Energy commercial vehicle (NECV) technology conference was held in Xixian New Area, Shaanxi, where the “Three-Year Action Plan for the Development of the Hydrogen Energy Industry in Jinghe New City, Xixian New Area” was officially released. At the conference, Zhizi Automobile Technology Co., Ltd. (Zhizi Auto) signed an agreement for a Series B financing with five investors; and formed a strategic partnership with Jinghe Group to co-build an NECV innovation center in Shaanxi. Zhizi Auto is an NECV company established by DECH Future Automotive Technology Co., Ltd., a joint venture between Xixian New Area and Shaanxi Automobile Group, on April 7, 2022, with a registered capital of CNY 100 million.</t>
    <phoneticPr fontId="1"/>
  </si>
  <si>
    <t>On October 24, Dongfeng Russia announced that by the end of the first quarter of 2024, it will introduce 8 new models in the Russian market. The Aeolus line will be supplemented by three new models Aeolus AX7, Aeolus MAGE, and Aeolus HUGE crossover. The range of cars of the joint venture between Dongfeng and Seres Group will be increased to four models. In addition to the seven-seat crossover 580, the economical and comfortable budget B-class sedan 500 will debut on the market. Three full-size crossovers will appear in the D-SUV segment. It includes 600 crossover, ix5 coupe-crossover, and the large seven-seat ix7 crossover. The choice of body-on-frame SUVs introduced by the DF6 pickup truck will be expanded to include the Paladin model.</t>
    <phoneticPr fontId="1"/>
  </si>
  <si>
    <t>https://www.marklines.com/en/global/3977</t>
    <phoneticPr fontId="1"/>
  </si>
  <si>
    <t>On October 24, Pak Suzuki announced that due to shortage of inventory level, it has decided to shut down the automobile plant from October 30, 2023 till November 3, 2023 and the motorcycle plant from November 1, 2023 to November 3, 2023.</t>
    <phoneticPr fontId="1"/>
  </si>
  <si>
    <t>https://www.marklines.com/en/global/2525</t>
    <phoneticPr fontId="1"/>
  </si>
  <si>
    <t>On October 24, the UAW expanded its strike against GM, with workers walking out at the Arlington plant on the day the company reported third-quarter earnings, which beat Wall Street expectations, with a net income of USD 3 billion on revenue of USD 44.1 billion. GM's Arlington plant builds the profitable Chevrolet Tahoe and Suburban, the GMC Yukon and Yukon XL and the Cadillac Escalade and Escalade-V. The UAW threatened to strike the Arlington plant on October 6, but a last-minute offer by GM to include Ultium Cells workers in its master agreement resulted in the union holding off on calling a strike. </t>
    <phoneticPr fontId="1"/>
  </si>
  <si>
    <t>https://www.marklines.com/en/global/10756</t>
    <phoneticPr fontId="1"/>
  </si>
  <si>
    <t>On October 24, GM CEO Mary Barra acknowledged that GM made an offer to the UAW that would put the Ultium Cells JV battery plants "under the scope of the master agreement", but said that Ultium leadership is negotiating to have its own agreement. Workers at the only currently operating Ultium Cells plant in Warren, Ohio, voted to organize with the UAW in December 2022, and while receiving wage increases, are still awaiting an inaugural contract. GM and LG are building a battery plant in Spring Hill, Tennessee, that will open in early 2024, followed by another in the Lansing, Michigan area. GM is also opening a battery plant in New Carlisle, Indiana, with Samsung SDI in 2026.</t>
    <phoneticPr fontId="1"/>
  </si>
  <si>
    <t>https://www.marklines.com/en/global/10564</t>
    <phoneticPr fontId="1"/>
  </si>
  <si>
    <t>On October 23, Steyr Automotive along with its partner Burgenland Energie, the largest provider of wind and photovoltaics in Austria, announced that it has installed a roof-mounted photovoltaic system at its factory in Austria. The plant has been in full operation since September 5, 2023. About 17,000 panels are installed on the 85,000 square meters roof area of Steyr Automotive. A maximum output of about 7,500 kWp is achieved through the photovoltaic systems which will cover around one-fourth of the plant's electricity consumption.</t>
    <phoneticPr fontId="1"/>
  </si>
  <si>
    <t>https://www.marklines.com/en/global/2325</t>
    <phoneticPr fontId="1"/>
  </si>
  <si>
    <t>On October 23, JLR unveiled Future Energy Lab, a GBP 250 million electric vehicle (EV) test facility, at Whitley Engineering Centre in Coventry, UK. The new 323,000 square feet facility will host more than GBP 40 million of technological innovations for rapid testing of EVs, including electric test rigs, Electric Drive Unit (EDU) manufacturing, electric vehicle systems test cells, and a series of extreme-weather climate chambers, capable of simulating conditions from -40°C and up to 55°C. The facility is a part of JLR's GBP 15 billion investment which will increase JLR's test and development capacity, as it prepares to launch nine pure electric luxury models by 2030. Currently, the facility has more than 200 EV engineers at the site and plans to add a further 150 roles in the future. JLR is also planning another GBP 22 million investment next year to upgrade the Coventry site.</t>
    <phoneticPr fontId="1"/>
  </si>
  <si>
    <t>https://www.marklines.com/en/global/1263</t>
    <phoneticPr fontId="1"/>
  </si>
  <si>
    <t>On October 23, Tata Motors, unveiled new-age R&amp;D facilities in Pune for offering sustainable mobility solutions. It constituted of engine test cell for development of hydrogen internal combustion engine and the necessary infrastructure for storage and dispensing of hydrogen fuel for the fuel cell and H2ICE (hydrogen internal combustion engine) vehicles.</t>
    <phoneticPr fontId="1"/>
  </si>
  <si>
    <t>https://www.marklines.com/en/global/10508</t>
    <phoneticPr fontId="1"/>
  </si>
  <si>
    <t>Andhra Pradesh</t>
  </si>
  <si>
    <t>On October 20, Omega Seiki Mobility partnered with partnership with Honda Power Pack Energy India (HEID) where it will provide swappable batteries and establish a network of quick interchange stations in Tier 1 cities across India. Omega Seiki plans to implement Honda e: swap technology in over 10,000 vehicles in the passenger and cargo segments. Also, its upcoming EV Three Wheeler (Cargo and Passenger) will be equipped with HEID's intelligent swappable batteries utilizing advanced lithium-ion technology.</t>
    <phoneticPr fontId="1"/>
  </si>
  <si>
    <t>https://www.marklines.com/en/global/3415</t>
    <phoneticPr fontId="1"/>
  </si>
  <si>
    <t>On October 18, Tianjin Port Group and BAIC Group signed a strategic cooperation framework agreement. According to the agreement, the two parties will actively explore and conduct cooperation in areas such as finished vehicle and component port handling, logistics, vehicle purchase, digitalization, and talent exchange and cultivation.</t>
    <phoneticPr fontId="1"/>
  </si>
  <si>
    <t>On October 13, BMW announced that the production of the BMW i5 Touring in the coming year will drive electric vehicle production to around 40% of the total by 2024, targeting over 300,000 units. The plant has produced more than 12 million vehicles at the Dingolfing plant over the past 50 years, with a rate of one BMW rolling off the assembly line every minute. Dingolfing's Component Plant 02.20, housing the competence centre for e-drive production with 2,400 employees, supplies BMW Group's global vehicle plants with electric motors and high-voltage batteries for plug-in hybrids and electric models. BMW Group continues to invest around EUR 100 million in the site to support future products and technologies.</t>
    <phoneticPr fontId="1"/>
  </si>
  <si>
    <t>Ram</t>
    <phoneticPr fontId="1"/>
  </si>
  <si>
    <t>https://www.marklines.com/en/global/2641</t>
    <phoneticPr fontId="1"/>
  </si>
  <si>
    <t>On October 23, the UAW announced it has expanded its strike to Stellantis' Sterling Heights Assembly Plant, pointing in a news release to Stellantis having the best financial metrics of the three Detroit 3. The surprise walkout at SHAP, which builds Ram 1500 pickups, adds 6,800 members to picket lines and brings the number of striking UAW members at Detroit Three to more than 40,000.</t>
    <phoneticPr fontId="1"/>
  </si>
  <si>
    <t>On October 22, Ford asked 67 more employees at the Sterling Axle Plant in Sterling Heights not to report to work, bringing the layoff total there to 485. On October 20, Ford asked 354 employees at the Sharonville Transmission Plant to not report to work, bringing the layoff total to 660 there, as well as 10 employees at the Rawsonville Components Plant, bringing the total layoffs there to 45. The layoffs are a consequence of the strike at the Kentucky Truck Plant, off since October 11.</t>
    <phoneticPr fontId="1"/>
  </si>
  <si>
    <t>Samsung SDI says it has not yet had discussions with GM and Stellantis in relation to their labor negotiations with the UAW and what they mean for their JV battery operations. While the UAW and GM’s Ultium Cells are still are negotiating an inaugural contract, a deal struck in August raises the starting rate for production operators at the organized Warren, Ohio plant, and according to UAW President Shawn Fain, sets a pattern that the union would expect for similar ventures for Ford and Stellantis to follow if the UAW does unionize them.</t>
    <phoneticPr fontId="1"/>
  </si>
  <si>
    <t>https://www.marklines.com/en/global/10717</t>
    <phoneticPr fontId="1"/>
  </si>
  <si>
    <t>On October 20, Volkswagen Group of America, Inc. (VWGoA) and the University of Tennessee, Knoxville signed a new Master Research Agreement to extend their research at the Volkswagen Innovation Hub in Knoxville through 2028. In 2018, Volkswagen and the university signed the first five-year Master Research Agreement, with the Volkswagen Innovation Hub in Knoxville opening in January 2020. </t>
    <phoneticPr fontId="1"/>
  </si>
  <si>
    <t>On October 19, Hyper, a GAC Aion sub-brand, officially started accepting pre-orders for the new Hyper HT mid-to-large-size battery electric SUV. The Hyper HT has an RWD layout. The 600km-range variant is equipped with a 400V platform (maximum motor power 180kW and peak motor torque 355Nm). The respective 0 to 100km/h acceleration times are 5.8 seconds and seconds. Some variants are available with Level 2++ intelligent driver assistance features such as highway NDA and RPA.</t>
    <phoneticPr fontId="1"/>
  </si>
  <si>
    <t>https://www.marklines.com/en/global/3983</t>
    <phoneticPr fontId="1"/>
  </si>
  <si>
    <t>On October 19, DFM announced on the HKEX the acquisition of the specific land use rights, buildings, and structures located in Wuhan and Xiangyang, China of DPCA for CNY 1.714 billion. On the same day, the two parties agreed on a leasing arrangement that DFM will lease the target assets to DPCA for a term of 10 years. According to the announcement, DFM and Stellantis N.V., DPCA’s Chinese and French shareholders, will maintain the existing governance model of and their respective shareholding ratios (both 50%) in the company. With the term of the joint venture extended to 2037, both shareholders will remain committed to fulfilling the strategic cooperation agreement signed in 2019 to continue to provide unwavering support for DPCA’s sustainable growth. DFM and Stellantis N.V. will jointly support DPCA’s continued production of the existing Peugeot and Citroen passenger vehicles as well as Fukang models, while expanding DPCA’s finished vehicle and component export business. Several new DPCA export projects have been comprehensively launched so far and will be implemented within 2023 to continuously contribute to exports. In the future, more export projects will be launched in succession. In this strategic adjustment, DPCA established an international business division and an international talent team to build itself into a globally oriented automaker. According to DFM, this strategic adjustment is to help DPCA be actively integrated into its New Energy business layout on the one hand and to leverage the synergistic effect of its manufacturing resources to accelerate the implementation of the “Tech Advance” plan for New Energy passenger vehicles on the other hand.</t>
    <phoneticPr fontId="1"/>
  </si>
  <si>
    <t>https://www.marklines.com/en/global/3973</t>
    <phoneticPr fontId="1"/>
  </si>
  <si>
    <t>WEY</t>
    <phoneticPr fontId="1"/>
  </si>
  <si>
    <t>https://www.marklines.com/en/global/10420</t>
    <phoneticPr fontId="1"/>
  </si>
  <si>
    <t>On October 19, WEY, a Great Wall Motor sub-brand, officially launched the Gaoshan, its first midsize plug-in hybrid MPV for family use. Powered by a 1.5T high-thermal-efficiency E15BD engine (115kW/235Nm), a 37.96kWh ternary lithium battery, a dedicated hybrid transmission, and dual permanent magnet synchronous motors in the front (130kW/300Nm) and rear (135kW/232Nm), the Gaoshan has a comprehensive system power of 358kW, a comprehensive system torque of 762Nm, an intelligent 4WD layout, a 0 to 100km/h acceleration time of 5.7 seconds, a top speed of 170km/h, a WLTC electric-mode range of 140km, and a WLTC combined fuel consumption of 1.25L/100km. The Gaoshan comes standard with features such as a Level 2 intelligent driver assistance system.</t>
    <phoneticPr fontId="1"/>
  </si>
  <si>
    <t>Reported on October 18 and 19, Proton has rolled out the last production unit of its Exora MPV. However, the Malaysian carmaker has yet to make official announcement regarding this matter. Launched in 2009, the Exora was Proton's most popular and best-selling MPV with 196,583 units produced to date. </t>
    <phoneticPr fontId="1"/>
  </si>
  <si>
    <t>https://www.marklines.com/en/global/9481</t>
    <phoneticPr fontId="1"/>
  </si>
  <si>
    <t>On October 18, SAIC Roewe held a DMH (dual-motor hybrid) technology sharing session to provide more comprehensive hybrid solutions for users. Containing a 1.5L hybrid-dedicated engine with a maximum thermal efficiency of over 43%; a hybrid-dedicated high-efficiency long-range battery with a safer and more stable structure design; and a dual-motor (the industry’s first P1 coaxial motor and P3 direct-injection oil-cooled flat wire drive motor) hybrid-dedicated transmission with a maximum power of 150kW and a peak torque of 330Nm, the DMH system delivers five drive modes. The industry’s first PICU power domain controller integrating the engine, the transmission, the hybrid system, the thermal management system, and the air conditioning system enables a 50% enhancement in computing speed and a quicker response of 0.26 seconds. The D7 DMH about to be launched, the first model of Roewe’s D family for New Energy Vehicles, takes the lead in riding on the DMH system.</t>
    <phoneticPr fontId="1"/>
  </si>
  <si>
    <t>https://www.marklines.com/en/global/10528</t>
    <phoneticPr fontId="1"/>
  </si>
  <si>
    <t>On October 18, BYD held both a launch for the new T5 hybrid light-duty truck and an intelligent plant experience day event in Huai’an, Jiangsu. Making the debut of the BYD DM 1.5T hybrid-dedicated engine, and equipped with the world’s first flat wire motor (maximum power 150kW) and first DM hybrid-dedicated 18.3kWh blade battery, the T5 has a maximum combined range of 1,000km, a combined fuel consumption of 9.2L/100km, and a 0 to 50km/h acceleration time of 5.5 seconds when fully loaded. The T5 rides on an intelligent cockpit powered by the DiLink system. In addition, the world’s first BYD intelligent truck plant in Huai’an will be gradually commissioned, with a planned annual capacity of 100,000 units.</t>
    <phoneticPr fontId="1"/>
  </si>
  <si>
    <t>On October 18, Neta Auto officially launched the new Neta X compact battery electric SUV, the advanced model of the Neta U-II. Based on the Yunhe platform, the Neta X is powered by a permanent magnet synchronous motor (maximum power 120kW and peak torque 210Nm) and a Tiangong battery, with a top speed of over 150km/h and a CLTC combined range of 401km or 501km.</t>
    <phoneticPr fontId="1"/>
  </si>
  <si>
    <t>Navistar (TRATON)</t>
    <phoneticPr fontId="1"/>
  </si>
  <si>
    <t>https://www.marklines.com/en/global/3172</t>
    <phoneticPr fontId="1"/>
  </si>
  <si>
    <t>On October 18, Navistar announced the start of production on the new International S13 Integrated Powertrain at the Huntsville Powertrain Plant. Composed of the S13 Engine, T14 Transmission, and Dual Stage Aftertreatment system, the International S13 Integrated Powertrain marks the final combustion product platform that Navistar will develop as it transitions towards zero-emissions trucks. Navistar recently completed a 110,000-square-foot expansion of the Huntsville plant for production of the new S13 Integrated Powertrain components. The now 410,000-square-foot facility has two assembly lines, for the T14 Transmission and S13 Engine, along with three major machining lines. Navistar has invested more than USD 200 million in the plant since 2008 and has more than 230 employees.</t>
    <phoneticPr fontId="1"/>
  </si>
  <si>
    <t>On October 17, Honda Automobile Thailand Co., Ltd. announced the official prices for the all-new Honda Accord e:HEV. Starting from THB 1.529 million, the 3 available variants are e:HEV E, e:HEV EL, and e:HEV RS. All variants are powered by a 2.0-liter DOHC 4 Cylinder 16 Valve engine, working with electric motors and a high-efficiency lithium-ion battery, mated to an E-CVT. </t>
    <phoneticPr fontId="1"/>
  </si>
  <si>
    <t>On October 17, Farizon New Energy Commercial Vehicles Group (Farizon) held a signing ceremony with Admiral and Mai Dubai, UAE companies, in Dubai. In the next three to five years, the three parties will jointly explore the transformation of Mai Dubai’s transportation fleet from conventional ICE vehicles to New Energy commercial vehicles to contribute to carbon neutrality in the Middle East.</t>
    <phoneticPr fontId="1"/>
  </si>
  <si>
    <t>https://www.marklines.com/en/global/10395</t>
    <phoneticPr fontId="1"/>
  </si>
  <si>
    <t>Uzbekistan</t>
    <phoneticPr fontId="1"/>
  </si>
  <si>
    <t>On October 14, local time in Uzbekistan, Great Wall Motor (GWM) held a launch for models such as the Haval H6 compact SUV in Tashkent, the capital of Uzbekistan. This marks GWM’s official entry into the Uzbek market. In July 2023, GWM signed an agreement with a leading Uzbek auto group for localized production of Haval models at the ADM Jizzakh Factory, with a planned annual capacity of 35,000 units. In the future, the two parties will discuss in depth the extensive localization of Haval models and the possibility of cooperation on New Energy products to fully support GWM’s strategic transformation into an intelligent technology company.</t>
    <phoneticPr fontId="1"/>
  </si>
  <si>
    <t>https://www.marklines.com/en/global/1109</t>
    <phoneticPr fontId="1"/>
  </si>
  <si>
    <t>Uttarakhand</t>
  </si>
  <si>
    <t>On October 20, Ashok Leyland inaugurated a new 'Women-centric Cabin Trim Line' at its Pantnagar plant to address the large-size cabins for commercial vehicles. This line has a capacity of assembling 56 cabins per shift and will be operating in 2 shifts. The Cabin Trim line will serve as a production line where the painted vehicle cabins will be put together, complete with vital components like the steering system, windshields, windows, electronic elements, headlights, and driver seats. After the installation of these components, the vehicle will undergo thorough testing to ensure that all functions. Ashok Leyland established this line with women making up the majority of the workforce to promote gender diversity and equity and to attract more women to the manufacturing industry.</t>
    <phoneticPr fontId="1"/>
  </si>
  <si>
    <t>https://www.marklines.com/en/global/10750</t>
    <phoneticPr fontId="1"/>
  </si>
  <si>
    <t>On October 19, multiple sources reported that the budget committee of the German Bundestag had allocated an additional EUR 600 million for Northvolt's battery cell factory in Heide, Germany through a repayable convertible bond. The battery production plant will start construction in 2025. It will have 60 gigawatt hours. The plant will create 3,000 jobs.</t>
    <phoneticPr fontId="1"/>
  </si>
  <si>
    <t>On October 19, Pak Suzuki announced that Suzuki Motor Corporation intends to obtain full ownership of Pak Suzuki by purchasing all outstanding shares and securities. Further, its board of directors have resolved to delist the company from PSX (Pakistan Stock exchange) as the operations of the company have resulted in losses in 2019, 2020, 2022 and up to the 3rd quarter of 2023. However, Suzuki reiterated that remain fully committed to Pakistan's market for future potential.</t>
    <phoneticPr fontId="1"/>
  </si>
  <si>
    <t>https://www.marklines.com/en/global/1901</t>
    <phoneticPr fontId="1"/>
  </si>
  <si>
    <t>On October 19, according to multiple sources, Ford management informed the Works Committee that it would establish production stops from October 29 to 31, 2023, at the Almussafes (Valencia) factory, under the formula of industrial days due to the drop in demand. Industrial days are collective vacations established on certain dates of the work calendar that management can schedule in situations of low production or the inability to manufacture on certain days. Industrial days are usually four days/year and can be exchanged with work days in future years. The factory faced a drop in production with 400 fewer vehicles per day and a total stoppage of production in the second week of October due to a reduction in sales. The company has also announced that vehicle operations and auxiliary departments will use October 30 and 31 as industrial days in 2024. Whereas the engine assembly departments will be used on October 30 and 31 (night shift 29 and 30) and the machining department on October 29, 30, and 31. According to the Works Committee, the afternoon shift will not have vehicles to produce from November 2 until November 10, 2023, because of the decrease in production.</t>
    <phoneticPr fontId="1"/>
  </si>
  <si>
    <t>On October 19, Toyota Motor Corporation continued to suspend operations on 10 lines at 6 plants in Japan that produce finished vehicles. An explosion occurred on October 16 at its supplier, Chuo Spring Co., Ltd., which has affected the procurement of coil springs. Of the 10 lines at 6 plants, Toyota Auto Body's Yoshiwara Plant (No.1 and No.2 lines) and Fujimatsu Plant (No.1 line) have been out of operation since the second shift on October 16. Toyota's Takaoka Plant (No.1 and No.2 lines), Toyota Auto Body's Fujimatsu Plant (No.2 line) and Inabe Plant (No.1 line), Toyota Industries Corporation's Nagakusa Plant (301 and 302 lines) have been out of operation since October 17, while Gifu Auto Body's No.2 line has been shut down since October 18. In addition to the 10 lines at these 6 plants, operations at Toyota Motor East Japan's Iwate Plant (No.1 and No.2 lines) and Miyagi Ohira Plant will also be suspended on October 20. A decision will be made on the afternoon of the 20th regarding operations from October 23 onwards. Additionally, Toyota's Tsutsumi Plant (No.2 line) also suspended operations for 2 days, October 17 and 18,  but resumed operations on October 19.</t>
    <phoneticPr fontId="1"/>
  </si>
  <si>
    <t>On October 18, multiple sources reported that The Maharashtra government has asked Hyundai Motors to consider absorbing some of the workers which are currently at strike when it began its operations in 2025 at the plant in Talegaon, near Pune. Further, it has also recommended General Motors (GM) to consider to increase and providing fair compensation as the severance package to the workers.</t>
    <phoneticPr fontId="1"/>
  </si>
  <si>
    <t>https://www.marklines.com/en/global/1175</t>
    <phoneticPr fontId="1"/>
  </si>
  <si>
    <t>On October 18th, Toyota released the partially improved compact SUV "Corolla Cross" in Japan. The latest improvements include a new powertrain, as well as enhanced safety equipment and connected functions. The hybrid vehicle uses a 1.8L hybrid system with all electric modules updated. The conventional 1.8L engine for gasoline vehicles has been replaced with a 2.0L dynamic force engine (maximum output 125kW/maximum torque 202Nm) that achieves low fuel consumption and high output. In terms of safety, the preventive safety package "Toyota Safety Sense" has expanded functions, including the addition of Proactive Driving Assist, which supports steering and braking operations.</t>
    <phoneticPr fontId="1"/>
  </si>
  <si>
    <t>On October 18, Toyota Motor Corporation suspended operations on 11 lines at 7 plants in Japan. An explosion occurred on October 16 at its supplier, Chuo Spring Co., Ltd., which affected the procurement of coil springs. On the 16th, when the accident occurred, Toyota Auto Body's Yoshiwara Plant (No.1 and No.2 lines) and Fujimatsu Plant (No.1 line) suspended operations on the second shift. On the 17th, in addition to these three lines, Toyota Motor's Takaoka Plant (No.1 and No.2 lines) and Tsutsumi Plant (No.2 line), Toyota Auto Body's Fujimatsu Plant (No.2 line) and Inabe Plant (No.1 line), and Toyota Industries Corporation's Nagakusa Plant (301 and 302 lines) suspended operations. On the 18th, 11 lines at 7 plants, including the above 10 lines at 6 plants and Gifu Auto Body's No.2 line, suspended operations. Operations on the 19th have not yet been determined.</t>
    <phoneticPr fontId="1"/>
  </si>
  <si>
    <t>https://www.marklines.com/en/global/3483</t>
    <phoneticPr fontId="1"/>
  </si>
  <si>
    <t>On October 17, Mercedes-Benz (Shanghai) Digital Technology Co., Ltd. (MBSDT) signed a memorandum of cooperation with the China (Shanghai) Pilot Free Trade Zone Administration Jinqiao Bureau and Shanghai Jinqiao (Group) Co., Ltd. to conduct in-depth cooperation on autonomous driving and intelligent connected vehicles (ICVs) to jointly promote the establishment of a linkage between an intelligent city and ICVs in Shanghai and support regional industrial transformation and high-quality economic development. Mercedes-Benz officially registered and established MBSDT, a wholly-owned subsidiary, in the same city in June 2023. New office buildings at the Shanghai R&amp;D center are planned for official commissioning in the first half of 2024. It is expected that by the end of 2023, the size of Mercedes-Benz’s Chinese R&amp;D team will be expanded to 2,000 people, nearly doubling compared with 2020. The Mercedes-Benz Shanghai R&amp;D Center focuses on fields such as intelligent connectivity, autonomous driving, software and hardware development, and big data. With the engagement of the Chinese R&amp;D team, the Mercedes-Benz Operating System (MB.OS) will be launched along with the Mercedes Modular Architecture in the middle of this decade. The MB.OS, a new proprietary Mercedes-Benz architecture covering the chip to the cloud.</t>
    <phoneticPr fontId="1"/>
  </si>
  <si>
    <t>https://www.marklines.com/en/global/10766</t>
    <phoneticPr fontId="1"/>
  </si>
  <si>
    <t>According to multiple press releases dated October 17, JAC Group recently established a wholly-owned subsidiary in Selangor, Malaysia. This company is the sixth project and fourth wholly-owned subsidiary invested and established by JAC Group overseas. By establishing the wholly-owned subsidiary in Malaysia, JAC Group will implement a new business model in the region. So far, JAC Group has exported products to over 130 countries and regions around the world, with 19 overseas KD plants. It has also established joint ventures or wholly-owned companies in countries such as Vietnam and Kenya.</t>
    <phoneticPr fontId="1"/>
  </si>
  <si>
    <t>According to multiple press releases dated October 17, Guangxi Jidian New Energy Technology Co., Ltd. was recently established. The new company’s registered capital is CNY 2 million, and its business scope includes energy storage technologies and services, manufacturing of battery parts and accessories, and manufacturing of automotive parts and accessories. The company is 99% and 1% owned by Quzhou Jidian Electric Vehicle Technology Co., Ltd. and Hangzhou Geely Intelligent Innovation Enterprise Management Co., Ltd., Geely Holding Group subsidiaries, respectively.</t>
    <phoneticPr fontId="1"/>
  </si>
  <si>
    <t>https://www.marklines.com/en/global/3955</t>
    <phoneticPr fontId="1"/>
  </si>
  <si>
    <t>On October 17, Venucia, a Dongfeng Nissan sub-brand, officially signed the “Partnership Intention Agreement on Promoting the Sales of New Energy Vehicles (NEVs) in Kenya” with the Kenya Investment Authority (KenInvest) in Beijing. This agreement aims to strengthen trade relations between China and Kenya in the NEV field, boost the Kenyan sales of Venucia NEVs, promote the high-quality development of Kenya’s NEV industry, and make further contributions to the deepening of the “Belt and Road” initiative. Venucia is fully promoting its New Energy transformation and vehicle export strategies.</t>
    <phoneticPr fontId="1"/>
  </si>
  <si>
    <t>On October 17, Toyota Motor Corporation suspended operations on 10 lines at 6 plants in Japan. An explosion occurred on October 16 at its supplier, Chuo Spring Co., Ltd., which has affected the procurement of coil springs. On the 16th, when the accident occurred, Toyota Auto Body's Yoshiwara Plant (No.1 and No.2 lines) and Fujimatsu Plant (No.1 line) suspended operations on second shift. On the 17th, in addition to these three lines, Toyota Motor's Takaoka Plant (No.1 and No.2 lines) and Tsutsumi Plant (No.2 line), Toyota Auto Body's Fujimatsu Plant (No.2 line) and Inabe Plant (No.1 line), and Toyota Industries Corporation's Nagakusa Plant (301 and 302 lines) suspended operations. Operations on the 18th have not yet been determined. According to an announcement from Chuo Spring, the explosion occurred at its Fujioka Plant's No.4 building at around 12:15 on October 16. The drying furnace, where the accident occurred, and part of the building were damaged, and the cause is under investigation.</t>
    <phoneticPr fontId="1"/>
  </si>
  <si>
    <t>On October 16, the Chery Technology Day 2023 was held in Wuhu, Anhui, where Chery’s deployment and achievements in all fields of technologies and thinking and exploration of future technologies were fully showcased. Under the Yaoguang 2025 strategy, Chery, with technology advantages in safety, power consumption, space, intelligent cockpit, and intelligent driving, has achieved 19 core technological upgrades in areas such as platform architecture, chips, high-efficiency hybrid engines, hydrogen energy, and unmanned driving based on technologies concerning the M3X architecture, Chery Power, Lion Intelligent Cockpit, Dazhuo Intelligent Driving, and the Galaxy ecosystem. At the event, Chery also unveiled the latest result of cooperation with CATL, the Shenxing Superfast Charging Battery applied to the Exeed sub-brand’s Sterra family. The Stellar Ecological Alliance formed by a Chery doctoral team, scientific research institutions in the automotive industry, and university experts and scholars was officially established. Chery plans to introduce five C-DM 3.0-powered and four E0X-powered high-end electric models in Q4 2023 and increase the respective numbers to 24 and 15 in the next two years. Specifically, new models including the Fulwin A8 and T9, the Sterra ES, and the iCAR 03 will be introduced in succession.</t>
    <phoneticPr fontId="1"/>
  </si>
  <si>
    <t>https://www.marklines.com/en/global/3879</t>
    <phoneticPr fontId="1"/>
  </si>
  <si>
    <t>https://www.marklines.com/en/global/9390</t>
    <phoneticPr fontId="1"/>
  </si>
  <si>
    <t>Exeed</t>
    <phoneticPr fontId="1"/>
  </si>
  <si>
    <t>Yulon Motor</t>
    <phoneticPr fontId="1"/>
  </si>
  <si>
    <t>On October 12, Luxgen Motor Co., Ltd., a sales subsidiary of Yulon Motor Co., Ltd., announced the specifications and equipment of its all-new electric SUV "n⁷". The "n⁷" is based on the "Model C," a prototype electric SUV developed by Foxtron Vehicle Technologies, a joint venture between Yulon and Foxconn. The vehicle measures 4,695 mm (length) x 1,895 mm (width) x 1,625 mm (height) with a wheelbase of 2,920 mm, and the lineup includes two types of 5-seaters and one 7-seater. According to the specifications and equipment list, all three types are powered by a motor with a maximum output of 172 kW, accelerating from 0-100 km/h in less than 7 seconds, and a range (NEDC) of 505 km for the 5-seater and the 7-seater range is currently being certified. It also comes standard with 12.3-inch digital meters, a 15.6-inch center display, and an advanced driver assistance system (ADAS). On the same day, along with the specifications of the n⁷, Luxgen Motors also announced the pre-order price, which is limited to eligible customers: only participants (with pre-order rights) of the pre-order preferential plan implemented in 2022 can purchase the car at the pre-order price of TWD 999,000 to TWD 1,349,000. If participants complete the procedures, including a TWD 10,000 deposit, by the deadline and do not apply for cancellation by November 30, their pre-orders will be officially approved.</t>
    <phoneticPr fontId="1"/>
  </si>
  <si>
    <t>https://www.marklines.com/en/global/10742</t>
    <phoneticPr fontId="1"/>
  </si>
  <si>
    <t>On October 19, Rivian Automotive confirmed that it will move ahead with construction on its USD 5 billion factory near Social Circle, Georgia, east of Atlanta, in early 2024 following the grading of dirt, expected to be complete by the end of 2023. It plans to build the R2 vehicle at a lower price than the Normal, Illinois-built R1T and R1S. The first phase of the Georgia factory has a planned capacity of 200,000 vehicles per year, with a second phase capable of building another 200,000 a year being complete by 2030. </t>
    <phoneticPr fontId="1"/>
  </si>
  <si>
    <t>https://www.marklines.com/en/global/2651</t>
    <phoneticPr fontId="1"/>
  </si>
  <si>
    <t>On October 19, Stellantis announced it is laying off an additional 100 workers at the Toledo Machining Plant in Perrysburg, Ohio, bringing the number of workers on layoff there to 170. Stellantis now has 1,520 employees on temporary layoff besides the 7,800 workers on strike at the Toledo Assembly Complex and 20 Mopar facilities. Toledo Machining supplies components for the Jeep Wrangler, Wrangler 4xe and Gladiator and “has reached maximum inventory level.”</t>
    <phoneticPr fontId="1"/>
  </si>
  <si>
    <t>https://www.marklines.com/en/global/2653</t>
    <phoneticPr fontId="1"/>
  </si>
  <si>
    <t>https://www.marklines.com/en/global/2655</t>
    <phoneticPr fontId="1"/>
  </si>
  <si>
    <t>On November 4, Ford Otosan inaugurated the transformation of its state-of-the-art Yeniköy Assembly Plant in Turkey, boosting productivity for Ford Pro commercial vehicle businesses across Europe. Advanced solar energy technology, end-to-end management driven by artificial intelligence, and noise-reducing assembly lines are among the new innovations delivered as part of the EUR 2 billion investment in the Ford Otosan production facilities in Kocaeli including the Yeniköy plant. The Yeniköy Assembly Plant will expand its capacity to 405,000 units to produce the new generation of one-tonne vehicles in 2025.</t>
    <phoneticPr fontId="1"/>
  </si>
  <si>
    <t>On November 3, Volkswagen Navarra, Spain announced the investment of EUR 52.5 million in a new press shop in the plant and confirmed the production of two electric models in Pamplona. The announcement was part of the 10th Collective Agreement to become a multi-brand electric and combustion car factory by 2026.</t>
    <phoneticPr fontId="1"/>
  </si>
  <si>
    <t>On November 3, multiple sources reported that Stellantis' Vigo factory halted its production during night shifts of November 3 and November 5, 2023, due to necessary component shortages for vehicle assembly. The production halt affected the System 2 assembly line which is responsible for assembling vans for various consortium brands.</t>
    <phoneticPr fontId="1"/>
  </si>
  <si>
    <t>On November 2, Skoda Auto unveiled the fourth-generation Superb model. It offers both Combi estate and hatchback versions. The vehicle offers 6 powertrain options with one plug-in hybrid (1.5 TSI PHEV), one gasoline MHV (1.5 TSI mHEV), two gasoline (2.0 TSI) and two diesel engines (2.0 TDI), all coupled with a 7-speed DSG transmission except PHEV version (6-speed DSG). The output ranges from 150 hp to 265 hp. There are three gasoline engines with outputs ranging from 110 kW (150 hp) to 195 kW (265 hp), and two diesels with 110 kW (150 hp) and 142 kW (193 hp) to choose from.</t>
    <phoneticPr fontId="1"/>
  </si>
  <si>
    <t>Jiangling</t>
    <phoneticPr fontId="1"/>
  </si>
  <si>
    <t>https://www.marklines.com/en/global/8787</t>
    <phoneticPr fontId="1"/>
  </si>
  <si>
    <t>According to multiple press releases dated November 2, Jiangxi Jingwei Hirain Technology Co., Ltd. was recently established in Nanchang, Jiangxi. The new company’s registered capital is CNY 200 million, and its business scope includes research and experimental development of engineering technologies, information technology consulting services, computer system services, R&amp;D of automotive parts, and wholesale of computer software, hardware, and auxiliary equipment. The company is 60% and 40% owned by Beijing Jingwei Hirain Technologies Co., Ltd. (Jingwei Hirain) and JMCG Jingma Motor Co., Ltd., a JMC Group subsidiary, respectively.</t>
    <phoneticPr fontId="1"/>
  </si>
  <si>
    <t>On October 31, BYD started accepting pre-orders for the new Song L midsize battery electric SUV. Based on the e-Platform 3.0 electric platform, the Song L features CTB (Cell to Body) technology and the DiSus-C intelligent damping body control system. The variants with a 550km CLTC electric-mode range are powered by a rear permanent magnet synchronous motor (maximum comprehensive power 150kW) and a 71.8kWh lithium-iron phosphate blade battery, with an RWD layout and a 0 to 100km/h acceleration time of 8.6 seconds. The Song L rides on the DiLink intelligent cockpit and the DiPilot intelligent driver assistance system.</t>
    <phoneticPr fontId="1"/>
  </si>
  <si>
    <t>https://www.marklines.com/en/global/10476</t>
    <phoneticPr fontId="1"/>
  </si>
  <si>
    <t>According to multiple press releases dated October 31, Xi’an Jidu Information Technology Co., Ltd. was recently established in Xi’an, Shaanxi. The new company’s registered capital is CNY 10 million, and its business scope includes digital technologies and services, data processing services, data processing and storage support services, big data services, AI basic software development, AI application software development, and New Energy Vehicle sales. The company is wholly owned by Jidu Technology (Wuhan) Co., Ltd.</t>
    <phoneticPr fontId="1"/>
  </si>
  <si>
    <t>https://www.marklines.com/en/global/9540</t>
    <phoneticPr fontId="1"/>
  </si>
  <si>
    <t>On October 28, Cyrus Group announced that the recent holding of the Seres brand launching (Latin America) and NEV signing ceremony in Sao Paulo, Brazil. Unveiled at the ceremony was the Seres 5, which is positioned as a high-end sporty luxury electric SUV. In the next three years, Seres Group will launch over 10 new Seres and Dongfeng Sokon models on the market.</t>
    <phoneticPr fontId="1"/>
  </si>
  <si>
    <t>CNHTC/SINOTRUK</t>
    <phoneticPr fontId="1"/>
  </si>
  <si>
    <t>https://www.marklines.com/en/global/3659</t>
    <phoneticPr fontId="1"/>
  </si>
  <si>
    <t>On October 25, Sinotruk signed a strategic cooperation framework agreement with China Post Group Co., Ltd. (China Post) in Beijing. According to the agreement, the two parties will conduct in-depth cooperation in areas such as market expansion, financial operations, express logistics, and products and technologies. They will jointly explore the innovation of intelligent logistics and automobile finance model and co-build an eco-system for the commercial operations of New Energy Vehicles.</t>
    <phoneticPr fontId="1"/>
  </si>
  <si>
    <t>On November 2, the UAW, as part of its new contract,  revealed that Stellantis plans to invest: Belvidere Assembly Plant- USD 1.5 billion for new midsize pickup truck (2027) 80-100,000 units annually; Detroit Assembly Complex- USD 1.5 billion, including next Durango ICE, BEV (2026) Grand Cherokee (2027), Toledo Assembly Complex North and South- USD 1.5 billion, including Jeep STLA frame, BEV (2028); Sterling Heights Assembly Plant- USD 1.4 billion for new Ram 1500, BEV, STLA frame (2024); Warren Truck Assembly Plant- USD 600 million, including Wagoneer/Grand Wagoneer STLA frame (2025) BEV (2027). Battery plant JVs include Belvidere, Illinois- USD 3.2 billion for planned JV battery plant to open in 2028, and Kokomo, Indiana- USD 6.2 billion for two JV battery facilities previously announced.</t>
    <phoneticPr fontId="1"/>
  </si>
  <si>
    <t>https://www.marklines.com/en/global/2627</t>
    <phoneticPr fontId="1"/>
  </si>
  <si>
    <t>https://www.marklines.com/en/global/2647</t>
    <phoneticPr fontId="1"/>
  </si>
  <si>
    <t>https://www.marklines.com/en/global/2663</t>
    <phoneticPr fontId="1"/>
  </si>
  <si>
    <t>Nikola</t>
    <phoneticPr fontId="1"/>
  </si>
  <si>
    <t>https://www.marklines.com/en/global/10448</t>
    <phoneticPr fontId="1"/>
  </si>
  <si>
    <t>On November 2, Nikola reported Q3 financial results. Nikola produced no trucks in Q3, but delivered 3. In August, after Nikola issued a recall for its BEV trucks, Nikola decided to replace the Romeo battery packs with an alternative solution, expected to cost USD 61.8 million. Nikola intends to deliver 47 new BEV trucks in Q1 2024. On September 28, Nikola formally launched production at its Coolidge facility of the model year 2024 FCEV truck.</t>
    <phoneticPr fontId="1"/>
  </si>
  <si>
    <t>Paccar</t>
    <phoneticPr fontId="1"/>
  </si>
  <si>
    <t>https://www.marklines.com/en/global/10710</t>
    <phoneticPr fontId="1"/>
  </si>
  <si>
    <t>Mississippi</t>
  </si>
  <si>
    <t>On October 30, PACCAR announced it is investing USD 209.4 million to expand its engine manufacturing plant in Columbus, Mississippi, by 50,000 square feet to add remanufacturing operations and to meet future emissions requirements for diesel engines. Construction on the addition is slated to begin December 2023.</t>
    <phoneticPr fontId="1"/>
  </si>
  <si>
    <t>On November 2, BMW started the production of all-new X2 at Regensburg plant. The plant will now manufacture various drivetrain types, from internal combustion engines to plug-in hybrids and fully electric vehicles, all on a single production line. BMW Group plans to invest over EUR 350 million in vehicle production in Regensburg by the end of the year, creating around 500 permanent jobs.</t>
    <phoneticPr fontId="1"/>
  </si>
  <si>
    <t>On November 2, VDL Nedcar announced that it will reduce 2,000 employees at its Born plant in the Netherlands due to the switch to one-shift operation from November 1, 2023. The company is also laying off employees due to the production stop for BMW Group and difficulty in finding other automotive projects. The company currently employs around 2,500 employees at the plant. In addition, the company will retain 450 employees at the plant as of March 1, 2024, as they will be needed again in the short term for car production, which is necessary to keep the factory on standby. All the remaining employees will work on prototypes for new customers, conversion of the factory for new clients, manufacturing press parts, finalize contractual obligations with BMW, and support all these activities.</t>
    <phoneticPr fontId="1"/>
  </si>
  <si>
    <t>Aston Martin</t>
    <phoneticPr fontId="1"/>
  </si>
  <si>
    <t>https://www.marklines.com/en/global/1535</t>
    <phoneticPr fontId="1"/>
  </si>
  <si>
    <t>On November 1, Aston Martin announced that it had faced production delays for DB 12 due to supplier and platform integration issues. The problems are now resolved but it affected Q3, 2023 volume, and full-year production capacity.</t>
    <phoneticPr fontId="1"/>
  </si>
  <si>
    <t>On November 1, Pak Suzuki Motor Pakistan announced that due to shortage of inventory levels, it has decided to shut-down automobile plant from November 6, 2023 to November 8, 2023. However, the motorcycle plant will remain operative.</t>
    <phoneticPr fontId="1"/>
  </si>
  <si>
    <t>Reported on October 31, the official distributor of Mazda brand in Malaysia, namely Bermaz Motor, has revealed that the CKD production of the CX-8 SUV in Malaysia will continue until 2026. Previously announced, the production of the Mazda CX-8 SUV in Japan will come to an end by the end of 2023.</t>
    <phoneticPr fontId="1"/>
  </si>
  <si>
    <t>Great Wall Pickup</t>
    <phoneticPr fontId="1"/>
  </si>
  <si>
    <t>https://www.marklines.com/en/global/9835</t>
    <phoneticPr fontId="1"/>
  </si>
  <si>
    <t>Ecuador</t>
    <phoneticPr fontId="1"/>
  </si>
  <si>
    <t>On October 26, GWM launched the first POER pickup of its CKD project at the CIAUTO factory in Ecuador. After experiencing localized production of several generations of products such as HAVAL H5, HAVAL M4, and Wingle pickup trucks, GWM finally saw the rolling off the POER locally.</t>
    <phoneticPr fontId="1"/>
  </si>
  <si>
    <t>https://www.marklines.com/en/global/10652</t>
    <phoneticPr fontId="1"/>
  </si>
  <si>
    <t>On October 24, Atos announced that it had been selected by Automotive Cells Company (ACC) to supervise and maintain operations for the IT infrastructure of its three gigafactories located in France, Germany, and Italy. Atos' solution for ACC's managed infrastructure services is based on a mixed business model combining manufacturing capabilities, operational agility, and financial competitiveness. Project governance and system expertise services will be overseen by the Atos teams in Bordeaux. Atos' Global Delivery Center in Poland will monitor and maintain network and infrastructure operations for this future flagship within the European industry.</t>
    <phoneticPr fontId="1"/>
  </si>
  <si>
    <t>https://www.marklines.com/en/global/10274</t>
    <phoneticPr fontId="1"/>
  </si>
  <si>
    <t>Announced on November 1, Proton held the production line-off ceremony for the Proton S70, its newest sedan model, at its Tanjung Malim plant. Featuring “Intelligence that Evolves”, this sedan is powered by a 1.5L turbo engine, paired with a 7-speed DCT transmission. Developed under Proton’s collaboration with Geely, the S70 marks the return of Proton to the family sedan market. Bookings have already been made available, ahead of its official launch by 2023. This upcoming Proton sedan is based on the 4th-generation (S11) Geely Emgrand that was launched in China in August 2021. </t>
    <phoneticPr fontId="1"/>
  </si>
  <si>
    <t>Polestar</t>
    <phoneticPr fontId="1"/>
  </si>
  <si>
    <t>https://www.marklines.com/en/global/10387</t>
    <phoneticPr fontId="1"/>
  </si>
  <si>
    <t>On November 1, Polestar published the first Life Cycle Assessment (LCA) for Polestar 4. In the Polestar 4 Standard range, the single motor comes with a carbon footprint of 19.4 tCO2e, while the long-range single motor version has a carbon footprint of 19.9 tCO2e, and the long-range dual motor has one of 21.4 tCO2e. In the vehicle, aluminum represents 23-24% of the carbon footprint, steel and iron constitute 20%, and battery modules account for 36-40% of the carbon footprint of material production and refining. The Polestar 4 is initially available in China and produced in Geely Holdings’ SEA factory in Hangzhou Bay, China, which combines green electricity that carries the I-REC hydropower certificate with photovoltaic electricity from the plant's roof.</t>
    <phoneticPr fontId="1"/>
  </si>
  <si>
    <t>https://www.marklines.com/en/global/1947</t>
    <phoneticPr fontId="1"/>
  </si>
  <si>
    <t>On October 31, multiple sources reported that Renault is proposing significant changes to working conditions due to a production decline, affecting 488 workers in Palencia and Valladolid plants. The reduced production will take place starting January 1, 2024, and will continue at least through the first half of 2024. The Intercenter Committee will discuss the modifications in a meeting on November 9, 2023. This production cadence will lead to a reorganization of Maintenance, Quality, Technical Office, Die Makers, and others, starting from November 21, 2023.</t>
    <phoneticPr fontId="1"/>
  </si>
  <si>
    <t>https://www.marklines.com/en/global/1943</t>
    <phoneticPr fontId="1"/>
  </si>
  <si>
    <t>https://www.marklines.com/en/global/2189</t>
    <phoneticPr fontId="1"/>
  </si>
  <si>
    <t>On October 31, Porsche announced that it has partnered with H2 Green Steel to supply CO2-reduced steel to improve Porsche vehicle emissions. H2 Green Steel will produce low-emission steel using renewable energy in Boden, Sweden from late 2025, supplying Porsche and its direct suppliers from 2026. The steel claims a low carbon footprint with up to 95% lower CO2 emissions compared to traditional production. Porsche aims to use up to 35,000 tons of this low-emission steel annually in its vehicle production, reducing its reliance on steel while maintaining its excellent mechanical properties.</t>
    <phoneticPr fontId="1"/>
  </si>
  <si>
    <t>https://www.marklines.com/en/global/2187</t>
    <phoneticPr fontId="1"/>
  </si>
  <si>
    <t>https://www.marklines.com/en/global/9045</t>
    <phoneticPr fontId="1"/>
  </si>
  <si>
    <t>On October 31, SAIC Motor-CP and MG Sale held the HASCO-CP Battery Shop opening ceremony and Thailand's first deeply localized battery line-off ceremony. Situated on the New Energy Industrial Park in the WHA ESIE 2 in Chonburi province, this new EV battery factory is currently in its production preparation process and is scheduled to officially open in 2024. The plant is divided into 2 major areas. The first one is the battery assembly area which is fully automated through cutting-edge robotic technology, Laser Welding for accuracy and Charge Coupled Device (CCD) to cross-check the quality of battery with its prototype prior to its installation in a BEV. The second area is for battery standard testing which involves over 60 processes including Charge &amp; Discharge, Air Leak Test, Insulation Test and Static Test. The production line has an annual capacity of 50,000 Cell-To-Pack battery units. Batteries made at this plant will first serve MG4 Electric and other EV models in the future. With the additional investment budget of THB 500 million, the plant will manufacture Cell-To-Pack (CTP) EV batteries, utilizing the new RUBIK's CUBE BATTERY technology. SAIC Motor Corporation and HASCO-CP are set to become the production hub for EVs for both domestic and international distribution especially among ASEAN countries.</t>
    <phoneticPr fontId="1"/>
  </si>
  <si>
    <t>On October 31, Mazda Motor Corporation announced it will end production of the Mazda CX-8 three-row crossover SUV in Japan in late December. The model was launched in Japan in 2017 and has been produced at the Ujina Plant No. 1 in Hiroshima Prefecture. Although production in Japan will end, KD production will continue outside Japan in Vietnam and Malaysia. Production in China ended in March 2023. According to the “Mazda Integrated Report 2023”, global sales volume of the CX-8 was 26,016 units in FY 2022 (fiscal year ended March 31, 2023).</t>
    <phoneticPr fontId="1"/>
  </si>
  <si>
    <t>On October 30, Dongfeng Motor (DFM) announced that Voyah, a sub-brand, recently officially entered Denmark and opened a showroom in Copenhagen. The Dreamer luxury MPV made its European debut and became available for sale. Also, Voyah recently exhibited three models at the eCarExpo in Denmark, where the Zhuiguang luxury electric sedan made its European debut. The sedan will be introduced into Europe in the future.</t>
    <phoneticPr fontId="1"/>
  </si>
  <si>
    <t>According to multiple press releases dated October 30, Anhui Aili Aosi Technology Co., Ltd. was recently established in Wuhu, Anhui. The new company’s registered capital is CNY 100 million, and its business scope includes manufacturing of automotive parts and accessories, R&amp;D of automotive parts, manufacturing of semiconductor lighting devices, manufacturing of integrated circuit chips and products, and manufacturing of intelligent automotive devices. The company is 90% and 10% owned by Wuhu Chery Technology Co., Ltd., a Chery subsidiary, and Yangzhou Jiefurui Enterprise Management Partnership (Limited Partnership), respectively.</t>
    <phoneticPr fontId="1"/>
  </si>
  <si>
    <t>On October 30, Ford confirmed that all 16,613 workers on strike have returned to work, including those at the Kentucky Truck Plant, Chicago Assembly Plant, and Michigan Assembly Plant while the company is still in the process of calling back workers laid off because of the strike at other plants that support their production.</t>
    <phoneticPr fontId="1"/>
  </si>
  <si>
    <t>https://www.marklines.com/en/global/867</t>
    <phoneticPr fontId="1"/>
  </si>
  <si>
    <t>On October 30, Chevrolet announced it will open the ordering process for its Equinox EV 2RS, the first trim level to go on sale, at USD 48,995 in FWD and USD 52,395 in AWD configurations. The Equinox EV is produced at GM’s Ramos Arizpe plant in Mexico.</t>
    <phoneticPr fontId="1"/>
  </si>
  <si>
    <t>On October 26, Gifu Auto Body Co., Ltd. resumed operation of its Production Line #2, which produces the Toyota Coaster small bus. Due to an explosion that occurred on October 16 at its supplier, Chuo Spring Co., Ltd., operations on Production Line #2 had been suspended since October 18. </t>
    <phoneticPr fontId="1"/>
  </si>
  <si>
    <t>https://www.marklines.com/en/global/595</t>
    <phoneticPr fontId="1"/>
  </si>
  <si>
    <t>Tochigi</t>
  </si>
  <si>
    <t>Isuzu Motors Limited held the global unveiling of its battery electric vehicle (BEV) fully flat-floor route bus, ERGA EV, at the Japan Mobility Show 2023. The vehicle will be produced at the Utsunomiya Plant of J-Bus Ltd. and is planned to be launched in Japan by the end of FY2024 (fiscal year ending March 31, 2025). The ERGA EV takes advantage of the layout flexibility afforded by the BEV design to eliminate steps at the rear of the cabin, resulting in a fully flat floor. All seats are accessible without steps, making movement within the bus completely barrier-free. </t>
    <phoneticPr fontId="1"/>
  </si>
  <si>
    <t>On October 25, Mitsubishi Fuso Truck and Bus Corporation announced the Super Great heavy-duty truck, which has undergone a full model change for the first time in six years.  It will be produced at the Kawasaki Plant and launched in Japan by the end of 2023. In addition to the 6R20 engine (total displacement 10.7L) and 6S10 engine (7.7L) that have been used in the previous model, the all-new Super Great now features the new 6R30 engine (12.8L) that offers both powerful performance and economy (all three engine models are manufactured by Daimler Trucks). A newly developed super high roof has also been added to the cab variations to improve interior space comfort. In addition, the new model is equipped with advanced safety equipment, including Active Brake Assist 6, a sixth-generation collision damage mitigation brake system.</t>
    <phoneticPr fontId="1"/>
  </si>
  <si>
    <t>Subaru Corporation announced the Levorg Layback, an all-new SUV developed for the Japanese market, on October 25. The model is derived from the Levorg (wagon) and will be produced at the Gunma Main Plant. The model measures 4,770 mm (L) x 1,820 mm (W) x 1,570 mm (H) (including roof antenna) and has a wheelbase of 2,670 mm. A 1.8L horizontally opposed 4-cylinder DOHC direct injection turbocharged engine, featuring a high torque of 300Nm from a low rpm range, is installed, focusing on ease of handling in daily use, mated to a Lineartronic (CVT) transmission. As advanced safety equipment, the new-generation EyeSight system is installed, featuring a wide-angle monocular camera in addition to a stereo camera. The car is also equipped with "EyeSight X," an advanced driving support system with functions such as hands-off assist in congested traffic.</t>
    <phoneticPr fontId="1"/>
  </si>
  <si>
    <t>Toyota Motor Corporation announced on October 25 that it will begin general sales of its bZ4X electric SUV in Japan on November 13. Previously offered only through lease sales, including the "KINTO" subscription (one of the forms of leasing), the bZ4X will also be sold to the general public. In conjunction with the start of general sales, Toyota has also partially upgraded the bZ4X to improve its ease of handling. The charging time under low ambient temperatures has been shortened, and information on the vehicle charging status during charging has been added to the meter display. </t>
    <phoneticPr fontId="1"/>
  </si>
  <si>
    <t>MAXUS</t>
    <phoneticPr fontId="1"/>
  </si>
  <si>
    <t>https://www.marklines.com/en/global/4315</t>
    <phoneticPr fontId="1"/>
  </si>
  <si>
    <t>On October 24, SAIC Maxus held a cooperation framework agreement signing ceremony with the Shanghai Express Trade Association (SETA). With this agreement, the two parties will conduct in-depth cooperation on the development of New Energy logistics vehicles (NELVs) to improve the SETA’s operation efficiency and logistics level and accelerate the green and low-carbon development of the logistics industry.</t>
    <phoneticPr fontId="1"/>
  </si>
  <si>
    <t>https://www.marklines.com/en/global/2903</t>
    <phoneticPr fontId="1"/>
  </si>
  <si>
    <t>On October 30, Stellantis confirmed the B-segment SUV, Citröen C3 Aircross will be equipped with the Turbo 200 engine paired to a seven-speed CVT automatic transmission and be produced at the Porto Real, Brazil plant.</t>
    <phoneticPr fontId="1"/>
  </si>
  <si>
    <t>On October 31, Honda Atlas Cars, Pakistan announced that it has decided to further extend the shutdown of the its manufacturing plant from November 1, 2023 to November 7, 2023.</t>
    <phoneticPr fontId="1"/>
  </si>
  <si>
    <t>On October 31, Škoda Auto installed over 5,400 photovoltaic modules on its production and logistics buildings in Mladá Boleslav, Czech Republic in collaboration with ČEZ Esco, an energy service company and Skoda Auto's energy provider subsidiary firm, ŠKO-ENERGO. This includes three rooftop photovoltaic systems at the main plant and the Škoda Parts Center logistics hub, covering an area of over 10,000 square meters. These solar panels are expected to generate more than 2 GWh of emissions-free electricity annually.</t>
    <phoneticPr fontId="1"/>
  </si>
  <si>
    <t>https://www.marklines.com/en/global/9879</t>
    <phoneticPr fontId="1"/>
  </si>
  <si>
    <t>On October 31, BMW inaugurated the Training Center in Debrecen plant, Hungary, which is a 6,500-square-meter facility on-site. It is part of the BMW’s iFactory which will equip Debrecen plant's employees and dual apprentice programme students with knowledge for the rollout of the Neue Klasse model generation in 2025.</t>
    <phoneticPr fontId="1"/>
  </si>
  <si>
    <t>https://www.marklines.com/en/global/10455</t>
    <phoneticPr fontId="1"/>
  </si>
  <si>
    <t>North Carolina</t>
  </si>
  <si>
    <t>On October 30, MAN Truck and Bus unveiled its first heavy-duty electric truck, MAN eTGX for long-distance transport and MAN eTGS for distribution. The company has also launched the sales of the truck and has received 600 order inquiries, with the first 200 units set for delivery to selected customers in 2024. Full-scale production begins in 2025 at the Munich plant. MAN eTGX and MAN eTGS trucks are highly flexible in their battery configuration, featuring up to six battery packs. These batteries produced at Nuremberg plant from 2025 provide up to 480 kWh of usable capacity for a daily range of up to 800 km. The electric motors provide from 254 kW (333 hp) to 400 kW (544 hp), and with torque from 800 Nm to 1,250 Nm, mated with 2- or 4-speed transmission.</t>
    <phoneticPr fontId="1"/>
  </si>
  <si>
    <t>https://www.marklines.com/en/global/2267</t>
    <phoneticPr fontId="1"/>
  </si>
  <si>
    <t>On October 30, Volkswagen unveiled the camouflaged estate version of the all-electric ID.7, the ID.7 Tourer. The model is set to launch in Europe in 2024 and the final design will be revealed in the coming months. Both the ID.7 and ID.7 Tourer are based on the MEB platform, offering a spacious interior with a larger trunk volume. Production of the vehicle will take place at the Emden plant, making it the second MEB-based model produced after the ID.4.</t>
    <phoneticPr fontId="1"/>
  </si>
  <si>
    <t>https://www.marklines.com/en/global/2227</t>
    <phoneticPr fontId="1"/>
  </si>
  <si>
    <t>On October 30, Daimler Truck announced that it would start the series production of the eActros 300 by the end of 2023. The e-truck will be used in plant logistics for Daimler Truck between the engine plant in Mannheim and the Mercedes-Benz plant in Wörth. The first Mercedes-Benz eActros 300 semitrailer tractor was delivered to Logistik Schmitt, Germany. Logistik Schmitt plans to add six eActros 300 semitrailer tractors to their fleet and has been proactive in developing charging infrastructure, including charging stations at the Wörth plant's unloading points.</t>
    <phoneticPr fontId="1"/>
  </si>
  <si>
    <t>https://www.marklines.com/en/global/9886</t>
    <phoneticPr fontId="1"/>
  </si>
  <si>
    <t>On October 30, Hyundai Motor will reportedly suspend operations at Gwangju plant of Gwangju Global Motors from November 4th until December 10th to build infrastructure for electric vehicle production.The period of suspension is a total of 37 days. According to the plan, test-production of electric vehicles will be taken place from February to June in 2024, and then mass production will begin in the second half of the year.</t>
    <phoneticPr fontId="1"/>
  </si>
  <si>
    <t>On October 30, Dongfeng Motor (DFM) officially launched the Sky EV01, its first battery electric SUV based on the Dongfeng Aeolus (DFA) Mach E aluminum-based lightweight platform. The 445km-range variant is equipped with a 120kW/240Nm motor and a 50.82kWh lithium-iron phosphate battery, with a power consumption of 12.8kWh/100km.</t>
    <phoneticPr fontId="1"/>
  </si>
  <si>
    <t>Following the UAW contract negotiations, the OEM’s plant in Belvidere, Illinois will re-open and produce a mid-size pickup truck. The plan is to bring in a “midsize” model, which would compete against the Ford Ranger, Chevrolet Colorado/GMC Canyon, and the Toyota Tacoma. As Belvidere is currently not equipped to produce traditional, body-on-frame vehicles, the new truck will most likely ride on the STLA Large (unibody) platform, which can accommodate both ICE and electric propulsion systems.</t>
    <phoneticPr fontId="1"/>
  </si>
  <si>
    <t>https://www.marklines.com/en/global/10404</t>
    <phoneticPr fontId="1"/>
  </si>
  <si>
    <t>On October 29, multiple sources reported that Neta Auto, the EV brand of Hozon Auto, has started exporting its cars to Turkey. Neta U crossover will be offered for sale in Turkey for the first time. The car has a CLTC range of 501 km.</t>
    <phoneticPr fontId="1"/>
  </si>
  <si>
    <t>ZEEKR</t>
    <phoneticPr fontId="1"/>
  </si>
  <si>
    <t>On October 28, Zeekr, a Geely sub-brand, announced that it recently entered the Hong Kong and Macao markets by officially signing a cooperation agreement with Kam Lung Motor Group, automobile dealer group in Hong Kong and Macao, in Hong Kong. Zeekr will first introduce the full range of its left-hand drive models into Macao in 2023 and simultaneously launch the right-hand drive Zeekr 009 mid-to-large-size MPV and Zeekr X compact battery electric SUV for sale in Hong Kong and Macao in 2024. Zeekr will maintain the synchronous development of both the left- and right-hand drive vehicle markets to fully pace up its globalization strategy.</t>
    <phoneticPr fontId="1"/>
  </si>
  <si>
    <t>https://www.marklines.com/en/global/10391</t>
    <phoneticPr fontId="1"/>
  </si>
  <si>
    <t>On October 27, with the Baojun Yunduo 5-seater battery electric vehicle rolling off the production line in volume, the SAIC-GM-Wuling (SGMW) LIM (Lean Intelligent Manufacturing) Plant, the world’s first island LIM plant, was officially completed and commissioned. Located in Liuzhou, Guangxi, the SGMW LIM Plant innovatively adopts an “island” manufacturing mode that reconfigures vehicle manufacturing processes on an island basis for real-time process change according to the manufacturing requirements. Currently, the plant has a chassis consistency as high as 98% and a misassembly rate as low as 0. It also realizes full-lifecycle data traceability for 100% of the products. In addition, the Baojun Yunduo has been introduced into the SGMW LIM Plant for manufacturing.</t>
    <phoneticPr fontId="1"/>
  </si>
  <si>
    <t>On October 27, Jiyue Auto, a Geely Holding Group sub-brand, officially launched the Jiyue 01, the world’s first AI-powered robocar. The Jiyue 01 is equipped with a robocar electronic and electrical architecture and the JET operating system. The RWD variant is powered by a permanent magnet synchronous motor (200kW/343Nm) and a 71.4kWh lithium-iron phosphate battery, with a CLTC range of 550km. The vehicle is available with the Robo Drive intelligent driver assistance system.</t>
    <phoneticPr fontId="1"/>
  </si>
  <si>
    <t>On October 26, GAC Aion officially launched the new Aion S Max family battery electric sedan. Riding on the magazine battery technology, the 510km- and 610km-range variants are equipped with 59.5kWh or 60kWh lithium iron phosphate and 67.9kWh ternary lithium batteries, respectively. The top variant has a maximum motor power of 180kW and a 0 to 100km/h acceleration time of 6.7 seconds, and the other variants 150kW and 7.5 seconds. Some variants are available with features such as the ADiGO Pilot 2.0 intelligent driver assistance system.</t>
    <phoneticPr fontId="1"/>
  </si>
  <si>
    <t>https://www.marklines.com/en/global/4187</t>
    <phoneticPr fontId="1"/>
  </si>
  <si>
    <t>On October 25, Shanghai New Power Automotive Technology Co., Ltd. (NPAT) announced that to improve the asset and liability structure of SAIC-Hongyan, alleviate the pressure from operating funds on the company, and enhance the company’s financing and sustainable development capacities, the “Proposal on a Capital Increase in SAIC-Hongyan” was considered and adopted. With this adoption, NPAT approved a CNY 500 million capital increase in SAIC-Hongyan with its own funds in monetary terms. This will increase SAIC-Hongyan’s registered capital from CNY 4.1 billion to CNY 4.6 billion while maintaining the company’s role as an NPAT wholly-owned subsidiary. According to the NPAT announcement, SAIC-Hongyan will further reduce costs and enhance efficiency. The company will step up collecting accounts receivable and endeavor to improve the operating conditions and reduce the asset-liability ratio.</t>
    <phoneticPr fontId="1"/>
  </si>
  <si>
    <t>https://www.marklines.com/en/global/3909</t>
    <phoneticPr fontId="1"/>
  </si>
  <si>
    <t>On October 23, JMC Group announced that Grand Avenue, a pickup truck sub-brand, recently officially entered the Chilean market and successfully delivered the first Grand Avenue pickup truck in Chile. First launched in Chile, the Grand Avenue will be introduced into other Latin American markets.</t>
    <phoneticPr fontId="1"/>
  </si>
  <si>
    <t>https://www.marklines.com/en/global/10509</t>
    <phoneticPr fontId="1"/>
  </si>
  <si>
    <t>On October 30, the European Commission authorized, under EU state aid rules, a French measure worth EUR 659 million to support Verkor in the research and development of new production processes and production of lithium-ion batteries for electric vehicles. Under the R&amp;D project, Verkor will focus its activities on the automation of electrode production and battery formation through process digitalization; improving recycling techniques; material recovery; and the design of an innovative pilot production line that will pave the way for large-scale battery production. The grant will cover the R&amp;D project until the end of 2026.</t>
    <phoneticPr fontId="1"/>
  </si>
  <si>
    <t>https://www.marklines.com/en/global/10414</t>
    <phoneticPr fontId="1"/>
  </si>
  <si>
    <t>https://www.marklines.com/en/global/709</t>
    <phoneticPr fontId="1"/>
  </si>
  <si>
    <t>On October 30, multiple sources reported that Hyundai Motor Manufacturing Rus has extended the downtime of its plant in St. Petersburg until November 30, 2023. The plant stopped the production of cars in March 2022 due to difficulties with supplies of components.</t>
    <phoneticPr fontId="1"/>
  </si>
  <si>
    <t>https://www.marklines.com/en/global/2143</t>
    <phoneticPr fontId="1"/>
  </si>
  <si>
    <t>On October 30, multiple sources reported that Ford would close its Research &amp; Innovation Center in Aachen by mid-2024 and would be relocating jobs to its Cologne plant in Germany. The company would retain most positions, while some would be eliminated. Ford's research center in Aachen currently has around 200 employees. The company is handing over development skills to its US headquarters, which is why the employment figures of Ford in Germany are declining.</t>
    <phoneticPr fontId="1"/>
  </si>
  <si>
    <t>https://www.marklines.com/en/global/10138</t>
    <phoneticPr fontId="1"/>
  </si>
  <si>
    <t>https://www.marklines.com/en/global/10338</t>
    <phoneticPr fontId="1"/>
  </si>
  <si>
    <t>On October 30, GM and the UAW reached a tentative agreement that will allow for the joint-venture workforce at the Ultium Cells Ohio plant to vote on unionizing future plants and then decide if they want their own contract or to be part of the master contract. Like GM's other facilities, those employed at Ultium Cells Ohio will automatically get an 11% increase in the first year of the contract, putting their pay at USD 35 an hour. A UAW National GM council vote is expected later this week, and then send it local leaders to discuss with members who will then vote to approve or reject.</t>
    <phoneticPr fontId="1"/>
  </si>
  <si>
    <t>Freightliner</t>
    <phoneticPr fontId="1"/>
  </si>
  <si>
    <t>https://www.marklines.com/en/global/3073</t>
    <phoneticPr fontId="1"/>
  </si>
  <si>
    <t>Oregon</t>
  </si>
  <si>
    <t>On October 30, Daimler Truck North America announced the start of production of the Freightliner eM2 at their manufacturing plant in Portland, Oregon. The eM2 is built on the Freightliner M2 106 Plus platform and features a fully integrated, battery electric Detroit ePowertrain, with electric motors and 2-speed transmission directly on the drive axles. The Class 6 single-motor eM2 model provides 190 hp, a 194 kWh battery, and range of 180 miles, while the Class 7 dual-motor eM2 variant offers 255 hp, a 291 kWh battery, and range of 250 miles.</t>
    <phoneticPr fontId="1"/>
  </si>
  <si>
    <t>https://www.marklines.com/en/global/2559</t>
    <phoneticPr fontId="1"/>
  </si>
  <si>
    <t>On October 29, the UAW National Ford Council voted to send the tentative agreement to members to begin voting on November 1 through mid-November, on a deal that includes USD 8.1 billion in product commitments and plant investments over the length of the contract, including new EVs at Dearborn Truck and Rouge Electric Vehicle Center, Louisville Assembly, Ohio Assembly, Flat Rock subject to approval, and a new EV battery pack at Dearborn Engine.</t>
    <phoneticPr fontId="1"/>
  </si>
  <si>
    <t>https://www.marklines.com/en/global/3041</t>
    <phoneticPr fontId="1"/>
  </si>
  <si>
    <t>https://www.marklines.com/en/global/2563</t>
    <phoneticPr fontId="1"/>
  </si>
  <si>
    <t>On October 27, MAN Truck and Bus announced its plans to transition its city bus and intercity portfolio to electric vehicles over the coming years. Starachowice, Poland specializes in electric city buses, Olifantsfontein, South Africa recently delivered its first eBus in Africa, and Ankara, Turkey is expanding its development capabilities. A Product Development Centre is under construction at the Turkish bus plant, paving the way for electric intercity buses and coaches in the future.</t>
    <phoneticPr fontId="1"/>
  </si>
  <si>
    <t>https://www.marklines.com/en/global/1430</t>
    <phoneticPr fontId="1"/>
  </si>
  <si>
    <t>https://www.marklines.com/en/global/1773</t>
    <phoneticPr fontId="1"/>
  </si>
  <si>
    <t>On October 27, Volkswagen Slovakia's Martin plant reached a significant milestone by producing its 600-millionth component, a joint shaft. The component will be installed in an electric vehicle on the MEB platform in Wolfsburg, Germany. In 2019, the plant added joint shafts for Volkswagen Group electric vehicles on the MEB platform. To date, it has produced over seven million joint shafts for Volkswagen group brands. Currently, the Martin plant is gearing up for the serial production of a new electric drive differential. Last year, it produced 20.5 million components.</t>
    <phoneticPr fontId="1"/>
  </si>
  <si>
    <t>https://www.marklines.com/en/global/10769</t>
    <phoneticPr fontId="1"/>
  </si>
  <si>
    <t>Rayong</t>
    <phoneticPr fontId="1"/>
  </si>
  <si>
    <t>On October 26, WHA Industrial Development PLC announced the signing of a land purchase agreement with Changan Auto Southeast Asia Co., Ltd., a subsidiary of China-based Changan Automobile, for a 250-rai (99-acre) plot at WHA Industrial Estate Eastern Seaboard 4 (WHA ESIE 4) in the Eastern Economic Corridor (EEC) to build a manufacturing plant. Changan Auto plans to spend over THB 8.862 billion in the first phase of investment to build a production base for RHD vehicles, including BEV, PHEV, and REEV (Range Extended EV) to penetrate the Thai market and export to ASEAN, Australia, New Zealand, England, and South Africa. With operation set to begin in 2025, the plant’s initial production capacity will be 100,000 vehicles per year.</t>
    <phoneticPr fontId="1"/>
  </si>
  <si>
    <t>https://www.marklines.com/en/global/2797</t>
    <phoneticPr fontId="1"/>
  </si>
  <si>
    <t>Production of the new generation of the B segment Peugeot 2008 SUV will begin at Stellantis’ El Palomar plant in Argentina starting in January 2024 and is expected to reach a total of more than 25,000 units throughout the year, while the current production in Brazil is expected to stop once it begins in Argentina.</t>
    <phoneticPr fontId="1"/>
  </si>
  <si>
    <t>On October 26, it was announced that Ford is scaling back their investments in EV by USD 12 billion, citing lack of demand for EVs, which in turn, is being driven by high prices. The company stressed that they are not cutting back on future EV development; they plan to increase EV capacity, but at a slower rate than originally planned. As part of this, the “mega-campus” they planned for Kentucky has been temporarily put on hold. No new target date has been announced.</t>
    <phoneticPr fontId="1"/>
  </si>
  <si>
    <t>https://www.marklines.com/en/global/10768</t>
    <phoneticPr fontId="1"/>
  </si>
  <si>
    <t>On October 24, the Malaysian Ministry of Investment, Trade and Industry has granted NexV Manufacturing Sdn Bhd (NMSB) a Manufacturing License pursuant to Industrial Co-ordination Act 1975 (section 156) to undertake the activity of Manufacture and Assembly of EEV for Passenger Vehicles, Commercial Vehicles, and Electrical Motorcycles. The company expects to begin assembling by the end of 2024, starting with up to 10,000 NETA cars (as the annual capacity of the facility stands at 30,000 units). The balance will be opened to other interested parties that need a facility for CKD manufacturing. The company aims to manufacture up to 30,000 units before going on to Phase 2 and Phase 3.</t>
    <phoneticPr fontId="1"/>
  </si>
  <si>
    <t>Announced on October 11, the Thailand Board of Investment (BOI) has recently approved investment promotion applications worth THB 8.86 billion, submitted by Changan Automobile in a new plant situated at the WHA Industrial Estate Eastern Seaboard 4 that will initially have an annual production capacity of about 58,000 BEVs and about 36,500 PHEVs. Announced back in April 2023, this investment will be the company’s first production base for right-hand drive vehicles outside of China.</t>
    <phoneticPr fontId="1"/>
  </si>
  <si>
    <t>https://www.marklines.com/en/global/2281</t>
    <phoneticPr fontId="1"/>
  </si>
  <si>
    <t>On November 9, Volkswagen paused the production of the EV models Audi Q4 E-tron, Audi Q4 Sportback E-tron, VW ID4 and VW ID5 at its Zwickau plant for approximately three weeks due to a shortage of the all-new APP550 electric motors coming from the Kassel plant. The company plans to redirect the limited number of APP550 electric motors to the Emden plant to avoid disrupting production of the newly launched Volkswagen EV ID.7, in addition to this plant also producing the EV ID.4. 1,000 out of 8,000 employees are affected at the Zwickau plant.</t>
    <phoneticPr fontId="1"/>
  </si>
  <si>
    <t>https://www.marklines.com/en/global/3237</t>
    <phoneticPr fontId="1"/>
  </si>
  <si>
    <t>On November 9, Toyota Indiana announced the start of production for the first-ever three-row Lexus TX, the first Lexus SUV to be assembled in the U.S., and the first Lexus for Toyota Indiana. Toyota invested USD 803 million in Indiana to assemble the Lexus TX and Toyota Grand Highlander.</t>
    <phoneticPr fontId="1"/>
  </si>
  <si>
    <t>https://www.marklines.com/en/global/10726</t>
    <phoneticPr fontId="1"/>
  </si>
  <si>
    <t>On November 8, Idra S.r.l., a prominent player in the automotive manufacturing industry, announced that it had secured a contract from Volvo Cars to install two 9,000-ton GigaPress machines at a greenfield site in Košice, Slovakia. The 9,000-ton Giga Press will help Volvo Cars in the production of complex and lightweight vehicle components with precision for enhanced vehicle performance and safety. The GigaCasting process is inherently eco-friendly, reducing waste and energy consumption, and aligns perfectly with Volvo Cars' dedication to sustainable practices.</t>
    <phoneticPr fontId="1"/>
  </si>
  <si>
    <t>Lion Electric</t>
    <phoneticPr fontId="1"/>
  </si>
  <si>
    <t>https://www.marklines.com/en/global/10596</t>
    <phoneticPr fontId="1"/>
  </si>
  <si>
    <t>On November 7, The Lion Electric Company announced it had record revenue of CAD 80.3 million in Q3 2023, based on the delivery of 245 vehicles. It delivered a total of 664 units in the first nine months of 2023, including 593 school buses and 71 trucks, with 518 vehicles delivered in Canada and 146 vehicles delivered in the U.S. The company has begun to manufacture initial LionD buses at its plant in Joliet, Illinois and Lion5 buses in its Montreal plant. Commercial production of the LionA and LionM are being delayed for now.</t>
    <phoneticPr fontId="1"/>
  </si>
  <si>
    <t>https://www.marklines.com/en/global/10597</t>
    <phoneticPr fontId="1"/>
  </si>
  <si>
    <t>On November 6, FAW Jiefang signed a strategic cooperation agreement with four institutions including Dongfang Electric (Chengdu) Hydrogen Fuel Cell Technology Co., Ltd. (DEH). Focusing on areas such as facility construction, product development, and technology upgrading, the five parties will co-build the Panzhihua Liquid Hydrogen Application Demonstration Area to promote the commercialization of liquid hydrogen.</t>
    <phoneticPr fontId="1"/>
  </si>
  <si>
    <t>On November 5, at the 6th China International Import Expo (CIIE), DFM exhibited the in-house developed iD3-260 electric drive assembly, Mach 4HD series hybrid electric drives, and models such as the M-Hero 917 and the Voyah Dreamer. DFM partners including Honda and Nissan exhibited models such as the new Civic Type R and the Venucia V-Online DD-i. Dongfeng Honda Automobile Co., Ltd. and Dongfeng Honda Engine Co., Ltd., DFM subsidiaries, will sign letters of intent to purchase with their partners at the event.</t>
    <phoneticPr fontId="1"/>
  </si>
  <si>
    <t>https://www.marklines.com/en/global/4089</t>
    <phoneticPr fontId="1"/>
  </si>
  <si>
    <t>https://www.marklines.com/en/global/3981</t>
    <phoneticPr fontId="1"/>
  </si>
  <si>
    <t>https://www.marklines.com/en/global/10504</t>
    <phoneticPr fontId="1"/>
  </si>
  <si>
    <t>https://www.marklines.com/en/global/3971</t>
    <phoneticPr fontId="1"/>
  </si>
  <si>
    <t>https://www.marklines.com/en/global/8604</t>
    <phoneticPr fontId="1"/>
  </si>
  <si>
    <t>On November 7 Nissan announced the expansion of its 2023-2025 investment plan of up to BRL 2.8 billion at the Resende plant in Brazil. This investment plan and includes the installation of new equipment, expansions in production lines, the evolution of processes to produce two SUVs, one of them being the globally successful Nissan Kicks, and a powertrain plant that is part of the brand's industrial park. In this factory, an advanced turbo engine will be assembled, which will be adapted to Nissan models. </t>
    <phoneticPr fontId="1"/>
  </si>
  <si>
    <t>On November 8, multiple sources reported that Stellantis Melfi plant’s management outlined the work organization and shifts until December 2023. Work shifts from November 13 to December 1, 2023, will consist of ten weekly shifts, accommodating staff replacements per the July 2023 agreement for business trips to Pomigliano. After this period, the standard 15 weekly shifts (first, second, and third) will be resume from December 4, 2023. The end-of-year shutdown is scheduled from December 23, 2023 to January 7, 2024, during which preparatory work for new model production ramp-up will continue, as per the July agreement.</t>
    <phoneticPr fontId="1"/>
  </si>
  <si>
    <t>https://www.marklines.com/en/global/749</t>
    <phoneticPr fontId="1"/>
  </si>
  <si>
    <t>On November 8, AvtoVAZ opened a new regional branch of its scientific and technical center in St. Petersburg. It is located in the NEVKA business complex and occupies 1,500 square meters. It is designed for 160 highly qualified jobs. Employees will work on the development of domestic component production, the development of new automotive components and systems, engineering and technological support for automobile production in St. Petersburg, interaction with universities, and support of suppliers in the field of systems engineering. The new center will not only complement the existing AvtoVAZ divisions in Togliatti and Moscow but will also organically fit into the automotive cluster of St. Petersburg.</t>
    <phoneticPr fontId="1"/>
  </si>
  <si>
    <t>On November 8, Pak Suzuki Motor announced that due to a shortage of inventory level, the management of the company has decided to shut down its automobile plant from November 9, 2023, to November 14, 2023. However, its motorcycle plant will remain operative.</t>
    <phoneticPr fontId="1"/>
  </si>
  <si>
    <t>https://www.marklines.com/en/global/1388</t>
    <phoneticPr fontId="1"/>
  </si>
  <si>
    <t>On November 7, Mitsubishi Fuso Truck Europe S.A. (MFTE) announced that it is collaborating with the Polytechnic Institute of Tomar, Portugal, to launch a training program in the second half of 2024. The partnership's goal is to further develop the Tramagal plant as a competence center for e-mobility, creating more job opportunities in this evolving field. MFTE is in a phase of growth, with over 600 employees and increased production volume. Preparing employees for the shift to e-mobility is crucial for the plant's future success.</t>
    <phoneticPr fontId="1"/>
  </si>
  <si>
    <t>https://www.marklines.com/en/global/2223</t>
    <phoneticPr fontId="1"/>
  </si>
  <si>
    <t>On November 7, Mercedes Benz announced that its Rastatt plant achieved the milestone of producing its 6 millionth vehicle i.e., an electric EQA. The milestone marks both a historic moment for the plant and a significant achievement in Mercedes-Benz's global compact car production, with approximately 210,000 vehicles produced in 2022.</t>
    <phoneticPr fontId="1"/>
  </si>
  <si>
    <t>On November 7, as it presented its results for Q3 2023, Rivian announced that it will now make its Rivian Commercial Van (RCV) available to other companies to purchase, while still focusing on bringing 100,000 Rivian electric delivery vehicles to the road for Amazon, all built at the same plant in Normal, Illinois as the R1T and R1S electric vehicles. Rivian produced 16,304 and delivered 15,564 vehicles in Q3 2023, the majority being R1S vehicles. Achieving an annualized run rate of over 65,000 vehicles in the third quarter, Rivian is increasing 2023 production guidance to 54,000 total units.</t>
    <phoneticPr fontId="1"/>
  </si>
  <si>
    <t>On November 7, the Lucid Group cut its 2023 production forecast to 8,000 – 8,500 vehicles from 10,000 plus after reporting a Q3 net loss of USD (630.89) million, compared to a net loss of USD (552.90) million in Q3 2022, with production of 1,550 vehicles and deliveries of 1,457 vehicles in Q3. In September, Lucid transitioned General Assembly to the Phase 2 level at the AMP-1 plant in Casa Grande, Arizona, which now houses General Assembly, Logistics, End of Line Repair, and Pre-Delivery Quality. Lucid opened AMP-2 in Saudi Arabia, and began semi knocked-down assembly from ‘kits’ pre-manufactured at AMP-1 in Arizona.</t>
    <phoneticPr fontId="1"/>
  </si>
  <si>
    <t>On November 6, multiple sources reported that Stellantis is selling the Maserati factory i.e., Avvocato Gianni Agnelli plant in Grugliasco, Italy, through an online sale announcement. The factory is currently operational with 200 employees, but production will cease by the end of 2023, and the employees will be moved to the Mirafiori plant by 2024.</t>
    <phoneticPr fontId="1"/>
  </si>
  <si>
    <t>https://www.marklines.com/en/global/1307</t>
    <phoneticPr fontId="1"/>
  </si>
  <si>
    <t>https://www.marklines.com/en/global/4239</t>
    <phoneticPr fontId="1"/>
  </si>
  <si>
    <t>On November 6, at the 6th China International Import Expo (CIIE), Hyundai Motor set up exhibition areas for hydrogen energy, electrification, the N performance vehicle brand, and the Palisade imported flagship SUV to showcase its plan for and strategic deployment of future mobility. The Mighty, a commercial hydrogen vehicle making its debut at the CIIE, is equipped with a domestic leading powertrain delivering a maximum motor power of 140kW and a peak torque of 360Nm, as well as an HTWO Guangzhou (Hyundai Motor Hydrogen Fuel Cell System (Guangzhou) Co., Ltd.) fuel cell with a world-class hydrogen-electricity conversion efficiency. Co-developed by HTWO Guangzhou and Xiamen Golden Dragon Bus Co., Ltd., the Polestar has a system power of 90kW, a peak motor power of 188kW, and a 600km range when fully refueled. To further promote the Chinese application of the “all-round hydrogen energy solution”, Hyundai Motor officially completed and started production and sales at the HTWO Guangzhou R&amp;D Site in June. The group also signed memorandums of cooperation with its partners in China’s hydrogen energy field, aiming at building the world’s first demonstration area for unmanned hydrogen vehicles and launching intelligent hydrogen energy service demonstration operations.</t>
    <phoneticPr fontId="1"/>
  </si>
  <si>
    <t>https://www.marklines.com/en/global/10720</t>
    <phoneticPr fontId="1"/>
  </si>
  <si>
    <t>Fujian Motor</t>
    <phoneticPr fontId="1"/>
  </si>
  <si>
    <t>King Long</t>
    <phoneticPr fontId="1"/>
  </si>
  <si>
    <t>https://www.marklines.com/en/global/3943</t>
    <phoneticPr fontId="1"/>
  </si>
  <si>
    <t>https://www.marklines.com/en/global/3481</t>
    <phoneticPr fontId="1"/>
  </si>
  <si>
    <t>On November 6, at the 6th China International Import Expo, FAW VW signed a memorandum of cooperation on imported FBU vehicles and CKD parts with VW Group. In 2024, FAW VW will import some parts and finished Audi vehicles from VW Group for manufacturing and sales of FBU vehicles. In the future, the two parties will establish a win-win “Joint Venture 2.0” model to continuously promote technology integration and innovative changes.</t>
    <phoneticPr fontId="1"/>
  </si>
  <si>
    <t>https://www.marklines.com/en/global/3735</t>
    <phoneticPr fontId="1"/>
  </si>
  <si>
    <t>On November 6, SAIC Maxus officially introduced the new Xintu light bus sub-brand and its four new models: the V90 flagship intelligent light bus, the V80 high-value wide-body light bus, the EV70 intelligent battery electric light bus, and the V70 Black Knight Edition. The V90 is equipped with an SAIC π 2.0T engine (130kW/420Nm, combined fuel consumption as low as 7.6L/100km) and either a 9-, 8-, or 6-speed automatic transmission. The vehicle comes with features such as a Level 2.5 intelligent driver assistance system, and EPB (Electronic Parking Brake). It is now available for pre-order and is expected to be officially launched at the end of 2023. The V80 is equipped with an SAIC π 2.0T engine (108kW/340Nm, combined fuel consumption as low as 7.5L/100km). The EV70 is equipped with a class-leading 6-in-1 electric drive, delivering a maximum power of 150kW, a peak torque of 330Nm, and a CLTC range of 420km. The vehicle comes with features such as a Level 2.5 ADAS (Advanced Driver Assistance System).</t>
    <phoneticPr fontId="1"/>
  </si>
  <si>
    <t>https://www.marklines.com/en/global/6451</t>
    <phoneticPr fontId="1"/>
  </si>
  <si>
    <t>https://www.marklines.com/en/global/10605</t>
    <phoneticPr fontId="1"/>
  </si>
  <si>
    <t>On November 5, at the 6th China International Import Expo (CIIE), VW China and VW Group sub-brands exhibited five New Energy Vehicles (NEVs). The VW brand exhibited two new ID. battery electric vehicles (BEVs). To be officially launched in the next few weeks. The Audi brand exhibited the prototype for the Q6 e-tron, which is the first pre-production model based on the PPE (Premium Platform Electric) platform and a new electronic architecture and will be the first next-generation Audi intelligent connected electric model. CARIAD China, a VW Group software subsidiary, exhibited a cutting-edge software development technology, the “Forward! Cube” software innovation simulator. Based on the 2050 goal of achieving carbon neutrality worldwide, VW Group presented environmental protection measures taken in China at the event.</t>
    <phoneticPr fontId="1"/>
  </si>
  <si>
    <t>https://www.marklines.com/en/global/10485</t>
    <phoneticPr fontId="1"/>
  </si>
  <si>
    <t>https://www.marklines.com/en/global/4119</t>
    <phoneticPr fontId="1"/>
  </si>
  <si>
    <t>On November 3, Venucia, a Dongfeng Nissan sub-brand, held a brand renewal and fall new product launch event in Guangzhou, where the VX6 compact battery electric SUV and the V-Online H2e, its first hydrogen fuel cell vehicle (FCV), were introduced. The V-Online H2e will first be put into commercial demonstration operation in Huadu District, Guangzhou after its launch and be available to private users in the future. Based on the Vita native electric platform, and powered by a 6-in-1 super electric drive (160kW/275Nm) and a 62kWh lithium-iron phosphate Luban battery, the VX6 has a CLTC range of 520km, a power consumption of 13.5kWh/100km, and a top speed of 165km/h. The V-Online H2e with a 500km range when fully refueled and charged. The hybrid intelligent control system and the 60kW high-performance fuel cell system enables a 120km range per kilogram of hydrogen.</t>
    <phoneticPr fontId="1"/>
  </si>
  <si>
    <t>On November 3, Venucia, a Dongfeng Nissan sub-brand, held a brand renewal and fall new product launch event in Guangzhou, where it announced full entry into the New Energy Vehicle (NEV) market and introduced a new brand logo and the following three technologies: 1) The Vita native electric platform: The platform contains an ultra-efficient electric drive, with a maximum efficiency of over 91%, a power consumption in the 10kWh/100km range, and a 0 to 100km/h acceleration time in the 3-second range (for the electric 4WD variant). 2) The Luban power battery. 3) The V-Joy intelligent space.</t>
    <phoneticPr fontId="1"/>
  </si>
  <si>
    <t>On November 3, the CX-50 HEV, the first Changan Mazda hybrid SUV, officially rolled off the production line at the Nanjing Plant. The CX-50 HEV is equipped with an e-AWD system for the first time, which can handle various terrain such as snowfields and gravelly ground with ease in conjunction with robust power output from the hybrid powertrain while enhancing vehicle starting performance and driving stability. The CX-50 HEV will further expand Changan Mazda’s product portfolio. The vehicle will be officially launched at the Auto Guangzhou 2023 to be held on November 17.</t>
    <phoneticPr fontId="1"/>
  </si>
  <si>
    <t>On November 8, multiple sources reported that AvtoVAZ will start full operations in the former Nissan plant in St. Petersburg in 2024. In June 2023, AvtoVAZ started assembly of Lada cars in this plant with limited production. The plant was renamed the Lada St. Petersburg plant.</t>
    <phoneticPr fontId="1"/>
  </si>
  <si>
    <t>https://www.marklines.com/en/global/613</t>
    <phoneticPr fontId="1"/>
  </si>
  <si>
    <t>On November 8, Ford Motor Company announced a ZAR 5.2 billion investment in the Silverton Assembly Plant to produce the first-ever Ranger Plug-in Hybrid, which will begin in late 2024. The investment for the Ranger PHEV includes the construction of a new battery pack assembly plant within the Silverton plant for the PHEV system, as well as the adaptation of vehicle assembly operations to accommodate the Ranger Plug-in Hybrid, specifically on the Trim, Chassis, and Final (TCF) line. The Paint Shop is also being revamped to further improve paint quality and first-time-through (FTT) for all vehicles produced in South Africa. The Silverton Assembly Plant has an installed capacity to produce 720 vehicles per day over three shifts, or 200,000 vehicles per year.</t>
    <phoneticPr fontId="1"/>
  </si>
  <si>
    <t>On November 7, Automotive Cells Company (ACC) and Stellantis took part in a meeting organized by the Ministry of Industry and Made in Italy with labor unions and the Molise Regional Council to lay the groundwork for discussions on the employment aspects and competitiveness of the ACC Gigafactory in Termoli. They discussed employment arrangements, contract profiles, and the involvement of employees currently employed by Stellantis at its Termoli plant in the future ACC Gigafactory to be built in the area. ACC said that the people currently employed in the Stellantis plant will certainly be given priority in joining ACC. Employees will go through a prolonged and intensive reskilling process to acquire the skills necessary to be employed in a completely different production process.</t>
    <phoneticPr fontId="1"/>
  </si>
  <si>
    <t>On November 7, Honda Atlas Cars (Pakistan) Limited announced that it has decided to further extend the shutdown of its plant from November 8, 2023, to November 09, 2023. The company plant has remained shut since the beginning of the month, as announced earlier.</t>
    <phoneticPr fontId="1"/>
  </si>
  <si>
    <t>https://www.marklines.com/en/global/1777</t>
    <phoneticPr fontId="1"/>
  </si>
  <si>
    <t>On November 7, Audi announced the beginning of production of its newly developed Premium Platform Electric (PPE) motors at its plant in Győr, Hungary, where 700 employees work in three shifts to produce up to 2,000 electric motors a day. At the same time Audi announced the setup of a battery assembly facility at its Ingolstadt plant, in Germany, where the upcoming Q6 e-tron series will start production at the end of 2023. Both facilities are related to the development of said vehicle.</t>
    <phoneticPr fontId="1"/>
  </si>
  <si>
    <t>https://www.marklines.com/en/global/2199</t>
    <phoneticPr fontId="1"/>
  </si>
  <si>
    <t>GM plans to temporarily halt production of the Cruise Origin autonomous vehicle at the Factory ZERO in Michigan following its previous announcement of stopping autonomous operations across the U.S. after Cruise’s license was suspended.</t>
    <phoneticPr fontId="1"/>
  </si>
  <si>
    <t>Unifor members at Stellantis ratified the new three-year collective agreement negotiated between the two parties. The new contract will expire on September 20, 2026. The agreement also includes product allocation information detailing investments at the plants in Windsor, Brampton, and Etobicoke as follows. Windsor Assembly Plant: The plant will continue production of the Chrysler Pacifica and will install a new STLA Large architecture line to produce next-generation Dodge muscle cars. The plant is expected to return to a three-shift operation. The new investment in the plant is expected to be CAD 1.89 billion. Brampton Assembly Plant: The plant will commit to the installation of a new flexible architecture that can produce both ICE and BEV vehicles and will produce the next-generation Jeep Compass on the STLA Medium architecture. The plant is expected to return to a three-shift operation. The new investment in the plant is expected to be CAD 1.32 billion. Etobicoke Casting Plant: The plant will transition into electrification with the production of battery tray cast beams. The new investment in the plant is expected to be CAD 34.0 million.</t>
    <phoneticPr fontId="1"/>
  </si>
  <si>
    <t>https://www.marklines.com/en/global/2431</t>
    <phoneticPr fontId="1"/>
  </si>
  <si>
    <t>On November 2, KG Mobility signed “next-generation hybrid system agreement” and “Battery Pack Korea Factory Agreement” with BYD at the signing ceremony held at the BYD Group headquarters in Shenzhen, China. Through this agreement, battery packs produced in Korea will be mounted on the Torres EVX and the O100, which is being developed for mass production in the second half of 2024, and will be developed in the future. It is expected to be expanded to include applicable vehicle models. The new battery pack plant will be built on the site of the Changwon engine plant. Prior to signing this agreement, researchers from both companies have already begun joint development of the next-generation hybrid system, and are pursuing expansion of the hybrid lineup, starting with a Torres-based hybrid model in 2025.</t>
    <phoneticPr fontId="1"/>
  </si>
  <si>
    <t>https://www.marklines.com/en/global/10727</t>
    <phoneticPr fontId="1"/>
  </si>
  <si>
    <t>On November 6, Polestar signed an agreement with SK On, a South Korean battery manufacturer, for the supply of battery cell modules for the forthcoming Polestar 5 electric 4-door GT. The production of Polestar 5 is planned to start in 2025. SK On's high-nickel battery cell modules comprise ultra-long 56 cm cells with high energy density which offers high-performing chemistry, fast charging, efficient discharging, and superior driving range.</t>
    <phoneticPr fontId="1"/>
  </si>
  <si>
    <t>On November 6, Ashok Leyland commenced the delivery of India's first LNG-powered haulage truck - AVTR 1922 to Mahanagar Gas Limited in Hosur. With this, Ashok Leyland becomes the first Indian original equipment manufacturer (OEM) to unveil an in-house LNG engine compliant with BSVI Stage II emission standards.</t>
    <phoneticPr fontId="1"/>
  </si>
  <si>
    <t>https://www.marklines.com/en/global/1445</t>
    <phoneticPr fontId="1"/>
  </si>
  <si>
    <t>Toyota Motor Europe invested of EUR 308 million to start production of the all-new Toyota C-HR, a plug-in hybrid vehicle, at its plant located Sakarya, Turkey, being this the first Toyota’s plant to produce this type of vehicles.</t>
    <phoneticPr fontId="1"/>
  </si>
  <si>
    <t>Acura</t>
    <phoneticPr fontId="1"/>
  </si>
  <si>
    <t>https://www.marklines.com/en/global/2523</t>
    <phoneticPr fontId="1"/>
  </si>
  <si>
    <t>On November 4, the UAW details of the tentative agreement with GM explain the investment GM is making toward each of its manufacturing plants over the length of the contract. Electric vehicle investment will include Orion Assembly- USD 4 billion for future EV products, Springhill Assembly- USD 2 billion for 2 GM EVs, 1 partner EV, Lansing Grand River Assembly- USD 1.25 billion for future EV, and Fairfax Assembly- USD 391 million for future EV, and USD 81 million for the Celestiq at the GM Technical Center.</t>
    <phoneticPr fontId="1"/>
  </si>
  <si>
    <t>https://www.marklines.com/en/global/2475</t>
    <phoneticPr fontId="1"/>
  </si>
  <si>
    <t>https://www.marklines.com/en/global/2519</t>
    <phoneticPr fontId="1"/>
  </si>
  <si>
    <t>Kansas</t>
  </si>
  <si>
    <t>Buick</t>
    <phoneticPr fontId="1"/>
  </si>
  <si>
    <t>On November 4, Ford Motor Co. confirmed it will lay off workers and at its Louisville Assembly Plant starting on November 6 due to "parts-related issues".  The layoffs will affect 1,600 employees from the second shift, who will return to work the following week, when another 1,600 will be laid off.  Both production shifts will be running the week of November 20 and then there will be no production at the plant the week of November 27.</t>
    <phoneticPr fontId="1"/>
  </si>
  <si>
    <t>Li Auto</t>
    <phoneticPr fontId="1"/>
  </si>
  <si>
    <t>https://www.marklines.com/en/global/9889</t>
    <phoneticPr fontId="1"/>
  </si>
  <si>
    <t>According to multiple press releases dated November 3, CHJ (Yinchuan) Energy Technology Co., Ltd. was recently established in Yinchuan, Ningxia. The new company has a registered capital of CNY 5 million and is wholly owned by Beijing CHJ Energy Technology Co., Ltd., a Li Auto subsidiary. The business scope includes manufacturing of photovoltaic equipment and elements, manufacturing of batteries, operations of charging infrastructure for electric vehicles, development of AI application software, and small bus and minibus rental and operation services.</t>
    <phoneticPr fontId="1"/>
  </si>
  <si>
    <t>On November 3, CARIAD China announced the establishment of the Mobile x Mobility Fusion Joint Innovative Lab (M² Lab) with vivo, a Chinese smartphone manufacturer. The two parties will focus on related innovations and long-term cooperation in the fields of smartphones and intelligent vehicles. Currently, they are exploring areas such as fusion of human-machine interaction, fusion of data and computing power, and large models. In the future, the two parties will continuously develop new directions for business cooperation on mobile phone-mobility fusion to enable seamless connection of multiple devices and scenarios and lead the upgrading of automotive digital products and services.</t>
    <phoneticPr fontId="1"/>
  </si>
  <si>
    <t>On November 3 while speaking to staff at the Gigafactory Berlin, Tesla CEO Elon Musk announced that the German plant will be building the next-gen EUR 25,000 EV. While the coming Model 2 was first announced for the yet-to-be-built Gigafactory Mexico, Musk said during the Q3 press conference that the first batches of the least expensive Tesla will initially be assembled at Gigafactory Texas.</t>
    <phoneticPr fontId="1"/>
  </si>
  <si>
    <t>Tesla's management at Gigafactory Berlin announced on November 3 that the plant’s 11,000 workers will receive a 4% wage raise effective in November. Tesla will also pay a EUR 1,500 bonus in December to offset inflation and in February 2024 raise annual wages by an additional EUR 2,500 for the German workers, according to people familiar with the matter.</t>
    <phoneticPr fontId="1"/>
  </si>
  <si>
    <t>https://www.marklines.com/en/global/1156</t>
    <phoneticPr fontId="1"/>
  </si>
  <si>
    <t>On November 2, JLR (Jaguar Land Rover) and TPEM (Tata Passenger Electric Mobility) have entered an MOU for access to the EMA platform, including the E&amp;E architecture, EDU, battery assembly and manufacturing know-how for a royalty fee. Tata Motors announced that its upcoming Avinya EV will be sharing the JLR's EMA (electric modular architecture) platform. The EMA platform will underpin the next generation of 'pure electric' mid-sized SUVs of JLR and would be launched from 2025 onwards.</t>
    <phoneticPr fontId="1"/>
  </si>
  <si>
    <t>Bollore</t>
    <phoneticPr fontId="1"/>
  </si>
  <si>
    <t>https://www.marklines.com/en/global/59</t>
    <phoneticPr fontId="1"/>
  </si>
  <si>
    <t>On November 1, Blue Solutions joined the upcell Alliance team. upcell Alliance is a not-for-profit association bringing together key European leaders along the battery value chain manufacturing. Blue Solutions, a Bolloré Group company, is a manufacturer of all-solid-state batteries commercially available for transportation and stationary applications.</t>
    <phoneticPr fontId="1"/>
  </si>
  <si>
    <t>https://www.marklines.com/en/global/9842</t>
    <phoneticPr fontId="1"/>
  </si>
  <si>
    <t>On November 1, Alexander Dennis unveiled its next-generation battery-electric buses, the Enviro100EV small bus and the Enviro400EV double-decker, for the UK and Ireland. The Enviro400EV will be assembled at the Larbert facility in the UK, whereas the Enviro100EV will be fitted with high-value components at its Scarborough facility. Its chassis and body frame will be produced under the supervision of Alexander Dennis Designs by the company's contract manufacturing partner in Zhuhai, China. The production of customer orders for both vehicle types has started, with deliveries expected in the first months of 2024. The Enviro100EV small bus is 8.5m long, 2.35m wide, and offers a range of 285 miles on a single charge, whereas the Enviro400EV double-decker is 11.1m in length and offers a range of up to 260 miles.</t>
    <phoneticPr fontId="1"/>
  </si>
  <si>
    <t>Eicher Motors</t>
    <phoneticPr fontId="1"/>
  </si>
  <si>
    <t>https://www.marklines.com/en/global/9982</t>
    <phoneticPr fontId="1"/>
  </si>
  <si>
    <t>Madhya Pradesh</t>
  </si>
  <si>
    <t>On November 17, Eicher Trucks and Buses unveiled the next-generation Eicher Skyline Pro 3009 bus for the South African market. This marks the entry of Eicher-branded buses in the South African market. The group's commercial vehicles engineered for South Africa are backed by Volvo Group's advanced technology and processes, and Eicher's superior performance and uptime. The bus has an Eicher E494 engine.</t>
    <phoneticPr fontId="1"/>
  </si>
  <si>
    <t>On November 16, Evolute started mass production of the new electric crossover Evolute i-SKY at the Motorinvest plant in the Lipetsk region. The traction battery capacity is 85.9 kWh. It is equipped with a powerful liquid-cooled permanent magnet synchronous motor producing 204 hp power and 340 Nm torque. It has a range of 511 kilometers on the WLTP cycle. Evolute also revealed that its investments until 2032 will exceed RUB 13 billion. During this period, Motorinvest plans to produce 242,000 electric vehicles and reach a localization level of 5,000 points: the bulk of the parts, including electric motors and traction batteries, will be Russian.</t>
    <phoneticPr fontId="1"/>
  </si>
  <si>
    <t>On November 16, Verkor laid the foundation stone of its Gigafactory for the production of low-carbon, high-performance electric battery cells in Dunkirk. The site will be operational by 2025. It will have an initial production capacity of 16 GWh/year. Located in the port of Dunkirk, it will create around 1,200 direct jobs and 3,000 indirect jobs. The construction of this European site for manufacturing high-density, efficient, and low-carbon battery cells, intended for electric vehicles and stationary storage, relies on the financial support of numerous stakeholders.</t>
    <phoneticPr fontId="1"/>
  </si>
  <si>
    <t>On November 16, Valmet Automotive issued a change negotiation proposal on the need to reduce personnel at the Uusikaupunki car plant. The proposal is based on financial and production-related grounds due to a decrease in vehicle contract manufacturing services, which has led to a lower-than-expected number of new customer projects. Change negotiations apply to all salaried and senior salaried personnel at Valmet Automotive Plc. The need for adjustments will concern a maximum of 165 employees. The change negotiations for personnel adjustments will not apply to the battery business.</t>
    <phoneticPr fontId="1"/>
  </si>
  <si>
    <t>https://www.marklines.com/en/global/3141</t>
    <phoneticPr fontId="1"/>
  </si>
  <si>
    <t>On November 16, Hyundai revealed the all-new 2024 Santa Fe at AutoMobility LA with a new XRT version is making its global debut as an outdoor-focused sport model. Hyundai Motor Manufacturing, LLC (HMMA) has designated USD 190 million dollars of new investment for tooling and equipment upgrades to prepare for production of the all-new fifth-generation Santa Fe in Alabama. Going on sale in March 2024, the 2024 Santa Fe standard powertrain is a 2.5-liter direct-injected, turbocharged engine, mated to an eight-speed dual-clutch transmission. Going on sale later in the spring is a 1.6-liter direct-injected, turbocharged hybrid mated with a six-speed automatic transmission.</t>
    <phoneticPr fontId="1"/>
  </si>
  <si>
    <t>On November 16, Toyota Motor North America and Redwood Materials announced an expanded recycling agreement for Toyota to develop a closed-loop framework and source Cathode Active Material (CAM) and Anode copper foil from Redwood for new battery production at the Toyota Battery Manufacturing, North Carolina (TBMNC) facility, scheduled to begin operations in 2025.</t>
    <phoneticPr fontId="1"/>
  </si>
  <si>
    <t>On November 15, Audi FAW announced that the construction of the Audi FAW NEV company in Changchun, China, is on track for completion by the end of 2023. The Test Center Changchun, inaugurated in September 2023, can operate up to 70 test vehicles. The facility, featuring 1,000 robots, automated warehouse, presses, and monitoring systems, is progressing as planned. In 2024, personnel will move in, testing production steps for series production, scheduled to begin by the end of 2024. The first fully electric Audi model from the Premium Platform Electric (PPE) is slated for market launch in spring 2025. The production site uses 100% green energy, generating 35 million kilowatt hours annually from rooftop solar panels.</t>
    <phoneticPr fontId="1"/>
  </si>
  <si>
    <t>On November 15, Polestar started production of Polestar 4 at the Hangzhou Bay factory operated by Geely Holding. The first deliveries in China are expected before the end of 2023. Polestar 4 has the lowest carbon footprint of any Polestar car at launch. The Hangzhou Bay factory is powered by renewable electricity that carries the I-REC hydropower certificate, combined with photovoltaic electricity generated on the roof of the plant. From the second half of 2025, additional manufacturing of Polestar 4 will be added in Busan, South Korea, for the local market and export to North American markets. Official launch in all other Polestar markets is planned for early 2024.</t>
    <phoneticPr fontId="1"/>
  </si>
  <si>
    <t>https://www.marklines.com/en/global/2693</t>
    <phoneticPr fontId="1"/>
  </si>
  <si>
    <t>On November 14, Scania announced that it had signed a letter of intent to decarbonize all steel deliveries from SSAB for heavy-duty vehicles by 2030. The initiative is part of the First Movers Coalition, which aims to rapidly increase deliveries of SSAB's Fossil-free steel, starting in 2026. The move aligns with Scania's strategy to reduce carbon emissions in challenging sectors, utilizing their purchasing power to create early markets for clean technologies.</t>
    <phoneticPr fontId="1"/>
  </si>
  <si>
    <t>On November 14, multiple sources reported that the Stellantis Rennes factory in France is facing another production stoppage due to ongoing challenges. The management in the Rennes plant cited a shortage of gearbox supplies from Asia. Consequently, the production line is scheduled to be halted from November 27, 2023, until December 1, 2024. The pause will impact the production of Peugeot 5008 and C5 Aircross vehicles for a one-week duration at the end of November 2023.</t>
    <phoneticPr fontId="1"/>
  </si>
  <si>
    <t>Jetour</t>
    <phoneticPr fontId="1"/>
  </si>
  <si>
    <t>https://www.marklines.com/en/global/3883</t>
    <phoneticPr fontId="1"/>
  </si>
  <si>
    <t>On November 14, Jetour, a Chery sub-brand, held a launch for the Shanhai New Energy Vehicle lineup and the Shanhai L9 model in Zhuhai, Guangdong. It will successively introduce products such as urban SUVs, hardcore off-road SUVs, and pickup trucks, planning to launch eight new HEVs in two years to help Jetour achieve an annual sales volume of 1 million units by 2026. The Shanhai L9, the first production Shanhai SUV, is positioned as a large 7-seater super plug-in hybrid SUV. Equipped with a 5th-generation Chery Power 1.5TGDI dedicated hybrid engine (115kW/220Nm), a 2-speed dedicated hybrid transmission, and P2 and P3 permanent magnet synchronous motors (199kW/395Nm in total), the Shanhai L9 has a front-engine FWD layout and delivers a CLTC electric-mode range of 55km or 108km, a CLTC combined range of 1,100km, a combined fuel consumption of only 5.3L/100km, and a 0 to 100km/h acceleration time of 7.8 seconds. The Shanhai L9 is powered by a Qualcomm Snapdragon 3rd-generation 8155 8-core chip.</t>
    <phoneticPr fontId="1"/>
  </si>
  <si>
    <t>https://www.marklines.com/en/global/2289</t>
    <phoneticPr fontId="1"/>
  </si>
  <si>
    <t>During November 2023, BMW Munich plant stopped production of Internal Combustion Engines (ICE). BMW made an investment of EUR 400 million into the Munich plant to transform the engine assembly line into a vehicle construction one for EV. This plant is expected to produce models related to the Neue Klasse that will start coming off the production line in 2026. All the 1,200 employees of the plant will now be retrained and sent to other areas, either at the Munich plant or others. The last eight-cylinder engine of the plant was assembled at the beginning of November. Production of combustion engines has been relocated to Steyr in Austria and Hams Hall in the UK. </t>
    <phoneticPr fontId="1"/>
  </si>
  <si>
    <t>https://www.marklines.com/en/global/1801</t>
    <phoneticPr fontId="1"/>
  </si>
  <si>
    <t>https://www.marklines.com/en/global/2205</t>
    <phoneticPr fontId="1"/>
  </si>
  <si>
    <t>https://www.marklines.com/en/global/2721</t>
    <phoneticPr fontId="1"/>
  </si>
  <si>
    <t>On November 13, Aurobay and AB Volvo entered into a five-year "build-to-print" contract, where Aurobay will supply camshafts for AB Volvo's truck engines. The camshafts will be manufactured from rod blank to a finished camshaft in a dedicated production line in the Skövde factory in Sweden. The contract, to manufacture camshafts for heavy-duty truck engines, is Aurobay's second in the powertrain component market. The agreement means that Aurobay will reuse manufacturing machines from AB Volvo. The goal is for Aurobay to take over AB Volvo's camshaft manufacturing and be ready to start production during the first quarter of 2025.</t>
    <phoneticPr fontId="1"/>
  </si>
  <si>
    <t>https://www.marklines.com/en/global/9084</t>
    <phoneticPr fontId="1"/>
  </si>
  <si>
    <t>https://www.marklines.com/en/global/10535</t>
    <phoneticPr fontId="1"/>
  </si>
  <si>
    <t>According to multiple press releases dated November 13, CHJ (Ningbo) Energy Service Co., Ltd. was recently established in Ningbo, Zhejiang. The new company has a registered capital of CNY 2 million and is wholly owned by Beijing CHJ Energy Service Co., Ltd., a Li Auto subsidiary. The business scope includes R&amp;D of emerging energy technologies, manufacturing of photovoltaic equipment and elements, centralized fast charging stations, operation of charging infrastructure for electric vehicles, and development of AI application software.</t>
    <phoneticPr fontId="1"/>
  </si>
  <si>
    <t>On November 13, BAIC Group signed a strategic cooperation framework agreement with China Intelligent and Connected Vehicles (Beijing) Research Institute Co., Ltd. (CICV). According to the agreement, the two parties will conduct in-depth cooperation in five areas: construction of a scenario library for advanced autonomous driving, establishment of a standard system for simulation testing and verification and user experience and evaluation, technology integration and functional verification of next-generation autonomous driving platforms, preparatory work and policy research on approval for intelligent connected vehicles (ICVs), insight into and development trend research on new intelligent connectivity technology industries.</t>
    <phoneticPr fontId="1"/>
  </si>
  <si>
    <t>On November 13, Zhejiang Geely Holding Group (ZGH) officially joined the Board of Directors of the International Automotive Task Force (IATF). As the first Asian IATF member in history, ZGH will participate in the establishment of international quality standards to promote the sustainable development of the global automotive industry.</t>
    <phoneticPr fontId="1"/>
  </si>
  <si>
    <t>On November 10, JAECOO, a sub-brand of Chery announced its entry into South Africa, making it one of the very first countries in the world to welcome the newly established urban off-road SUV brand. JAECOO will launch with the J7 in early 2024. Positioned as a mid-sized SUV, the J7 boasts as many as seven drive modes and comfortably seats five adults.</t>
    <phoneticPr fontId="1"/>
  </si>
  <si>
    <t>Foxconn(Hon Hai)</t>
    <phoneticPr fontId="1"/>
  </si>
  <si>
    <t>https://www.marklines.com/en/global/10773</t>
    <phoneticPr fontId="1"/>
  </si>
  <si>
    <t>On November 9, CEER announced its agreement with Siemens to advance the automation of systems within the electric vehicle manufacturing facility in King Abdullah Economic City. The partnership aims to integrate Siemens Digital Industries solutions to ensure the simplification of digitization and automation within electric vehicle manufacturing processes. The manufacturing facility will also spread the Siemens automation process across manufacturing lines and production departments and later enable CEER to automate factory operations such as robots, production lines, and transportation, including safety functions and procedures.</t>
    <phoneticPr fontId="1"/>
  </si>
  <si>
    <t>On November 15, multiple sources reported that in Volkswagen Zwickau plant will now operate two shifts instead of three due to declining electric car demand leading to cancelling of shifts at the factory. Two production lines may shift from three-shift to two-shift operation next year, contingent on market conditions. The ID.3 and Cupra Born models' production line in Hall 5 was affected and the decline also impacted employees in the supplier industry as well.</t>
    <phoneticPr fontId="1"/>
  </si>
  <si>
    <t>Cupra</t>
    <phoneticPr fontId="1"/>
  </si>
  <si>
    <t>Toyota announced the North American debut of the 2025 Crown Signia mid-size crossover SUV. The Crown Signia will be second Toyota Crown model in the U.S. and represents the first Crown model in the SUV segment, replacing the outgoing Toyota Venza. The Crown Signia shares the same TNGA-K platform as the Crown sedan. The 2025 Toyota Crown Signia is expected to be available in the U.S. market in the summer of 2024 and will be assembled at Toyota’s Tsutsumi Plant in Aichi, Japan.</t>
    <phoneticPr fontId="1"/>
  </si>
  <si>
    <t>On November 13, Audi announced that the series production of the Audi TT sports car has been discontinued from the Audi Hungaria's Győr plant, marking the end of an era. Over 662,000 TT Coupé and TT Roadster models have been manufactured in Győr in the last 25 years. Preparations are underway for the production of the new Cupra Terramar model in Győr plant.</t>
    <phoneticPr fontId="1"/>
  </si>
  <si>
    <t>On November 13, Beiqi Foton announced that to integrate industrial resources, support Loxa Co., Ltd. (Loxa) in focusing on the special-purpose vehicle business, optimize the business structure, improve the operating quality and efficiency, and ensure the collection of debts, it intends to acquire the assets such as land, plant buildings, and public facilities of the Xuanhua Plant of Hebei Loxa Heavy Construction Machinery Co., Ltd. (Hebei Loxa), a Loxa wholly-owned subsidiary.</t>
    <phoneticPr fontId="1"/>
  </si>
  <si>
    <t>On November 13, GWM and Douyin Group signed a strategic cooperation agreement in Beijing, deciding to conduct in-depth cooperation on nine subjects across vehicle intelligentization-related areas such as big data, enterprise large model application, cloud-based infrastructure, digital marketing, and intelligent cockpits.</t>
    <phoneticPr fontId="1"/>
  </si>
  <si>
    <t>According to multiple U.S. media reports on November 13, union members at the Kentucky truck plant and the Louisville plant in Kentucky, which belong to UAW Local 862 and employ approximately 12,000 workers, have voted against a tentative agreement between Ford and the UAW. At the Kentucky Truck Plant, which produces the F-Series Super Duty full-size pickup truck and was the target of a strike during the recent labor negotiations, less than half of the total workforce, or 4,100 employees, voted, and about 55% rejected the new agreement. On the other hand, at the Louisville plant. which produces several compact crossover SUVs, the number of people voting barely exceeded half of all employees, with about 53% voting in favor. As a result, the 862 branches of both plants combined had a majority of 52% of the votes against the proposal. The total voting results to date, including these plants, show 65% voting in favor. The vote will now move on to the main plants, including the Rouge Electric Vehicle Center in Michigan.</t>
    <phoneticPr fontId="1"/>
  </si>
  <si>
    <t>On November 11, Dongfeng Motor (DFM) held an event in Wuhan, Hubei. At the event, DFM introduced the USharing Intelligence sub-brand and the new eπ electric vehicle sub-brand. The eπ 007, the first eπ sedan, was unveiled along with the full range of DFM New Energy Vehicles for the first time. The eπ 007, a product tailored for the young, delivers a motor power as high as 400kW and a 0 to 100km/h acceleration time in the 3-second range with the support of the Quantum architecture and the Mach E powertrain. The vehicle is equipped with an SOA-based intelligent cockpit, with official launch expected in the first half of 2024. Looking ahead, DFM is developing an 800V platform enabling 6C charging, with a featured new model to be put into mass production in 2025. The eπ brand will develop battery electric and range-extended vehicles in parallel and fully cover mainstream markets with over 10 models in three years.</t>
    <phoneticPr fontId="1"/>
  </si>
  <si>
    <t>On November 10, GAC Group announced that it intends to invest in the establishment of a fund tentatively named Guangzhou Intelligent Connected New Energy Vehicle Industrial Development and Equity Investment Partnership (Limited Partnership) (the Fund) with Guangzhou Industrial Investment New Energy Special Mother Fund Partnership (Limited Partnership) and BOC Financial Asset Investment Co., Ltd. as limited partners at respective ratios of 33.4%, 33.3%, and 33.3%. The Fund will mainly be invested in key projects in the upstream and downstream of the intelligent connected New Energy Vehicle industrial chain, including but not limited to New Energy batteries, energy ecosystems, V2X (Vehicle to Everything), intelligent driving, automotive chips, and intelligent cities. The initial scale is CNY 10 billion.</t>
    <phoneticPr fontId="1"/>
  </si>
  <si>
    <t>Union workers at General Motor’s Spring Hill, Tennessee, assembly plant have voted against the tentative new contract formed between the UAW and GM. 67.5% of voters were against the contract while 32.5% of voters were in favor. More than 69% of production employees and 56% of skilled trades workers voted against the tentative contract. Previously, UAW members at GM’s Flint Truck plant voted against the contract, with 51.8% voting no versus 48.2% voting in favor. Most recently, there were also reports of a majority vote against the agreement at the Lansing Grand River plant in Michigan, which means that members at three assembly plants have now rejected the new agreement.</t>
    <phoneticPr fontId="1"/>
  </si>
  <si>
    <t>https://www.marklines.com/en/global/10772</t>
    <phoneticPr fontId="1"/>
  </si>
  <si>
    <t>On Nov 13, Hyundai Motor Group held the 3rd Annual HMG Developer Conference and presented its vision for the future transformation of software-defined vehicles (SDVs).Chang Song, President and Head of Hyundai Motor Group’s SDV Division and self-driving mobility unit 42dot, explained concepts related to SDVs, such as decoupling, architecture transformation and value chain transfer for convergence with the software industry. He also emphasized that the core challenge of SDVs is to bring about a fundamental change and transformation in the way vehicles are developed from a hardware-centric to software-centric approach. The Group also launched the ‘HMG Developers’ online platform in conjunction with the 3rd Annual HMG Developer Conference. The platform aims to share the know-how of the Group’s developers with external developers and strengthen communication.</t>
    <phoneticPr fontId="1"/>
  </si>
  <si>
    <t>On November 13, the president of VW Mexico stated that the company have devised two packages of investment, the first one, amounting to USD 750 million, to enhance the sustainability of production process. Within this sum, USD 350 million is specifically designated for the construction of a new paint shop, and the second package will be revealed between March and April 2024 involving the electric model that will be manufactured in Mexico. Over the next 12 to 15 months, the specifics of the model will be determined.</t>
    <phoneticPr fontId="1"/>
  </si>
  <si>
    <t>On November 11, Changan Qiyuan officially started accepting pre-orders for the new Q05 compact plug-in hybrid SUV. Powered by a 1.5L high-efficiency Blue Core dedicated hybrid engine (maximum rated power 81kW and peak torque 143Nm), a single permanent magnet synchronous motor, and an E-CVT (electronically controlled continuously variable transmission), the Q05 has a front-engine FWD layout. The 60km-range variants are equipped with a 9.07kWh ternary lithium battery, delivering a total motor power of 140kW, a total motor torque of 330Nm, a CLTC combined range of 1,150km, and a WLTC combined fuel consumption of 2.65L/100km.</t>
    <phoneticPr fontId="1"/>
  </si>
  <si>
    <t>MINI</t>
    <phoneticPr fontId="1"/>
  </si>
  <si>
    <t>On November 10, BMW announced that its Leipzig plant initiated the production of the MINI Countryman alongside the BMW 1 Series and 2 Series on the same line. For the first time, a MINI model is being made in Germany. EUR 700 million investment over five years enhances Leipzig's flexibility for increased vehicle volumes and adapts MINI-specific requirements. Initially, around 100 MINI Countryman cars daily will increase to 500 next year, complementing the existing BMW production. This expansion secures existing jobs and creates up to 900 new positions in vehicle production alone. Leipzig plant's flexibility allows the production of two brands with three drive options (combustion, plug-in-hybrid, and fully electric) on a single line. The third-generation MINI Countryman is available with gasoline, diesel, or fully electric powertrains with high-voltage batteries produced in the plant. Starting in 2024, BMW Group Plant Leipzig will run the entire production process for the current fifth generation of high-voltage batteries.</t>
    <phoneticPr fontId="1"/>
  </si>
  <si>
    <t>https://www.marklines.com/en/global/10212</t>
    <phoneticPr fontId="1"/>
  </si>
  <si>
    <t>On November 10, BMW Group announced that its Designworks innovation studio has opened a new location in Shanghai's West Bund district. Situated in a thriving arts, culture, and business hub, the team collaborates on design ideas for BMW and other clients. The studio has about 50 creatives, and is an integral part of the BMW Group's Research and Development Centre, aiming to create human-centered design innovations tailored to the needs of customers in China and the broader Asian region. The studio's influence is evident in the exclusive Chinese market variant of the new BMW 5 Series Sedan. The design studio contributes to the BMW Group's digital experience, influencing projects like the visualization of BMW IPA (Intelligent Personal Assistant) and creating the MINI digital companion, "SPIKE," along with artistic animations displayed on the Control Display of current BMW models.</t>
    <phoneticPr fontId="1"/>
  </si>
  <si>
    <t>LYNK &amp; CO</t>
    <phoneticPr fontId="1"/>
  </si>
  <si>
    <t>https://www.marklines.com/en/global/10390</t>
    <phoneticPr fontId="1"/>
  </si>
  <si>
    <t>On November 10, Lynk &amp; Co participated in the 13th China (Macau) International Automobile Exposition and opened the first Lynk &amp; Co Center in Macau to put on sale the next-generation 03+ compact sedan and the 01 EM-P plug-in hybrid SUV. The 08 EM-P plug-in hybrid SUV newly launched in September was exhibited at the Macau Lynk &amp; Co Center as well.</t>
    <phoneticPr fontId="1"/>
  </si>
  <si>
    <t>https://www.marklines.com/en/global/9522</t>
    <phoneticPr fontId="1"/>
  </si>
  <si>
    <t>On November 10, a ceremony for the signing of a strategic cooperation agreement between Farizon New Energy Commercial Vehicles Group (Farizon) and ZTO Express Co., Ltd. (ZTO Express) was held in Shanghai. The two parties will develop customized New Energy intelligent products for all logistics scenarios, facilitate the promotion and application of intelligent driving technologies, explore the establishment of a digital logistics operation system, and promote green and sustainable development.</t>
    <phoneticPr fontId="1"/>
  </si>
  <si>
    <t>On November 10, Avatr officially launched the new Avatr 12 mid-to-large-size intelligent luxury battery electric coupe. Based on the CHN platform, the Avatr 12 is equipped with a 94.5kWh ternary lithium battery. The 650km-range variants are powered by dual motors in the front (195kW/280Nm) and rear (230kW/370Nm), with a 4WD layout, a 0 to 100km/h acceleration time of 3.9 seconds, and a top speed of 220km/h. The Avatr 12 rides on features such as an intelligent driver assistance system and the industry’s first GOD (General Obstacle Detection) LiDAR fusion network.</t>
    <phoneticPr fontId="1"/>
  </si>
  <si>
    <t>https://www.marklines.com/en/global/10326</t>
    <phoneticPr fontId="1"/>
  </si>
  <si>
    <t>Singapore</t>
    <phoneticPr fontId="1"/>
  </si>
  <si>
    <t>On November 10, Hyundai Motor Group announced that it will open its first smart urban mobility hub at the Hyundai Motor Group Innovation Center Singapore (HMGICS) on November 21, 2023. The facility will function as an experimental platform for intelligent automotive manufacturing technology centered around human needs. It will employ advanced production methods that have greatly progressed beyond traditional conveyor-belt manufacturing.</t>
    <phoneticPr fontId="1"/>
  </si>
  <si>
    <t>On November 9, SEAT S.A. and Volkswagen Group allocated over 75% of the small BEV project's material costs to Spanish suppliers, streamlining the supply chain for EV components. The decision aims to support local sources and enhance efficiency in producing fully electric vehicles at SEAT's Martorell plant and Volkswagen's Navarra plant. Leading the Small BEV cluster for the Volkswagen Group, SEAT S.A. is set to manufacture a family of cars in a growing segment.</t>
    <phoneticPr fontId="1"/>
  </si>
  <si>
    <t>https://www.marklines.com/en/global/1955</t>
    <phoneticPr fontId="1"/>
  </si>
  <si>
    <t>https://www.marklines.com/en/global/385</t>
    <phoneticPr fontId="1"/>
  </si>
  <si>
    <t>Obayashi Corporation and Toyota Motor Corporation announced on November 9 that they have jointly developed a new technology, which recycles scrap carbon fiber reinforced plastic (CFRP) used in the hydrogen tanks of the Mirai fuel cell vehicle as short fibers for reinforcing concrete. The short fibers for concrete reinforcement recycled by the new technology exhibit the same or higher compressive strength and bending toughness with two-thirds the amount of polypropylene short fibers that have been used in the past. It has already been applied for the first time to the floor of a parts storage area at Toyota's Myochi Plant. The two companies plan to continue technology development and implement a manufacturing system by FY2026. In the future, they aim to apply the system to 30,000 cubic meters of fiber-reinforced concrete per year.</t>
    <phoneticPr fontId="1"/>
  </si>
  <si>
    <t>https://www.marklines.com/en/global/10435</t>
    <phoneticPr fontId="1"/>
  </si>
  <si>
    <t>Toyota Motor Corporation (Toyota) launched the Japanese-market version of Lexus' smallest SUV, the LBX, on November 9. The company began accepting orders on the same day and sales of the model are planned around the end of December. In addition to the "Cool" and "Relax" grades lineup, 100 "Bespoke Build" units, which allow users to customize various interior and exterior items themselves, will be sold by lottery. The vehicle measures 4,190 mm (length) x 1,825 mm (width) x 1,545 mm (height) and has a wheelbase of 2,580 mm. For the powertrains, hybrid systems only are available, using 1.5L 3-cylinder engines. Each grade is available as either a 2WD model with a front motor or an AWD model with front and rear motors. The bipolar nickel-metal hydride battery used in the hybrid system will be produced by Toyota Industries Corporation at its Kyowa and Ishihama plants.</t>
    <phoneticPr fontId="1"/>
  </si>
  <si>
    <t>https://www.marklines.com/en/global/10436</t>
    <phoneticPr fontId="1"/>
  </si>
  <si>
    <t>https://www.marklines.com/en/global/495</t>
    <phoneticPr fontId="1"/>
  </si>
  <si>
    <t>Shizuoka</t>
  </si>
  <si>
    <t>Suzuki Motor Corporation (Suzuki) announced on November 9 that it will launch the fully remodeled all-new Spacia and the all-new Spacia Custom (a Spacia derivative) in Japan on November 22. The two models are both high-roof-type wagon minicars, and the new models are the third generation of each. The two models will be produced at the Kosai Plant, as was the case with the previous model, and the combined sales volume of the two models is targeted at 12,000 units per month. Both new models have been redesigned with a container motif, and the multi-use flap with three functions, including an ottoman function, has been adopted to improve rear seat comfort. All models feature a mild hybrid powertrain with a 0.66-liter naturally-aspirated (NA) engine (R06D) for the Spacia and two engine types, including the R06A and a 0.66-liter turbocharged engine (R06A), for the Spacia Custom.</t>
    <phoneticPr fontId="1"/>
  </si>
  <si>
    <t>https://www.marklines.com/en/global/505</t>
    <phoneticPr fontId="1"/>
  </si>
  <si>
    <t>Yamaguchi</t>
  </si>
  <si>
    <t>According to a MarkLines survey, Mazda Motor Corporation (Mazda) plans to launch the CX-80 and CX-70 crossover SUVs in 2024. Both models will be produced at the Hofu Plant No. 2. The CX-80 will be introduced in the Japanese and European markets, and the CX-70 in the U.S. market. Mazda announced its plan to expand its crossover SUV product lineup in 2021 and said that it would introduce five new models - the CX-50, CX-60, CX-70, CX-80, and CX-90 - between 2022 and 2023. Three of the five models, the CX-50, CX-60, and CX-90, are already on the market.</t>
    <phoneticPr fontId="1"/>
  </si>
  <si>
    <t>AESC Group Ltd. (AESC Group), a leading automotive battery manufacturer, started operations at its new global headquarters in Yokohama, Kanagawa Prefecture, on November 6. The new headquarters is located at K-Tower Yokohama, 6-2-12 Minatomirai, Nishi Ward, Yokohama City, Kanagawa Prefecture, following relocation from Zama City, Kanagawa Prefecture. The global headquarters also serves as the headquarters of AESC Japan Ltd., a subsidiary of AESC Group.</t>
    <phoneticPr fontId="1"/>
  </si>
  <si>
    <t>Master Transportation</t>
    <phoneticPr fontId="1"/>
  </si>
  <si>
    <t>https://www.marklines.com/en/global/8664</t>
    <phoneticPr fontId="1"/>
  </si>
  <si>
    <t>Ryobi Holdings Co., Ltd. (Ryobi Holdings, headquartered in Okayama Prefecture, Japan) signed a memorandum of understanding (MOU) agreement with Master Transportation Bus Manufacturing Ltd. (Master Transportation Bus) of Taiwan for the exclusive sales of EV buses. With this agreement, Ryobi Holdings will acquire exclusive rights to sell Master Transportation Bus’s EV buses in Japan. The company is aiming to sell more than 1,000 fast-charging EV buses by 2025.</t>
    <phoneticPr fontId="1"/>
  </si>
  <si>
    <t>https://www.marklines.com/en/global/2435</t>
    <phoneticPr fontId="1"/>
  </si>
  <si>
    <t>On November 13, Hyundai Motor Company held a groundbreaking ceremony for a new electric vehicle (EV) plant at its complex in Ulsan.  The EV-dedicated facility will be Hyundai Motor’s first new plant in Korea in 29 years, following the opening of the Asan plant in 1996. With the new plant, Hyundai Motor’s Ulsan Plant complex will become a  base of future mobility production. Hyundai Motor’s new EV-dedicated plant in Ulsan will form part of a 548,000 square meters site with a capacity to produce 200,000 EVs per year.　Approximately KRW 2 trillion (USD 1.53 billion) will be invested in the project, with full-scale construction set to begin in the fourth quarter of this year. The construction is scheduled to be completed in 2025, and vehicle mass production will commence in the first quarter of 2026. An electric SUV from Hyundai Motor Group luxury brand, Genesis, will be the first model to be produced at the new plant. Hyundai Motor plans to apply an innovative manufacturing platform that was developed by the Hyundai Motor Group Innovation Center in Singapore (HMGICS) at its dedicated EV plant in Ulsan. HMGICS’ manufacturing innovation platform includes demand-driven, AI-based intelligent control systems; eco-friendly, low-carbon construction methods and human-friendly facilities.</t>
    <phoneticPr fontId="1"/>
  </si>
  <si>
    <t>Volkswagen revealed additional details for the ID.7 fully electric premium mid-size sedan, its flagship electric vehicle. The ID.7 features an 82-kWh (gross) lithium-ion battery enabling a range of 386 miles under the WLTP standards. The Volkswagen ID.7 is currently available in European markets. The North American version of the Volkswagen ID.7 is expected to launch in 2024. Both the North American and European market versions of the ID.7 will be produced at Emden, Germany.</t>
    <phoneticPr fontId="1"/>
  </si>
  <si>
    <t>Canoo</t>
    <phoneticPr fontId="1"/>
  </si>
  <si>
    <t>https://www.marklines.com/en/global/10687</t>
    <phoneticPr fontId="1"/>
  </si>
  <si>
    <t>Oklahoma</t>
  </si>
  <si>
    <t>Canoo Inc. announced that it had completed its first deliveries of its electric vehicles made in Oklahoma for the state. The deliveries mark the first step of Canoo’s phased-ramp manufacturing in Oklahoma. The company will deliver its Lifestyle Delivery Vehicle (LDV) models to fleet customers and partners in 2023 and will ramp up production in 2024.</t>
    <phoneticPr fontId="1"/>
  </si>
  <si>
    <t>https://www.marklines.com/en/global/10491</t>
    <phoneticPr fontId="1"/>
  </si>
  <si>
    <t>https://www.marklines.com/en/global/10471</t>
    <phoneticPr fontId="1"/>
  </si>
  <si>
    <t>On November 10, Proterra Inc. announced that it has successfully concluded the “Track B” auction of its Chapter 11 sales process and Volvo Battery Solutions LLC is the winning bidder to acquire the Proterra Powered business line at a purchase price of USD 210 million. The assets to be acquired include a development center for battery modules and packs in California and an assembly factory in South Carolina. With this acquisition, the Volvo Group seeks to complement its current battery-electric road map and accelerate its future. The transaction between Proterra Inc. and Proterra Operating Company as sellers and Volvo is subject to approval by the bankruptcy court in the US. Closing of the transaction, which is expected early 2024, will be subject to merger clearance and certain other conditions. Proterra will seek the bankruptcy court’s approval of the acquisition on November 28, 2023. The “Track A” Auction for Proterra’s Transit and Energy business lines, including its Valence fleet and energy management product, is scheduled to take place on November 13, 2023.</t>
    <phoneticPr fontId="1"/>
  </si>
  <si>
    <t>https://www.marklines.com/en/global/10462</t>
    <phoneticPr fontId="1"/>
  </si>
  <si>
    <t>Proterra</t>
    <phoneticPr fontId="1"/>
  </si>
  <si>
    <t>On November 10, Geely announced on the HKEX that Zeekr, a premium electric vehicle sub-brand, has filed a registration statement with the United States Securities and Exchange Commission (SEC) and plans to go public on the NYSE. According to the announcement, the timing of Zeekr’s offering depends on market conditions and is subject to SEC pronouncement. The number and amount of American Depositary Shares to be offered and sold are yet to be determined.</t>
    <phoneticPr fontId="1"/>
  </si>
  <si>
    <t>Reported on November 9, Changan Automobile held the groundbreaking ceremony for a production plant for EVs at the WHA Industrial Estate Eastern Seaboard 4 in Rayong, Thailand. The total investment of the project will reach over THB 20 billion when combined with the second phase. The annual production capacity will also increase from 100,000 vehicles to 200,000 vehicles. Spanning over 1,500-rai area, this plant will support various stages of car production such as painting work, assembling car body, engine, or battery, etc.</t>
    <phoneticPr fontId="1"/>
  </si>
  <si>
    <t>On November 9, Huawei officially launched an intelligent mobility solution and started accepting pre-orders for the Luxeed S7 mid-to-large-size battery electric sedan, the first model co-developed with Chery. Based on the next-generation DriveONE 800V silicon carbide platform, the Luxeed S7 is the first to be equipped with the new Huawei Tuling intelligent chassis, delivering a 0 to 100km/h acceleration of only 3.3 seconds and a CLTC combined range of over 800km. The vehicle rides on the HarmonyOS 4 system.</t>
    <phoneticPr fontId="1"/>
  </si>
  <si>
    <t>On November 9, Chery officially unveiled the new Fulwin New Energy Vehicle (NEV) lineup and made the global debut of the Fulwin A9 and T11 concept models. Powered by the Chery Power C-DM super hybrid technology, the Fulwin models have a top speed of 240km/h, a WLTC feeder fuel consumption of only 4.2L/100km, a WLTC electric-mode range of over 200km, and a WLTC combined range of over 1,400km. In the next two years, Chery plans to introduce 11 new Fulwin models and create hybrid technologies and products meeting global users’ requirements.</t>
    <phoneticPr fontId="1"/>
  </si>
  <si>
    <t>https://www.marklines.com/en/global/4003</t>
    <phoneticPr fontId="1"/>
  </si>
  <si>
    <t>On November 8, at the 2023 China Commercial Vehicles Show (CCVS), Dongfeng Yufeng introduced the new V9E small wide-body battery electric bus. The V9E comes standard with a CATL lithium-iron phosphate battery with a capacity of 77kWh, 86kWh, 89kWh, or 100kWh, delivering a maximum range of over 350km. The in-house developed permanent magnet synchronous motor delivers a maximum power of 115kW and a peak torque of 350Nm.</t>
    <phoneticPr fontId="1"/>
  </si>
  <si>
    <t>https://www.marklines.com/en/global/10034</t>
    <phoneticPr fontId="1"/>
  </si>
  <si>
    <t>Reported on November 2, Toyota Daihatsu Engineering &amp; Manufacturing (TDEM) revealed that its engineers have been working on adapting Toyota electric pickups to local conditions and building up EV R&amp;D capacity in Thailand. This followed the introduction of Toyota Hilux electric pickup in 2022, of which the commercial sales plan has yet to be disclosed. A small batch of electric pickups are prepared to be trialed in Pattaya in early 2024 and tested for use as public transit. </t>
    <phoneticPr fontId="1"/>
  </si>
  <si>
    <t>https://www.marklines.com/en/global/933</t>
    <phoneticPr fontId="1"/>
  </si>
  <si>
    <t>Announced on November 1, the Mercedes-Benz Production Plant in Pekan, Malaysia has celebrated the 100,000th production unit of Mercedes-Benz passenger car. The carmaker said it is committed to boosting the local economy with continuous investment efforts of over MYR 500 million to date in its Pekan plant. Mercedes-Benz and its contract manufacturing partner HICOM Automotive are working towards a Green Production Target for the production plant while increasing the percentage of renewable energy in its production. This includes the aspiration to increase its renewable energy source from 30% (current) to 85% by the end of the decade.</t>
    <phoneticPr fontId="1"/>
  </si>
  <si>
    <t>https://www.marklines.com/en/global/10740</t>
    <phoneticPr fontId="1"/>
  </si>
  <si>
    <t>On October 31, PT Hyundai Motors Indonesia (HMID) mentioned that currently, the PT Hyundai Motor Manufacturing Indonesia (HMMI) facility has increased the production capacity of the IONIQ 5 BEV to 20,000 units per year. HMMI also aims to improve its facility to be able to produce up to 70,000 units of electric vehicles annually in 2024. Moreover, HMID also scheduled Hyundai's battery system and battery cell facilities in Indonesia to begin operations in April 2024. Hyundai's next locally-made EV model will be equipped with batteries made in Indonesia and sold at an economical price in H1/2024. The plan will also fulfil the TKDN (domestic production components) level, and the ratio of components produced in ASEAN. Therefore, the Indonesia-made Hyundai EVs equipped with the Indonesia-made will be eligible for tax rebates in Indonesia and exports abroad, especially to countries in Southeast Asia.</t>
    <phoneticPr fontId="1"/>
  </si>
  <si>
    <t>https://www.marklines.com/en/global/9975</t>
    <phoneticPr fontId="1"/>
  </si>
  <si>
    <t>https://www.marklines.com/en/global/10428</t>
    <phoneticPr fontId="1"/>
  </si>
  <si>
    <t>https://www.marklines.com/en/global/3493</t>
    <phoneticPr fontId="1"/>
  </si>
  <si>
    <t>Tianjin</t>
  </si>
  <si>
    <t>Multiple press releases dated November 9 showed that FAW Toyota recently issued a letter to dealers, stating that the latest supply and demand adjustment plan has been officially developed to alleviate inventory and financial pressure on all its dealer partners. According to the plan, after slashing October and November 2023 production, FAW Toyota has slashed production for December 2023 through February 2024, specifically to 66,000 units for December, to 60,000 units for January, and to 38,000 units for February.</t>
    <phoneticPr fontId="1"/>
  </si>
  <si>
    <t>Dayun</t>
    <phoneticPr fontId="1"/>
  </si>
  <si>
    <t>https://www.marklines.com/en/global/9514</t>
    <phoneticPr fontId="1"/>
  </si>
  <si>
    <t>Shanxi</t>
  </si>
  <si>
    <t>On November 9, Yuanhang Auto held a ceremony to commemorate the Y6 large luxury executive sedan rolling off the production line in Yuncheng, Shanxi. The first batch was successfully delivered.</t>
    <phoneticPr fontId="1"/>
  </si>
  <si>
    <t>On November 8, 2023, it was reported that metalworkers at Brazilian plants of GM, Sao Jose dos Campos, Sao Caetano do Sul and Mogi das Cruzes have decided to stop strike and returned to work on November 8th after reaching an agreement with the company, the union representatives said in a statement. The Sindmetal union said that workers at the plants had voted to approve the deal after GM agreed to cancel the 1,245 layoffs it had made at the factories.</t>
    <phoneticPr fontId="1"/>
  </si>
  <si>
    <t>https://www.marklines.com/en/global/3621</t>
    <phoneticPr fontId="1"/>
  </si>
  <si>
    <t>On November 8, the SAIC-GM Software and Digital Business Organization (SDBO) was officially established in Jinqiao Town, Pudong New District, Shanghai. The establishment of the SDBO will accelerate the development and iteration of cutting-edge intelligent connectivity technologies and the rapid implementation of localized applications. Based on “cloud-channel-terminal” technologies and business requirements, the SDBO will focus on creating a vehicle-cloud coordinated organizational structure and accelerating the deep integration of digitalization and intelligentization into vehicles.</t>
    <phoneticPr fontId="1"/>
  </si>
  <si>
    <t>https://www.marklines.com/en/global/2253</t>
    <phoneticPr fontId="1"/>
  </si>
  <si>
    <t>On November 8, Stellantis announced that Opel is aiming to launch at least one electric model in each vehicle line-up. The Crossland successor and the new Grandland SUV will fill gaps for battery-electric options. Opel Grandland is based on the STLA Medium platform and will be manufactured in Eisenach, Thuringia in Germany.</t>
    <phoneticPr fontId="1"/>
  </si>
  <si>
    <t>On November 8, SAIC Roewe officially launched the new D7 DMH plug-in hybrid and D7 EV battery electric sedans. Powered by a 1.5L DMH dedicated hybrid engine (82kW/135Nm), the DMH super hybrid system (150kW/330Nm), and a 21.4kWh lithium-iron phosphate battery, the D7 DMH has a CLTC electric-mode range of 125km, a CLTC combined range of 1,400km, and a CLTC fuel consumption of 4.3L/100km at the lowest charge. The D7 EV has CLTC electric-mode ranges of 510km and 610km. The 510km-range variants are equipped with a 59.2kWh CATL flame-retardant lithium-iron phosphate battery and deliver a maximum power of 145kW and a peak torque of 310Nm. All the variants have an RWD layout and a top speed of 170km/h.</t>
    <phoneticPr fontId="1"/>
  </si>
  <si>
    <t>On November 7, GWM announced that If Technology, a subsidiary, recently debuted a liquid hydrogen heavy truck at the 6th China International Import Expo (CIIE) through online virtual reality. The vehicle is now undergoing road testing. The truck is equipped with the Jupiter in-vehicle liquid hydrogen storage system from Ftxt Energy Technology Co., Ltd., which adopts “technologies for in-vehicle liquid hydrogen storage and supply under supercritical pressure”.</t>
    <phoneticPr fontId="1"/>
  </si>
  <si>
    <t>https://www.marklines.com/en/global/9129</t>
    <phoneticPr fontId="1"/>
  </si>
  <si>
    <t>On November 6, BAIC announced that the new BJ40, positioned as an all-scenario off-road SUV, recently officially rolled off the production line at its off-road vehicle (ORV) branch. The model further complements BAIC’s ORV lineup.</t>
    <phoneticPr fontId="1"/>
  </si>
  <si>
    <t>On November 6, Dongfeng Motor (DFM) announced the implementation of a New Energy project and the establishment of an R&amp;D institute and a “1+n” R&amp;D system for a comprehensive enhancement in the R&amp;D efficiency. This marks DFM’s another important move to promote its three-year action on transformation and upgrading following the 2023 implementation of the “Tech Advance” plan for New Energy passenger vehicles. The “1” represents the R&amp;D institute, which, based on the existing DFM technology center, has been adjusted to establish seven centers including a technology planning center, an advanced material and forward-looking technology research center, a software engineering research center, and a styling design center. With a total investment amount of CNY 520 million, the styling design center has broken ground in Wuhan, Hubei and is expected to be commissioned in 2025. The R&amp;D institute will undertake technology planning for and R&amp;D of all DFM passenger vehicles, specifically the development of general technologies in areas such as styling, architecture, powertrains, intelligent software, advanced materials, and verification. The institute will build up a technical reserve for full-cycle management and execution from technology production to application. In addition, it will be directly responsible for the development of DFPV (Dongfeng Motor Corporation Passenger Vehicle Co.) and M-Hero (Mengshi Automobile Technology Co.) products. The “n” signifies the R&amp;D capabilities of various DFM business divisions. Under the unified management of the R&amp;D institute, the divisions will be assigned tasks such as adaptability development.</t>
    <phoneticPr fontId="1"/>
  </si>
  <si>
    <t>EV Motors Japan</t>
    <phoneticPr fontId="1"/>
  </si>
  <si>
    <t>https://www.marklines.com/en/global/10698</t>
    <phoneticPr fontId="1"/>
  </si>
  <si>
    <t>Fukuoka</t>
  </si>
  <si>
    <t>According to the official website of EV Motors Japan Co., Ltd., the final assembly plant for commercial EVs is scheduled to start operations in the winter of 2023. The original plan was to start operations in the fall of 2023.</t>
    <phoneticPr fontId="1"/>
  </si>
  <si>
    <t>Toyota Motor Corporation announced the launch of the 16th generation Crown series, sedan type, in Japan on November 2. Order taking began on the same day and the product will go on sale November 13. The 16th generation Crown has four body types including sedan and SUV. The body size of the announced sedan is 5,030 mm (L) x 1,890 mm (W) x 1,475 mm (H) (without the panorama roof). The wheelbase is set at 3 meters, creating a spacious rear seat space to meet the needs of chauffeured cars. Fuel cell and hybrid versions are available, and monthly sales of 600 units are targeted. The FCV (fuel cell vehicle) is equipped with three high-pressure hydrogen tanks, fuel cells, etc., and can travel approximately 820km per hydrogen refill. The hybrid vehicle (HV) version is equipped with a newly developed 2.5-liter multi-stage hybrid system that delivers a maximum system output of 180kW. </t>
    <phoneticPr fontId="1"/>
  </si>
  <si>
    <t>https://www.marklines.com/en/global/2461</t>
    <phoneticPr fontId="1"/>
  </si>
  <si>
    <t>On November 9, UAW Local 598 members at GM’s Flint Assembly Plant announced they narrowly voted against a proposed contract with the automaker, with 51.8% of votes cast against the proposed deal, signaling that approval of the deal is not guaranteed. Workers at GM’s other plants are expected to vote to ratify the agreement in coming weeks.</t>
    <phoneticPr fontId="1"/>
  </si>
  <si>
    <t>https://www.marklines.com/en/global/873</t>
    <phoneticPr fontId="1"/>
  </si>
  <si>
    <t>Néstor Eduardo Garza Álvarez, the head of the Ministry of Labor and Social Welfare (STPS) of the State Government of San Luis Potosí, Mexico, has indicated the potential for a three-day technical shutdown at the GM plant in the state on November 18, 19 and 20 affecting only a portion of the workforce. This is attributed to issues at the customs of the Port of Veracruz, Mexico.</t>
    <phoneticPr fontId="1"/>
  </si>
  <si>
    <t>https://www.marklines.com/en/global/10054</t>
    <phoneticPr fontId="1"/>
  </si>
  <si>
    <t>On November 24, the UK Government awarded GBP 15 million of funding for a GBP 30 million collaborative project led by Nissan, to strengthen the technical expertise and R&amp;D zero emission vehicle capability of the Nissan Technical Centre (NTCE) in Cranfield, Bedfordshire, and to secure the UK R&amp;D investment in future vehicle models.</t>
    <phoneticPr fontId="1"/>
  </si>
  <si>
    <t>https://www.marklines.com/en/global/10401</t>
    <phoneticPr fontId="1"/>
  </si>
  <si>
    <t>On November 24, Nissan announced the implementation of the EV36Zero project at its Sunderland plant in the United Kingdom. Sunderland EV36Zero project, which is Nissan's blueprint for future manufacturing, will consist of three electric vehicles (EVs), three gigafactories, and up to GBP 3 billion investment. Nissan's EV36Zero project includes the production of all-electric versions of Qashqai, JUKE crossovers, and next-generation LEAF in its Sunderland plant, with an investment of up to GBP 1.12 billion into its operations, R&amp;D, and manufacturing of new models. Nissan announced that its future models will be inspired by Nissan's Hyper Urban, Hyper Punk, and Chill-Out concept models. Nissan also announced a new gigafactory to support the Sunderland plant, as well as a Sunderland City Council-initiated Microgrid for delivering 100% renewable electricity to Nissan, incorporating Nissan's existing wind and solar farms. The additional two models, alongside a new gigafactory and further investment for infrastructure projects, will result in an investment of up to GBP 2 billion.</t>
    <phoneticPr fontId="1"/>
  </si>
  <si>
    <t>https://www.marklines.com/en/global/2361</t>
    <phoneticPr fontId="1"/>
  </si>
  <si>
    <t>Faraday Future</t>
    <phoneticPr fontId="1"/>
  </si>
  <si>
    <t>https://www.marklines.com/en/global/9603</t>
    <phoneticPr fontId="1"/>
  </si>
  <si>
    <t>On November 23, Faraday Future Intelligent Electric Inc. (Faraday Future) announced its entry into the Middle East market with the signing of strategic cooperation agreements with Master Investment Group and Siraj Holding LLC and the launch of the FF brand. The company plans to launch a limited-edition model, the FF 91 2.0 Futurist aiFalcon, tailored to the Middle East market, with delivery targeted in 2024. In this strategic cooperation agreement, Sheikh Abdullah bin Mohamed Al Qassimi and the Siraj Holding LLC Chairman Mr. Ahmed Khalaf Ahmed Khalaf Otaiba will join Faraday Future’s global advisory Board as well as become board directors of FF Middle East.</t>
    <phoneticPr fontId="1"/>
  </si>
  <si>
    <t>https://www.marklines.com/en/global/10523</t>
    <phoneticPr fontId="1"/>
  </si>
  <si>
    <t>On November 23, Valmet Automotive with Telia, one of Finland's leading ICT companies, announced that it is testing a globally pioneering robot technology that enables experts to collaborate in real-time. A service robot has made a lidar scan and built a virtual world of the 70-square-meter robot welding cell at the Innovation Center of Uusikaupunki car plant, where the company is developing solutions to meet the future needs of the car plant. The testing is part of the MURO innovation project by VTT and Telia to test the potential of 5G robots.</t>
    <phoneticPr fontId="1"/>
  </si>
  <si>
    <t>On November 23, multiple sources reported that Stellantis committed to providing its Vigo factory, Spain, with the new electric platform scheduled for 2027-28, as confirmed during the seventh negotiation meeting for the collective agreement. The consortium assures the Vigo production center will receive the next architecture for electric models, likely the STLA Small.</t>
    <phoneticPr fontId="1"/>
  </si>
  <si>
    <t>https://www.marklines.com/en/global/1510</t>
    <phoneticPr fontId="1"/>
  </si>
  <si>
    <t>On November 23, Renault Trucks started series production of its heavy-duty electric trucks, the Renault Trucks E-Tech T and C at its Bourg-en-Bresse plant in France. The 44 tonnes E-Tech T and C can be equipped with two or three electric motors, delivering combined power of up to 490 kW. The vehicles can also be fitted with four to six lithium-ion battery packs providing 390 to 540 kWh of power, offering a range of up to 300 km on a full charge and up to 500 km with an intermediate fast charge (250 kW) lasting one hour (for a vehicle fitted with 6 battery packs). The batteries can be recharged by AC up to 43 kW, or DC up to 250 kW. The battery cells and modules of the vehicles are supplied by Samsung SDI, which are assembled in Volvo Group’s Ghent plant in Belgium.</t>
    <phoneticPr fontId="1"/>
  </si>
  <si>
    <t>Renault Trucks</t>
    <phoneticPr fontId="1"/>
  </si>
  <si>
    <t>https://www.marklines.com/en/global/109</t>
    <phoneticPr fontId="1"/>
  </si>
  <si>
    <t>On November 21, Great Wall Motor (GWM) introduced GWM WEY 03 to the European market. The vehicle, formerly known as the WEY COFFEE 02, will officially debut in Rome. The C-segment vehicle is 4.7 meters long and has a 2.745-meter wheelbase and 1.73-meter height. The GWM WEY 03 features a plug-in hybrid powertrain. The hybrid system incorporates lithium-ion batteries from SVOLT. The battery's storage capacity is 34 kWh, resulting in an electric range of 136 km. The European variant features a 2.0-liter turbocharged engine with 204 hp coupled with a nine-speed transmission. The system output of the plug-in hybrid drive with AWD is 442 hp, and the maximum torque is 685 Nm.</t>
    <phoneticPr fontId="1"/>
  </si>
  <si>
    <t>https://www.marklines.com/en/global/2833</t>
    <phoneticPr fontId="1"/>
  </si>
  <si>
    <t>On November 21 Stellantis Brazil announced that its plant in Betim reached the production of 500,000 Fiat Argo. This model started to be manufactured in 2017 and since then it has been a success, being exported to other 10 countries in Latin America like Argentina, Chile, Colombia, among others.</t>
    <phoneticPr fontId="1"/>
  </si>
  <si>
    <t>Yangwang</t>
    <phoneticPr fontId="1"/>
  </si>
  <si>
    <t>On November 17, at the Auto Guangzhou 2023, Yangwang Auto, a BYD sub-brand, launched the Yangwang Supercar Platform (YSP) and an e4 Platform-based concept vehicle. The brand also exhibited the U8 Premium Edition plug-in hybrid off-road SUV and the U9 electric sportscar. The U9, the first vehicle to be equipped with the YSP, boasts a power of over 1,300PS.</t>
    <phoneticPr fontId="1"/>
  </si>
  <si>
    <t>https://www.marklines.com/en/global/4311</t>
    <phoneticPr fontId="1"/>
  </si>
  <si>
    <t>On November 17, at the Auto Guangzhou 2023, Kia debuted and launched the new EV5 compact battery electric SUV. Powered by a permanent magnet synchronous motor (total power 160kW and total torque 310Nm) and a 64.2kWh lithium-iron phosphate battery, the standard-range EV5 has an FWD layout and delivers a CLTC range of 530km and a top speed of 185km/h. Models such as the EV6 midsize battery electric crossover SUV were exhibited as well.</t>
    <phoneticPr fontId="1"/>
  </si>
  <si>
    <t>On November 17, at the Auto Guangzhou 2023, GAC Toyota officially unveiled the new Crown and the new Prado, of which the former will be launched in 2024 and the latter will be available for pre-order after the 2024 Spring Festival. The new Prado riding on the same GA-F platform. The 2.4T super hybrid system and the Direct Shift 8-speed automatic transmission enable a maximum power of 243kW and a peak torque of 630Nm. The new Prado is equipped with a full-time 4WD system, an electronically controlled mechanical rear axle differential lock, and, for the first time, systems such as EPS (Electronic Power Steering). Based on the GA-L platform, and powered by a Toyota-pioneered 2.5L multi-stage hybrid system containing a 2.5L engine and two motors, the new Crown delivers a maximum system power of 179kW and a WLTC combined fuel consumption of 6.24L/100km.</t>
    <phoneticPr fontId="1"/>
  </si>
  <si>
    <t>https://www.marklines.com/en/global/4215</t>
    <phoneticPr fontId="1"/>
  </si>
  <si>
    <t>https://www.marklines.com/en/global/3437</t>
    <phoneticPr fontId="1"/>
  </si>
  <si>
    <t>On November 17, at the Auto Guangzhou 2023, Beijing Hyundai debuted models including the 11th-generation Sonata sedan and the 5th-generation Santa Fe SUV. The 11th-generation Sonata is equipped with a fully in-house developed powertrain containing an 8-speed automatic transmission and a 1.5T or 2.0T engine, delivering a maximum power of 250PS. It comes with configurations such as the Hyundai Smartsense safety system, providing up to 27 ADAS features.</t>
    <phoneticPr fontId="1"/>
  </si>
  <si>
    <t>https://www.marklines.com/en/global/3435</t>
    <phoneticPr fontId="1"/>
  </si>
  <si>
    <t>https://www.marklines.com/en/global/4001</t>
    <phoneticPr fontId="1"/>
  </si>
  <si>
    <t>On November 17, at the Auto Guangzhou 2023, Dongfeng Nissan debuted the Pathfinder flagship SUV and unveiled the new Chinese name of the vehicle, Tanlu. Official launch will be in Q1 2024. In the next three years, Nissan will launch four locally developed New Energy Vehicles in China, including battery electric and hybrid sedans and SUVs. The launch of the first model will be in 2024. The automaker also plans pilot mass production of an all-solid-state battery in 2024, with launch before 2028.</t>
    <phoneticPr fontId="1"/>
  </si>
  <si>
    <t>https://www.marklines.com/en/global/3475</t>
    <phoneticPr fontId="1"/>
  </si>
  <si>
    <t>https://www.marklines.com/en/global/609</t>
    <phoneticPr fontId="1"/>
  </si>
  <si>
    <t>On November 23, Mercedes-Benz South Africa announced that it is investing ZAR 100 million in Phase 2 of a solar power project at its East London manufacturing plant. The expansion involves installing additional 22,847 photovoltaic solar panels, bringing the total to 26,539 panels with a capacity of 14.6 MWp. The initiative aims to convert sunlight into electricity, contributing to the company's carbon footprint reduction in line with the plant's maximum demand during production.</t>
    <phoneticPr fontId="1"/>
  </si>
  <si>
    <t>https://www.marklines.com/en/global/10591</t>
    <phoneticPr fontId="1"/>
  </si>
  <si>
    <t>Karnataka</t>
  </si>
  <si>
    <t>On November 23, Stellantis opened a state-of-the-art Dolby Atmos 9.1.6 qualified immersive audio lab in Bengaluru, India. The lab focuses on audio reference, production, and quality assurance. The lab boasts an array of features, including exceptional levels of control over reverberation time (RT), achieving an impressive 0.5 seconds in low frequencies, and maintaining a linear 0.2 seconds from mid to high frequencies. The Stellantis Immersive Audio Lab is housed within the software center in Bengaluru, India.</t>
    <phoneticPr fontId="1"/>
  </si>
  <si>
    <t>https://www.marklines.com/en/global/2249</t>
    <phoneticPr fontId="1"/>
  </si>
  <si>
    <t>On November 22, VGP Group, European based logistics provider and semi-industrial real estate, announced that it has, purchased three plots in Rüsselsheim am Main, Germany, totaling over 700,000 square meters from Stellantis. Stellantis is optimizing its Opel production site in the Rüsselsheim plant. The company is initially leasing back the properties before gradually releasing them for redevelopment.</t>
    <phoneticPr fontId="1"/>
  </si>
  <si>
    <t>https://www.marklines.com/en/global/2251</t>
    <phoneticPr fontId="1"/>
  </si>
  <si>
    <t>On November 22, multiple sources reported that PowerCo Spain commences preliminary work on its battery cell gigafactory in Sagunto, Valencia. The initial phase involves establishing connections for electricity, water, and telecommunications. Investing EUR 3,000 million in Sagunto, the facility aims to start producing cells by 2026.</t>
    <phoneticPr fontId="1"/>
  </si>
  <si>
    <t>On November 22, Motorinvest announced the start of official sales of the exclusive VOYAH DREAM minivan in a top-end four-seater version with a hybrid powertrain. It comes with two electric motors and a 1.5-liter gasoline engine with a total power of 394 hp and a torque of 610 Nm. The total range of VOYAH DREAM will be 750 km.</t>
    <phoneticPr fontId="1"/>
  </si>
  <si>
    <t>Avtotor</t>
    <phoneticPr fontId="1"/>
  </si>
  <si>
    <t>On November 22, Avtotor and Galaktika Corporation announced a strategic cooperation. The planned volume of investment in the project will be about RUB 700 million. The project is aimed at expanding the use of domestic services and platform solutions, as well as import substitution of existing software and hardware systems. It will allow Avtotor to increase the efficiency of management of production and business processes when implementing strategically important investment projects aimed at ensuring the production of high-quality cars, increasing labor productivity, creating additional highly qualified jobs, as well as mastering advanced professional competencies.</t>
    <phoneticPr fontId="1"/>
  </si>
  <si>
    <t>https://www.marklines.com/en/global/10250</t>
    <phoneticPr fontId="1"/>
  </si>
  <si>
    <t>On November 22, Mercedes-Benz Research and Development India (MBRDI) signed a memorandum of understanding (MoU) with the Indian Institute of Science (IISc) for advanced research collaboration. This agreement aims to facilitate joint research, nurture talent, and promote collaborative innovation in sustainable mobility. The partnership will focus on driving engineering transformation and pursuing long-term research-oriented projects by leveraging each other's existing capabilities, including infrastructure and academic programs.</t>
    <phoneticPr fontId="1"/>
  </si>
  <si>
    <t>https://www.marklines.com/en/global/3309</t>
    <phoneticPr fontId="1"/>
  </si>
  <si>
    <t>On November 22, Volkswagen announced that it would increase salaries for production workers at its assembly plant in Chattanooga, Tennessee by 11%, joining other companies after the UAW won significant pay and benefit hikes from the Detroit 3. VW’s pay increase is effective from December, with a compressed wage progression timeline beginning in February 2024.</t>
    <phoneticPr fontId="1"/>
  </si>
  <si>
    <t>On November 19, at the Auto Guangzhou 2023, Changan Auto debuted the Changan Lieshou, the world’s first super range-extended pickup truck. Based on a pioneering intelligent electric 4WD architecture, the Changan Lieshou can freely switch between 2WD and 4WD layouts. Powered by a Blue Core 2.0T range extender (net power 140kW) and dual motors (maximum power 200kW and peak torque 470Nm), the vehicle delivers a starting response time of only 0.4 seconds, a 0 to 100km/h acceleration time of 7.9 seconds, and a CLTC combined range of 1,031km.</t>
    <phoneticPr fontId="1"/>
  </si>
  <si>
    <t>On November 18, at the Auto Guangzhou 2023, Changan Auto held a battery plan launch, where the Golden Shield battery sub-brand was officially introduced and the following plans for the battery business were unveiled. Regarding battery product deployment: - By 2030, introduce eight in-house developed cells including liquid, semi-solid-state, and solid-state variants, and build an annual battery capacity of not less than 150GWh. - Put the inaugural CTV technology into mass production in 2024 and achieve a modularization efficiency greater than or equal to 86%. - Form an industrial closed loop of energy production, storage, and utilization by expanding technology, product, and business models to maximize the value of the full industrial chain. For system capacity building, CNY 10 billion and over 1,200 battery R&amp;D personnel are expected to be invested and assigned. The size of the battery team will reach 3,000 people by 2024.</t>
    <phoneticPr fontId="1"/>
  </si>
  <si>
    <t>On November 17, at the Auto Guangzhou 2023, Arcfox, a BAIC Group sub-brand, exhibited the new Alpha T5 family battery electric SUV. The Alpha T5 has 660km range and equipped with an 800V silicon carbide super charging platform, and 13.9kWh/100km power consumption. The Alpha T5 is powered by a Qualcomm Snapdragon 8155 chip.</t>
    <phoneticPr fontId="1"/>
  </si>
  <si>
    <t>Announced on November 21, Hyundai Motor Group and Motional, a global autonomous technology leader, will jointly develop the all-electric IONIQ 5 robotaxi at Hyundai Motor Group Innovation Center Singapore (HMGICS). The first production-ready IONIQ 5 robotaxis will be deployed as part of Motional’s commercial services in the U.S. from 2024. The IONIQ 5 robotaxi is the world’s first fully-integrated autonomous vehicle to be mass-produced on a smart, flexible cell-based production system. Moreover, it is one of the first SAE Level 4 autonomous vehicles (AVs) to be certified under the U.S. Federal Motor Vehicle Safety Standards (FMVSS). </t>
    <phoneticPr fontId="1"/>
  </si>
  <si>
    <t>https://www.marklines.com/en/global/1287</t>
    <phoneticPr fontId="1"/>
  </si>
  <si>
    <t>On November 21, Toyota Kirloskar Motor signed a memorandum of understanding (MOU) with the Government of Karnataka to enhance its existing operations with an investment of around INR 33 billion involving setting up a new plant in Bidadi near Bangalore with an annual production capacity of 100,000 units. Its third plant in the region will be completed in 2026, and will further generate employment for 2,000 people.</t>
    <phoneticPr fontId="1"/>
  </si>
  <si>
    <t>https://www.marklines.com/en/global/1285</t>
    <phoneticPr fontId="1"/>
  </si>
  <si>
    <t>On November 21, Renault unveiled the next-generation Renault Master van, featuring a high-grade interior similar to passenger vehicles. The vehicle is a multi-energy Aerovan with options for city driving. It is equipped with four Diesel Blue dCi powertrains which generate output ranging from 105 hp to 170 hp and comes with 9-speed automatic or manual gearbox. The full electric versions generate power by 96 kW or 105 kW motor and record payload capacity is 1,625 kg. EV features 40 or 87 kWh batteries providing range of 410 km. The Master accommodates a hydrogen H2-Tech engine and fuel cell in the future. It will be available in spring 2024, made in the Batilly plant, France.</t>
    <phoneticPr fontId="1"/>
  </si>
  <si>
    <t>On November 21, the Hyundai Motor Group Innovation Center Singapore (HMGICS) has officially been opened. This innovation facility centered on R&amp;D features a new ‘smart urban mobility hub’ concept. Its cell-based production and digital twin technology bring unprecedented human-centric manufacturing, with integration between humans, robotics, and AI tech. Operational since early 2023, HMGICS already makes IONIQ 5 and the fully autonomous IONIQ 5 robotaxi and will add IONIQ 6 to its portfolio of models built on-site in 2024. The facility will serve as a testbed for developing future mobility solutions, including Purpose Built Vehicles (PBVs). It has the capability to produce up to 30,000 EVs annually. Approximately 50% of all tasks are carried out by 200 robots, with humans, robotics and AI systems achieving unprecedented levels of collaboration. Robots perform assembly, inspection, and production facility organization, and take care of over 60% of component process management, ordering and transportation.</t>
    <phoneticPr fontId="1"/>
  </si>
  <si>
    <t>https://www.marklines.com/en/global/10759</t>
    <phoneticPr fontId="1"/>
  </si>
  <si>
    <t>On November 21, Ford announced a reduced footprint, workforce, and production capacity for its planned Marshall, Michigan-area EV battery plant, but retaining its goal to open the plant by 2026 with CATL as a partner. While Ford originally planned to produce 35 GWh of batteries annually, the installed capacity will now be 20 GWh, representing a 42% reduction, suggesting a reduction of almost USD 1.5 billion to create USD 2 billion in total investment instead of USD 3.5 billion, and similar to the 2,500 original jobs shrinking to 1,700.</t>
    <phoneticPr fontId="1"/>
  </si>
  <si>
    <t>https://www.marklines.com/en/global/9924</t>
    <phoneticPr fontId="1"/>
  </si>
  <si>
    <t>On November 21, Stellantis announced that steel structural columns have begun to take shape in the ongoing construction of its North America Battery Technology Centre, which will serve as the Stellantis North America hub for development and validation of advanced BEV, PHEV and HEV cells, modules and battery packs. Located at the Automotive Research and Development Centre (ARDC) in Windsor, Ontario, construction is expected to be completed in mid-2024 with operations to begin in Q1 2025.</t>
    <phoneticPr fontId="1"/>
  </si>
  <si>
    <t>https://www.marklines.com/en/global/3187</t>
    <phoneticPr fontId="1"/>
  </si>
  <si>
    <t>On November 20, Nissan Motor Co. said it will increase top wages for production workers, maintenance staff, and tool &amp; die technicians at its U.S. manufacturing plants by 10% effective January 8, covering a total of 9,000 out of the 14,000 workers it has at its Smyrna, Tennessee and Canton, Mississippi assembly plants and engine plant in Decherd, Tennessee. Nissan said it is also eliminating wage tiers for U.S. production workers.</t>
    <phoneticPr fontId="1"/>
  </si>
  <si>
    <t>https://www.marklines.com/en/global/3191</t>
    <phoneticPr fontId="1"/>
  </si>
  <si>
    <t>On November 17, at the Auto Guangzhou 2023, Voyah, started accepting pre-orders for the Zhuiguang PHEV, a plug-in hybrid variant for the new Zhuiguang luxury electric sedan. Based on the SOA architecture, the Zhuiguang PHEV has an intelligent 4WD layout and delivers a total system power of 390kW, a total system torque of 810Nm, a 0 to 100km/h acceleration time of only 5.9 seconds, and an ultra-low WLTC combined fuel consumption of 0.5L/100km. A 43kWh battery completes the powertrain, with CLTC electric-mode and combined ranges of 262km and 1,260km, respectively. The Zhuiguang PHEV comes with features such as a Level 2.9 advanced intelligent driver assistance system.</t>
    <phoneticPr fontId="1"/>
  </si>
  <si>
    <t>On November 17, at the Auto Guangzhou 2023, GAC Trumpchi started accepting pre-orders for the new Trumpchi E8 midsize plug-in hybrid MPV. Based on the X-Soul architecture, and powered by a 2.0L plug-in hybrid engine (103kW/180Nm), a 2-speed dedicated hybrid transmission, and a 25.57kWh ternary lithium magazine battery, the Trumpchi E8 delivers a maximum front motor power of 134kW, a peak front motor torque of 300Nm, a CLTC electric-mode range of 150km, a CLTC combined range of 1,200km, and a WLTC fuel consumption of 5.7L/100km at the lowest charge. The Trumpchi E8 comes standard with a Qualcomm Snapdragon 8155 chip.</t>
    <phoneticPr fontId="1"/>
  </si>
  <si>
    <t>On November 17, at the Auto Guangzhou 2023, Exeed, unveiled and started accepting pre-orders for the Sterra ES, the first mid-to-large-size battery electric sedan of the Sterra New Energy Vehicle lineup. Based on the new E0X electric architecture platform, the Sterra ES delivers a maximum range of over 900km, a 0 to 100km/h acceleration time of only 3.7 seconds, CLTC power consumption of 11.7kWh/100km.</t>
    <phoneticPr fontId="1"/>
  </si>
  <si>
    <t>https://www.marklines.com/en/global/10503</t>
    <phoneticPr fontId="1"/>
  </si>
  <si>
    <t>On November 17, at the Auto Guangzhou 2023, GAC Toyota launched the new Platinum sub-brand and the Platinum 4X, the first Platinum battery electric SUV previously named bZ4X.</t>
    <phoneticPr fontId="1"/>
  </si>
  <si>
    <t>https://www.marklines.com/en/global/9549</t>
    <phoneticPr fontId="1"/>
  </si>
  <si>
    <t>On November 17, JAC announced the opening of two production lines in mid-2024 at its plant in Hidalgo, Mexico, to make a total of 7 production lines and increasing the assembly capacity to a total of 60,000 units per year. The two new assembly lines will be used to manufacture pickups and EV units to supply mainly Mexico, as well as other regions in Latin America.</t>
    <phoneticPr fontId="1"/>
  </si>
  <si>
    <t>On November 21, Kamaz assembled the first anti-sanctions dump truck of the K5 generation "KAMAZ-6595". The production of these heavy trucks was suspended for a year, and now the updated dump truck is again leaving the Kamaz's assembly line. The dump truck's gearbox is equipped with localized components, fuel equipment, and pneumatic brakes, and electric power steering has been replaced. The three-axle truck is powered by a R6 engine with 460 hp. After replacing the components, the assembly procedure remained the same. Now the updated dump truck is waiting to be sent to the company's Scientific and Technical Center, where a series of tests are planned.</t>
    <phoneticPr fontId="1"/>
  </si>
  <si>
    <t>On November 21, VinFast officially launched the VF 7, the 6th smart electric SUV model of VinFast. Priced from VND 999 million (including battery), this C-segment model has overall dimensions of (LWH) 4,545x 1,890x 1,635.75 mm and a wheelbase of 2,840 mm. In terms of performance, VinFast VF 7 Plus version boasts a range of up to 431 km/full charge (WLTP standards). Meanwhile, the VF 7 Base version claims a travel range of 375 km/full charge. VinFast will officially accept deposits for VF 7 cars on December 2. It is expected that the first commercial VF 7s will be delivered to customers by VinFast before the Lunar New Year.</t>
    <phoneticPr fontId="1"/>
  </si>
  <si>
    <t>On November 20, multiple sources reported that AvtoVAZ's President, in a presentation, revealed that AvtoVAZ will start serial production of the LADA e-Largus electric car in the second quarter of 2024. It will be produced in the Izhevsk plant along with the internal combustion engine Largus. AvtoVAZ will also produce a pilot batch of e-Largus in mid-December 2023 in the Izhevsk plant.</t>
    <phoneticPr fontId="1"/>
  </si>
  <si>
    <t>https://www.marklines.com/en/global/9888</t>
    <phoneticPr fontId="1"/>
  </si>
  <si>
    <t>On November 20, multiple sources reported that Regal Automobile (DFSK) launched its first electric vehicle (EV) named Seres 3 5-seater SUV for PKR 9,199 thousand. It comes with a Permanent Magnet Synchronous Motor with a lithium battery capacity of 49.34 kW kWh and can produce a max power of 120 kW and max power of 300 nm. The vehicle has a driving range of up to 400 kms, a charge time of 8 hours, and a quick charging time of 30 minutes (20% to 80%). The vehicle is being locally assembled and the deliveries are slated to begin in March 2024. DFSK is also offering the CBU version of the vehicle for INR 11.8 million.</t>
    <phoneticPr fontId="1"/>
  </si>
  <si>
    <t>On November 17, at the Auto Guangzhou 2023, Wuling Motors officially started accepting pre-orders for the Xingguang, its first compact family sedan. Based on a new native New Energy architecture, the Xingguang rides on the Lingxi hybrid system and is powered by a 1.5L engine (78kW/130Nm) and the 2nd-generation electromagnetic dedicated hybrid transmission, with a maximum motor power of 130kW, a peak motor torque of 320Nm, a front-engine FWD layout, and a top speed of 145km/h. 9.5 kWh and 20.5kWh Shenlian lithium-iron phosphate batteries complete the respective powertrains of the 70km- and 150km-range variants, delivering respective WLTC fuel consumption of 3.98L/100km and 4.09L/100km at the lowest charge and a WLTC combined range of over 1,100km. The Xingguang comes standard with active safety assistance configurations such as ESC (Electronic Stability Control), auto hold, and cruise control.</t>
    <phoneticPr fontId="1"/>
  </si>
  <si>
    <t>Nammi</t>
    <phoneticPr fontId="1"/>
  </si>
  <si>
    <t>https://www.marklines.com/en/global/10725</t>
    <phoneticPr fontId="1"/>
  </si>
  <si>
    <t>On November 17, at the Auto Guangzhou 2023, Dongfeng Nammi, a Dongfeng Motor sub-brand, unveiled and officially started accepting pre-orders for the Nammi 01, its first small battery electric vehicle (BEV). Based on the Dongfeng Quantum Architecture 3.0 platform, the Nammi 01 is powered by the Mach-E 10-in-1 electric drive assembly. The vehicle delivers a maximum power of 70kW, a peak torque of 160Nm, and a top speed of 140km/h. The Nammi 01 comes with features such as a Level intelligent driver assistance system.</t>
    <phoneticPr fontId="1"/>
  </si>
  <si>
    <t>https://www.marklines.com/en/global/3433</t>
    <phoneticPr fontId="1"/>
  </si>
  <si>
    <t>On November 17, at the Auto Guangzhou 2023, Li Auto unveiled and started accepting pre-orders for the Mega, its first mid-to-large-size battery electric MPV. The Mega is equipped with an intelligent dual-motor 4WD system, delivering a total maximum power of 400kW, a total peak torque of 542Nm, and a 0 to 100km/h acceleration time of 5.5 seconds. It includes the debut of a CATL Qilin 5C battery, and a CLTC power consumption of 15.9kWh/100km.</t>
    <phoneticPr fontId="1"/>
  </si>
  <si>
    <t>Leapmotor</t>
    <phoneticPr fontId="1"/>
  </si>
  <si>
    <t>https://www.marklines.com/en/global/9553</t>
    <phoneticPr fontId="1"/>
  </si>
  <si>
    <t>On November 17, at the Auto Guangzhou 2023, Leapmotor officially unveiled the C10, its first global model. The vehicle will be available for pre-order and delivery in January and March 2024, respectively. The C10, the first mid-to-large-size SUV based on the LEAP 3.0 architecture, is equipped with the LPEE 3.0 architecture, the CTC (Cell-to-Chassis) 2.0 technology, and an AI battery management system. The C10 comes with features such as a Qualcomm Snapdragon 8295 chip-powered intelligent cockpit.</t>
    <phoneticPr fontId="1"/>
  </si>
  <si>
    <t>On November 17, at the Auto Guangzhou 2023, Zeekr made the global debut of and officially started accepting pre-orders for the 007, its first luxury battery electric sedan. Based on a full-stack 800V architecture, the 007 is the first Chinese sedan to adopt an integrated die cast rear-end aluminum body. It is equipped with a ternary lithium battery pack, delivering a 0 to 100km/h acceleration time of only 2.84 seconds (5.4 seconds for the RWD variant), a CLTC combined range of up to 870km. The 007 comes with features such as a Qualcomm Snapdragon 8295 chip-powered intelligent cockpit computing platform, the Kr GPT AI large model, and a full-stack in-house developed advanced intelligent driver assistance system.</t>
    <phoneticPr fontId="1"/>
  </si>
  <si>
    <t>https://www.marklines.com/en/global/4079</t>
    <phoneticPr fontId="1"/>
  </si>
  <si>
    <t>On November 17, at the Auto Guangzhou 2023, Honda debuted the e:NP2 and the e:NS2, the 2nd models of the e:N sub-brand. The vehicle will be officially launched in 2024. The e:NP2 and the e:NS2, both developed as “an EV in a new genre”, are crossover vehicles integrating the full features of an SUV and the comfort of a sedan. The upgraded Honda SENSING 360+ intelligent driver assistance system was launched as well. It is planned for application in the Chinese market in 2024 first.</t>
    <phoneticPr fontId="1"/>
  </si>
  <si>
    <t>https://www.marklines.com/en/global/4087</t>
    <phoneticPr fontId="1"/>
  </si>
  <si>
    <t>https://www.marklines.com/en/global/1349</t>
    <phoneticPr fontId="1"/>
  </si>
  <si>
    <t>On November 16, Iveco Group announced that it had revamped its product range and services at the "Be the Change" launch event in Barcelona, showcasing the outcome of its significant investment of EUR 1 billion. The extensive investment targeted R&amp;D for the Model Year 2024 (MY24) range. The MY24 S-Way heavy-duty truck features the new FPT Industrial XCursor 13 multi-fuel engine which generates output ranging from 500 hp to 580 hp and 2,600 Nm to 2,800 Nm of torque, offering up to 10% fuel savings in diesel and gas. Developments in EV versions include the eDaily, with a 400 km range in urban usage. The S-eWay, IVECO's first electric-born software distinctive heavy-duty truck, boasts a 500 km range.</t>
    <phoneticPr fontId="1"/>
  </si>
  <si>
    <t>https://www.marklines.com/en/global/9899</t>
    <phoneticPr fontId="1"/>
  </si>
  <si>
    <t>https://www.marklines.com/en/global/1353</t>
    <phoneticPr fontId="1"/>
  </si>
  <si>
    <t>https://www.marklines.com/en/global/95</t>
    <phoneticPr fontId="1"/>
  </si>
  <si>
    <t>https://www.marklines.com/en/global/8982</t>
    <phoneticPr fontId="1"/>
  </si>
  <si>
    <t>Egypt</t>
    <phoneticPr fontId="1"/>
  </si>
  <si>
    <t>On November 16, the Government of Egypt announced that Global Auto Co. had signed a framework agreement, to produce cars in Egypt, with the General Authority for Investment and Free Zones (GAFI), the Finance Ministry's Environmentally Friendly Automobile Industry Fund, and the Trade and Industry Ministry. Global Auto Group is the official importer of BMW, BMW i &amp; MINI automobiles in Egypt.</t>
    <phoneticPr fontId="1"/>
  </si>
  <si>
    <t>https://www.marklines.com/en/global/9838</t>
    <phoneticPr fontId="1"/>
  </si>
  <si>
    <t>On November 14, GWM ORA South Africa announced the official launch of the new GWM ORA 03. The GWM ORA 03 measures 4,235mm long, 1,825mm wide, and 1,603mm tall, with a 2,650mm wheelbase. The GWM ORA 03 range consists of four models, all powered by a permanent magnet synchronous motor delivering 126 kW and 250 Nm of peak torque to the front wheels. Its models have either a 48kWh lithium-ion phosphate battery (range up to 310 km) or a 63kWh nickel-manganese cobalt battery (range up to 420 km).</t>
    <phoneticPr fontId="1"/>
  </si>
  <si>
    <t>On November 8, the TRIGO Group announced a partnership with the ACC Group (Automotive Cells Company Group). As part of this partnership, TRIGO will support ACC in optimizing the quality of its production processes and securing the quality of incoming components. In particular, TRIGO teams will carry out quality control and rework operations on battery modules assembled by ACC. TRIGO already works at the ACC plant in Nersac (Nouvelle-Aquitaine), and will also provide its expertise in ACC’s Billy-Berclau (Hauts-de-France) plant. By 2025, this expertise will also extend to the Kaiserslautern plant in Germany.</t>
    <phoneticPr fontId="1"/>
  </si>
  <si>
    <t>https://www.marklines.com/en/global/2273</t>
    <phoneticPr fontId="1"/>
  </si>
  <si>
    <t>On October 18, Brose Sitech opened its second production site in Anhui province, China. Brose Sitech (Anhui) Automotive Systems Co., Ltd. will initially supply seat systems for the all-electric Cupra Tavascan. The Anhui site has a production capacity of around 650,000 seats per year, which are delivered to the nearby Volkswagen plant, as well as around 1.2 million front seat structures. Production at the site will start in December 2023, whereas further projects with Volkswagen Anhui are already being planned. The joint venture in China already has a location in Shanghai from which it provides SAIC-Volkswagen with seat systems and related parts. Brose Sitech also maintains a development center in Shanghai.</t>
    <phoneticPr fontId="1"/>
  </si>
  <si>
    <t>On November 17, Stellantis announced that its Vigo plant initiated the integration of electric motors for the new Peugeot E-2008 in the System 1 engine line, streamlining production. The operations take place in the S warehouse from October 2023. Previously, the finished electric motors were supplied from the Tremery plant, France, but now Vigo is equipped to handle the assembly of the electric machines. The electric motors are transferred via an AGV to the System 1 Motor Line for final finishing operations. The completed motors are directed through airways to the Mechanical Assembly Line 1 (ship M) for incorporation into series production. The Vigo plant, operating at a rate of 45 vehicles/hour, produces the New Peugeot 2008 in System 1, with a potential of 15 vehicles/hour for the 100% electric version.</t>
    <phoneticPr fontId="1"/>
  </si>
  <si>
    <t>On November 17, multiple sources reported that Volkswagen Navarra's management has presented a 2024 production calendar to the works council, proposing 271,901 units, an increase of 15,500 units from the last forecast. The breakdown includes 28,663 Polo models, 103,583 Taigo models, and 139,655 T-Cross PA models. Production is scheduled to start on January 8, 2024, with industrial days on January 2-5, 2024, and April 2-5, 2024. The vacation period is set from July 5 to August 2, followed by industrial work until August 13, 2024. Pending agreement, August 14, 16, 19, 20, and 21 in 2024 will be designated as closing days.</t>
    <phoneticPr fontId="1"/>
  </si>
  <si>
    <t>On November 17, multiple sources reported that AvtoVAZ will reduce its production plan by up to 10% for the year 2023. It is due to the sanctions imposed by the United States. It had planned to produce 400,000 cars this year. In September 2023, the US imposed sanctions on Russian companies, including Russian OEMs Sollers, Moskvich, and AvtoVAZ.</t>
    <phoneticPr fontId="1"/>
  </si>
  <si>
    <t>On November 17, Geely Holding announced that it would reduce its shareholdings in Volvo Cars, as part of its long-term strategy to enhance the value of Volvo Cars through an increase of liquidity and to generate long-term value for institutional and retail investors. After the completion of the share sale program, Geely Holdings' shareholding in Volvo Cars will be 78.7%. The proceeds from the share sale program will be used to support Geely's global business development.</t>
    <phoneticPr fontId="1"/>
  </si>
  <si>
    <t>https://www.marklines.com/en/global/2191</t>
    <phoneticPr fontId="1"/>
  </si>
  <si>
    <t>On November 16, Porsche announced the investment of EUR 250 million in reconstruction and expansion of Stuttgart-Zuffenhausen plant. The upgraded facility will manufacture both electric sports cars from the upcoming 718 generation and traditional boxer engine models. The upgrade includes implementing the latest automated guided vehicles (AGVs) in a "Flexiline" system. This provides advantages for the anticipated mixed production of vehicles with both combustion engines and electric powertrains on a single line. The two-door sports car production line now features new assembly processes, quality assurance stations, and a light tunnel for optimal vehicle inspections following a first-time-quality approach. A new building at the former Porsche Centre on Porscheplatz, slated for completion in 2025, will house a fully automated, two-floor high-bay rack system. The system will supply vehicle parts to the Taycan and sports car production body shop. Additionally, a new assembly plant for V8 combustion engines for the Panamera and Cayenne model lines, established in 2016, will integrate electric motor assembly for the Porsche Macan. The next-generation Porsche Macan is set to roll off the production line in Leipzig in 2024.</t>
    <phoneticPr fontId="1"/>
  </si>
  <si>
    <t>https://www.marklines.com/en/global/173</t>
    <phoneticPr fontId="1"/>
  </si>
  <si>
    <t>On November 15, Renault Group announced the Ampere's future product lineup. It includes Megane E-Tech launched in mid-2022, Scenic E-Tech, on the market early next year, the Renault 5 in 2024, and the Renault 4 in 2025, and "Twingo Legend," a new electric car below EUR 20,000. Two additional cars for the second generation will be introduced by 2031, totaling seven vehicles. Ampere targets 300,000 vehicle sales in 2025, aiming for 1 million vehicles by 2031. The manufacturing pole includes four high-tech factories with a total capacity of 400k units per year, scalable to 620k units per year by 2028 including ElectriCity's assembly plants in Douai and Maubeuge, Ruitz for battery cases, and Cléon converted into a leading e-powertrain production site. ElectriCity aims to be as cost-competitive as Eastern European plants by 2025.</t>
    <phoneticPr fontId="1"/>
  </si>
  <si>
    <t>https://www.marklines.com/en/global/187</t>
    <phoneticPr fontId="1"/>
  </si>
  <si>
    <t>On November 15, Stellantis announced that it will officially open its first SUSTAINera Circular Economy Hub in Turin, Italy, at the Mirafiori complex on November 23, 2023. The Circular Economy Hub focuses on a sustainable business model for parts and vehicles, including remanufacturing of parts and electric vehicle batteries, vehicle reconditioning, and dismantling. The initiative is set to expand globally.</t>
    <phoneticPr fontId="1"/>
  </si>
  <si>
    <t>On November 15, the Ministry of Industry and Information Technology of China (MIIT) issued a publicity notification of contents to be issued of the 377th list of the “Announcement on On-road Motor Vehicle Manufacturers and Products” and the 56th list of New Energy Vehicles (NEVs) that meet the national energy-saving standards and are eligible for tax reductions or exemptions. Two battery electric sedans from Xiaomi Automobile Co., Ltd. (Xiaomi Auto), both of which are manufactured by BAIC Group Off-road Vehicle Co., Ltd., are included in the notification. The two models have SU7 and SU7 Max/SU7 Pro logos on the rear, respectively. Equipped with a lithium-iron phosphate battery, the SU7 delivers a maximum motor power of 220kW and a top speed of 210km/h. The SU7 Max and the SU7 Pro are each equipped with a ternary lithium-ion battery, delivering respective maximum motor power of 220kW and 275kW and a top speed of 265km/h.</t>
    <phoneticPr fontId="1"/>
  </si>
  <si>
    <t>https://www.marklines.com/en/global/10581</t>
    <phoneticPr fontId="1"/>
  </si>
  <si>
    <t>https://www.marklines.com/en/global/10580</t>
    <phoneticPr fontId="1"/>
  </si>
  <si>
    <t>On November 15, Hyper officially launched the new Hyper HT. Based on the AEP 3.0 electric platform and the X-Soul next-generation high-end electronic and electrical architecture, the Hyper HT has an RWD layout. The 550km- and 600km-range variants deliver a maximum motor power of 180kW, a peak motor torque of 355Nm, and a 0 to 100km/h acceleration time of 6.8 seconds. 70kWh and 72.7kWh magazine batteries complete the respective powertrains. The Hyper HT comes standard with features such as high-precision millimeter-wave radars, ACC (Adaptive Cruise Control), and the ADiGO Space 5.0 intelligent cockpit.</t>
    <phoneticPr fontId="1"/>
  </si>
  <si>
    <t>Human Horizons</t>
    <phoneticPr fontId="1"/>
  </si>
  <si>
    <t>Hiphi</t>
    <phoneticPr fontId="1"/>
  </si>
  <si>
    <t>https://www.marklines.com/en/global/3767</t>
    <phoneticPr fontId="1"/>
  </si>
  <si>
    <t>On November 15, HiPhi, a Human Horizons sub-brand, officially unveiled its first co-branded product, the HiPhi A electric supercar, which will make its offline debut at the Auto Guangzhou 2023 on November 17. To be sold in limited quantities, the vehicle is planned for official production and delivery in Q1 2025. Jointly designed and developed by HiPhi and WESail New Energy Automotive Co., Ltd. (WESail). The HiPhi A is the first to be powered by a HiPhi in-house developed electric drive assembly based on an 800V platform, which consists of a single motor in the front and dual motors in the rear and delivers a maximum system power of 1,305PS, a 0 to 100km/h acceleration time in the 2-second range, and a top speed of nearly 300km/h. The vehicle is also equipped with a new, HiPhi in-house developed high-power battery pack. On the same day, HiPhi signed strategic cooperation agreements with ShanghaiTech University, SAIL, and WESail, respectively, in Shanghai to jointly promote the rapid application of cutting-edge technologies and the high-quality development of China’s New Energy Vehicle industry.</t>
    <phoneticPr fontId="1"/>
  </si>
  <si>
    <t>https://www.marklines.com/en/global/3687</t>
    <phoneticPr fontId="1"/>
  </si>
  <si>
    <t>On November 14, Wuling Motors officially launched the 3rd-generation Hongguang MINI EV Macaron hatchback. Equipped with a permanent magnet synchronous motor (30kW/92Nm) and a 17.3kWh lithium-iron phosphate battery, the 3rd-generation Hongguang MINI EV Macaron has a rear-engine RWD layout and delivers a 0 to 50km/h acceleration time of only 5 seconds, a power consumption as low as 9kWh/100km, and a top speed of 100km/h.</t>
    <phoneticPr fontId="1"/>
  </si>
  <si>
    <t>On November 12, a ceremony for the signing of a strategic cooperation framework agreement on the first cooperative New Energy Vehicle (NEV) between DFPV and DPCA was held in Wuhan, Hubei. At the same time as the signing of the agreement, the two parties started working on this cooperative NEV, aiming at building it into a benchmark product of electrification and intelligentization. In the future, DFPV will introduce other NEVs into DPCA to provide sustained support for the company in being actively integrated into Dongfeng Motor’s NEV business layout.</t>
    <phoneticPr fontId="1"/>
  </si>
  <si>
    <t>https://www.marklines.com/en/global/3975</t>
    <phoneticPr fontId="1"/>
  </si>
  <si>
    <t>On November 11, Dongfeng Motor Co., Ltd. (DFL), released the new “DNA+” strategy, opening up a new era of cooperation. By the end of 2026, DFL will launch 10 locally developed Nissan, Venucia, and Dongfeng New Energy Vehicles (NEVs) in China, among which four are Nissan-branded. The first in-house developed Nissan-branded NEV will be launched in the second half of 2024. In addition, DFL will proactively develop international markets from 2025. The export target for the first step is 100,000 units, where four Nissan NEVs are included.</t>
    <phoneticPr fontId="1"/>
  </si>
  <si>
    <t>Switch Mobility</t>
    <phoneticPr fontId="1"/>
  </si>
  <si>
    <t>https://www.marklines.com/en/global/10515</t>
    <phoneticPr fontId="1"/>
  </si>
  <si>
    <t>On November 9, Ashok Leyland announced that its board of directors had approved an investment of INR 12 billion in Switch Mobility as equity through its holding company Optare PLC UK. The funds will be infused over the next few months and will be used for capital expenditure, R&amp;D, and meeting operational requirements both in the UK and India.</t>
    <phoneticPr fontId="1"/>
  </si>
  <si>
    <t>https://www.marklines.com/en/global/8670</t>
    <phoneticPr fontId="1"/>
  </si>
  <si>
    <t>https://www.marklines.com/en/global/1103</t>
    <phoneticPr fontId="1"/>
  </si>
  <si>
    <t>https://www.marklines.com/en/global/1925</t>
    <phoneticPr fontId="1"/>
  </si>
  <si>
    <t>On October 3, QEV began trading on Euronext Amsterdam under the ticker symbol "QEV" with a fully diluted capitalization of EUR 221 million. The debut follows the merger of QEV Technologies, and SPEAR Investments I, a Special Purpose Acquisition Company (SPAC) formed by AZ Capital and STJ Advisors. The amount raised will allow QEV Technologies to accelerate progress in the implementation of the D-HUB project and the deployment of the funds corresponding to the PERTE-VEC. It will open the door to the entry of new private investors. QEV plans to quadruple its income this year, up to EUR 60 million, and aims to sell more than 16,000 electric vehicles per year, starting in 2027. The D-Hub, which has been installed in the strategic Free Zone of Barcelona, ​​hopes to start production at the beginning of 2024 and will have a maximum annual capacity of 180,000 vehicles.</t>
    <phoneticPr fontId="1"/>
  </si>
  <si>
    <t>On November 17, Cadillac confirmed the Optiq as the entry point for Cadillac’s EV lineup in North America, slotting below the Lyriq built at the Spring Hill plant, Escalade IQ to be built at factory Zero, and Celestiq to be handbuilt at the GM Technical Center. Confirmation for the U.S. came the same day of its debut in China. While manufacturing plans for the Optiq were not announced, GM revealed that multiple plants in the U.S. are slated for new EV products during the life of the new 4-year UAW contract. </t>
    <phoneticPr fontId="1"/>
  </si>
  <si>
    <t>https://www.marklines.com/en/global/2541</t>
    <phoneticPr fontId="1"/>
  </si>
  <si>
    <t>On November 16, General Motors announced that its former subsidiary BrightDrop has now become part of GM, with its Zevo 600 and Zevo 400 electric delivery vans continuing within GM Envolve's commercial fleet offerings, while all commercial digital solutions, including BrightDrop Core, will move into GM’s software and services organization. Though the CAMI plant in Ingersoll, Ontario is currently idled, GM will resume production of BrightDrop’s Zevo 600 and Zevo 400 delivery vans in spring 2024, supported also by the launch of CAMI’s new battery-module line.</t>
    <phoneticPr fontId="1"/>
  </si>
  <si>
    <t>On November 15, Stellantis confirmed that Jeep Gladiator production is down again after 400 workers at supplier Hyundai Mobis Co. represented by the UAW went on strike in Toledo, Ohio over issues that include a focus on eliminating pay tiers. The strike at the Mobis plant, which produces the chassis for the Jeep Gladiator, comes after Stellantis UAW workers at the Toledo Assembly Complex returned from a 44-day strike that ended October 28. </t>
    <phoneticPr fontId="1"/>
  </si>
  <si>
    <t>On November 15, Mack Truck announced that UAW members ratified a new five-year collective bargaining agreement with the company covering approximately 3,900 employees, ending a strike at facilities in Pennsylvania, Maryland and Florida. The new contract will mandate some aspects of job security, eventual 19% wage increases and an immediate USD 3,500 bonus. Workers at the Macungie plant and other facilities are now scheduled to return to their jobs on November 20.</t>
    <phoneticPr fontId="1"/>
  </si>
  <si>
    <t>On December 1, PowerCo Spain, a Volkswagen subsidiary battery company announced that it had started the supplier work session and met potential Valencia based suppliers for collaboration regarding the gigafactory project in Sagunto, Valencia. The aim is to engage Valencian companies in construction, generate essential services, promote regional productivity, wealth, employment, and contribute to a more productive economy in the region.</t>
    <phoneticPr fontId="1"/>
  </si>
  <si>
    <t>On November 30, multiple sources reported that the Stellantis Vigo factory will suspend System 2's night shift on December 3 due to a shortage of components. The recurring issue has led to frequent disruptions in recent years. The management informed workers about the operational pause, affecting the assembly of vans for various brands.</t>
    <phoneticPr fontId="1"/>
  </si>
  <si>
    <t>SEAT</t>
    <phoneticPr fontId="1"/>
  </si>
  <si>
    <t>https://www.marklines.com/en/global/1961</t>
    <phoneticPr fontId="1"/>
  </si>
  <si>
    <t>On November 30, SEAT announced its plans to triple its renewable energy capacity with the addition of 39,000 new solar panels which will cover 233,000 square meters across its production facilities in Martorell, El Prat, and Barcelona. The expansion is expected to generate 29 gigawatt-hours (GWh) of clean energy annually. The combined solar project will offer a total of 32 MW of power, producing 46 GWh of renewable energy annually. The project is developed in collaboration with CONECTA2 ENERGÍA, the new photovoltaic plants are set to be operational in 2024. SEAT al Sol 2 will not only be integrated into the production facilities but also extend to employee parking lots at the Martorell site.</t>
    <phoneticPr fontId="1"/>
  </si>
  <si>
    <t>https://www.marklines.com/en/global/1957</t>
    <phoneticPr fontId="1"/>
  </si>
  <si>
    <t>On November 30, Stellantis announced that Opel will introduce its new Corsa model featuring 48-volt hybrid technology for the first time. The powertrain is a new 1.2-litre three-cylinder gasoline engine with generates an output of 100 hp and 136 hp at 5,500 rpm, and maximum torque of 205 Nm and 230 Nm at 1,750 rpm. The engine is equipped with a new electrified 6-speed dual clutch transmission and an electric motor that generates a power of 28 hp and 55 Nm torque.</t>
    <phoneticPr fontId="1"/>
  </si>
  <si>
    <t>https://www.marklines.com/en/global/1159</t>
    <phoneticPr fontId="1"/>
  </si>
  <si>
    <t>On November 30, SIAC Motors and JSW Group entered a joint venture and signed a shareholder agreement and share purchase and share subscription agreement where JSW will hold 35% in the Indian JV operations. It will also undertake multiple new initiatives including augmenting local sourcing, improving charging infrastructure, expansion of production capacity, and introducing a broader range of vehicles with a focus on green mobility. SAIC will continue supporting the joint venture with advanced technology and products. Further, the JV paves the way for bringing futuristics suite of automobile products including the new generation of intelligent connected NEVs and ICE vehicles and focus on broader localisation initiatives by leveraging the large presence of JSW Group across B2B and B2C sectors.</t>
    <phoneticPr fontId="1"/>
  </si>
  <si>
    <t>https://www.marklines.com/en/global/10283</t>
    <phoneticPr fontId="1"/>
  </si>
  <si>
    <t>On November 29, Porsche Engineering announced that it adopts agile software development methods for allowing continuous app updates and flexibility in adapting to new requirements. Apps access and read ECU information, like vehicle position, speed, braking force, etc. Porsche Engineering uses agile software development methods with which an app is continuously kept up to date. Porsche Engineering envisions future driving tests being complemented or partially replaced by extensive simulations and HiL (hard-ware-in-the-loop) test bench evaluations. In simulation tests, smartphones integrate into racing simulations. Agile methods are also applied in developing battery systems and operating strategies for EVs.</t>
    <phoneticPr fontId="1"/>
  </si>
  <si>
    <t>On October 26, Stellantis announced that it has formed a strategic partnership with Leapmotor and plans to invest approximately EUR 1.5 billion for a 20% stake in the company. Both automakers are creating Leapmotor International, a Stellantis-led joint venture, with a 51:49 ownership split, granting rights for Leapmotor product export, sales, and manufacturing outside Greater China.</t>
    <phoneticPr fontId="1"/>
  </si>
  <si>
    <t>Dacia</t>
    <phoneticPr fontId="1"/>
  </si>
  <si>
    <t>https://www.marklines.com/en/global/1849</t>
    <phoneticPr fontId="1"/>
  </si>
  <si>
    <t>On November 29, Dacia unveiled the new generation of Duster, which is built on the CMF-B platform in Pitesti, Romania. The new hybrid powertrain, Duster Hybrid 140, features 1.6-liter, 94-hp gasoline engine with two electric motors, and an electric automatic gearbox. Duster TCe 130 introduces electrification, combining a 1.2-liter turbocharged gasoline engine with a 48 V mild hybrid motor. The powertrain is available with a 6-speed gearbox in the 4x2 and 4x4 versions. Duster ECO-G 100 offers a dual fuel option (gasoline and LPG), releasing 10% less CO2 when running on LPG.</t>
    <phoneticPr fontId="1"/>
  </si>
  <si>
    <t>UAZ</t>
    <phoneticPr fontId="1"/>
  </si>
  <si>
    <t>On November 29, the Governor of the Ulyanovsk Region and the General Director of Security System Components LLC, a subsidiary of Sollers PJSC signed an agreement. The Sollers Group will create new capacities to produce components of passive safety systems on the territory of the UAZ industrial park until 2026. It will produce airbags, steering wheels, seat belts, and electronic control units for the safety system. The project will create 200 new jobs. It will launch production in the first quarter of 2025. The investments in the first stage alone will amount to RUB 1.5 billion. Sollers will supply products to several automobile plants that are already operating and will also be localized in Russia.</t>
    <phoneticPr fontId="1"/>
  </si>
  <si>
    <t>On November 29, Honda discontinued the sales of the Honda e electric model from the European market. According to the sources, it is believed that the discontinuation of the sales is probably due to comparably poor sales statistics, hefty costs, and limited demand. Moreover, Honda will continue to intensify its electrification efforts in the European region, with the new electric SUV e: Ny1.</t>
    <phoneticPr fontId="1"/>
  </si>
  <si>
    <t>https://www.marklines.com/en/global/439</t>
    <phoneticPr fontId="1"/>
  </si>
  <si>
    <t>Saitama</t>
  </si>
  <si>
    <t>On November 28, Stellantis announced that the new Stellantis Vigo Collective Agreement, valid from 2024-2027, has been signed by major unions representing 91% of the plant's workforce. Under the agreement, Stellantis commits to award the Vigo factory the next electric vehicle architecture, planned to launch in 2027-2028. The contract involves 1,000 changes to stable contracts, including 200 fixed contracts, 350 part-time to full-time transitions, and 450 withdrawals of the variability clause. Additionally, promotions for 1,000 individuals are planned. Various measures aim to enhance working conditions, such as line rotations and expanded on-the-job training.</t>
    <phoneticPr fontId="1"/>
  </si>
  <si>
    <t>On November 28, Mercedes Benz announced that its Technology Centre in Sindelfingen conducts 900 crash tests annually on three tracks, using 120 measuring dummies. Currently using modern descendants of the Hybrid II dummies as it features up to 150 sensors each, digitally connected through a single cable. Mercedes demonstrated an offset crash between two electric cars—an EQA and an EQS SUV in October 2023. Internal sensors in the dummies capture data on accelerations, torques, compression paths, angular forces, and deformations. External markings aid crash test analysis, recorded by high-speed cameras at 1,000 frames per second for detailed examination.</t>
    <phoneticPr fontId="1"/>
  </si>
  <si>
    <t>https://www.marklines.com/en/global/817</t>
    <phoneticPr fontId="1"/>
  </si>
  <si>
    <t>On November 28, multiple sources reported that the former Volkswagen auto plant in Kaluga will remain idle till March 2024. In May 2023, Volkswagen Group sold this plant to Avilon dealer holding.</t>
    <phoneticPr fontId="1"/>
  </si>
  <si>
    <t>Toyota Auto Body Co., Ltd. suspended operations at its Fujimatsu Plant's No.2 line on the 27th and 28th, with plans to resume on the 29th. According to Toyota Motor Corporation, the reason for the stoppage is due to confirmation work in certain processes. The No.2 line produces the Noah, Voxy, Alphard, and Vellfire.</t>
    <phoneticPr fontId="1"/>
  </si>
  <si>
    <t>Mercedes-Benz plans to stop building its full-size electric EQS SUV at its Tuscaloosa plant to make room for production of its upcoming GLC EV in Q1 2026, according to supply chain sources. The company will move EQS SUV production, which currently accounts for about 7% of the U.S. factory's 300,000-vehicle annual capacity, to its plant in Bremen, Germany in the second half of the decade. Production volumes of the smaller, longer-range GLC EV are expected to more than double the EQS SUV's current production in Tuscaloosa.</t>
    <phoneticPr fontId="1"/>
  </si>
  <si>
    <t>https://www.marklines.com/en/global/2237</t>
    <phoneticPr fontId="1"/>
  </si>
  <si>
    <t>BAW</t>
    <phoneticPr fontId="1"/>
  </si>
  <si>
    <t>https://www.marklines.com/en/global/10447</t>
    <phoneticPr fontId="1"/>
  </si>
  <si>
    <t>On November 27, Polestones officially started delivering the Polestones 01, its first mid-to-large-size electric SUV.</t>
    <phoneticPr fontId="1"/>
  </si>
  <si>
    <t>https://www.marklines.com/en/global/9536</t>
    <phoneticPr fontId="1"/>
  </si>
  <si>
    <t>On November 24, multiple sources reported that Leapmotor is planning to start European deliveries in the third quarter of 2024. Europe will be the first international market to get its electric vehicles. It will sell cars to Europe by export. The cars will likely be sold by Stellantis. Recently Stellantis and Leapmotor announced a joint venture partnership. The Leapmotor C10 will be the first model for Europe.</t>
    <phoneticPr fontId="1"/>
  </si>
  <si>
    <t>https://www.marklines.com/en/global/517</t>
    <phoneticPr fontId="1"/>
  </si>
  <si>
    <t>Okayama</t>
  </si>
  <si>
    <t>On November 24, Mitsubishi Motors Corporation announced that the new Minicab EV, a mini electric commercial vehicle with a monobox design, will go on sale in Japan on December 21. The Minicab EV is a significantly improved model of the Minicab-MiEV, and its manufacturer's suggested retail price (tax included) is JPY 2,431,000 for the 2-seater version and JPY 2,486,000 for the 4-seater version. Compared to the previous model "Minicab-MiEV", the capacity of the drive battery has been increased by 25 percent (20.0kWh). The motor and inverter have been integrated into a single unit to improve motor efficiency. As a result of the improvement of the EV system, the cruising range has been extended to 180 km (in WLTC mode) per charge, which is an increase of approximately 35 percent compared to the previous model. </t>
    <phoneticPr fontId="1"/>
  </si>
  <si>
    <t>UD Trucks</t>
    <phoneticPr fontId="1"/>
  </si>
  <si>
    <t>https://www.marklines.com/en/global/573</t>
    <phoneticPr fontId="1"/>
  </si>
  <si>
    <t>UD Trucks Corporation announced on November 22 that the 2022 model year of its Quon heavy-duty truck is equipped with additional safety features. A human detection function that detects pedestrians has been added to the existing Traffic Eye Brake System (collision damage reduction brake). In addition, ACC Stop &amp; Auto Go (automatic stop/start function while following a vehicle) and LKA (lane keeping assist function) have been added to Traffic Eye Cruise Control (distance control system) for all speed ranges.</t>
    <phoneticPr fontId="1"/>
  </si>
  <si>
    <t>Radar</t>
    <phoneticPr fontId="1"/>
  </si>
  <si>
    <t>On November 22, Radar Auto, a Geely sub-brand, announced the holding of a launch in Laos. The RD6, China’s first native battery electric pickup truck, officially entered the Southeast Asian market. The RD6 features a top speed of 185km/h. According to the person in charge of the Lao dealer for this partnership, over CNY 20 million is expected to be invested in the Radar Auto project for purposes such as channel development and product marketing.</t>
    <phoneticPr fontId="1"/>
  </si>
  <si>
    <t>https://www.marklines.com/en/global/10077</t>
    <phoneticPr fontId="1"/>
  </si>
  <si>
    <t>Nissan announced that since November 1, Nissan Mexicana (NMEX), Nissan Importers Business Unit (NIBU) and Nissan América del Sur (NSAM) are now combined under the name “Nissan América Latina (LATAM)”. The region is made up of 5 assembly plants: Aguascalientes 1 in Mexico, Aguascalientes 2 in Mexico, CIVAC in Mexico, Córdoba in Argentina, and Resende in Brazil. There are also two engine plants: in Aguascalientes, Mexico and in Resende, Brazil, in addition to two R&amp;D Centers, one Design Center, 19,000 employees and more than 700 distributors. </t>
    <phoneticPr fontId="1"/>
  </si>
  <si>
    <t>https://www.marklines.com/en/global/10075</t>
    <phoneticPr fontId="1"/>
  </si>
  <si>
    <t>https://www.marklines.com/en/global/8688</t>
    <phoneticPr fontId="1"/>
  </si>
  <si>
    <t>https://www.marklines.com/en/global/10051</t>
    <phoneticPr fontId="1"/>
  </si>
  <si>
    <t>https://www.marklines.com/en/global/2803</t>
    <phoneticPr fontId="1"/>
  </si>
  <si>
    <t>On November 28, multiple sources reported that the production of the Stellantis Cassino plant would be halted from November 30, 2023, to January 8, 2024. During the 40-day stoppage, Stellantis will replace old lines with the new STLA Large electric production line which will manufacture electric Maserati Grecale models, new Alfa Romeo Giulia and Stelvio generations, and other premium electric SUVs and sedans in the first quarter of 2024. Bodywork and painting workshops have already commenced renovations.</t>
    <phoneticPr fontId="1"/>
  </si>
  <si>
    <t>https://www.marklines.com/en/global/10275</t>
    <phoneticPr fontId="1"/>
  </si>
  <si>
    <t>On November 28, Toyota announced the launch of the all-new 2024 i-FORCE Tacomas at Toyota’s U.S. dealerships in December, with i-FORCE MAX hybrid models expected in spring 2024. Built on the TNGA-F global truck platform shared with Tundra, Sequoia and upcoming Land Cruiser, the all-new Tacoma was designed specifically for the U.S. market by Toyota’s CALTY Design Research Center in Newport Beach, California, and Ann Arbor, Michigan, and engineered at Toyota Technical Centers in Michigan, Arizona and California.</t>
    <phoneticPr fontId="1"/>
  </si>
  <si>
    <t>https://www.marklines.com/en/global/10016</t>
    <phoneticPr fontId="1"/>
  </si>
  <si>
    <t>https://www.marklines.com/en/global/10019</t>
    <phoneticPr fontId="1"/>
  </si>
  <si>
    <t>https://www.marklines.com/en/global/907</t>
    <phoneticPr fontId="1"/>
  </si>
  <si>
    <t>https://www.marklines.com/en/global/9330</t>
    <phoneticPr fontId="1"/>
  </si>
  <si>
    <t>https://www.marklines.com/en/global/10023</t>
    <phoneticPr fontId="1"/>
  </si>
  <si>
    <t>https://www.marklines.com/en/global/10024</t>
    <phoneticPr fontId="1"/>
  </si>
  <si>
    <t>https://www.marklines.com/en/global/10017</t>
    <phoneticPr fontId="1"/>
  </si>
  <si>
    <t>On November 27, BMW Regensburg plant developed an innovative system to identify technical defects in assembly line conveyor systems early, preventing production disruptions and reducing maintenance costs. The system analyzes data from existing components and conveyor controls, without requiring additional sensors. The goal is to leverage artificial intelligence further, enabling the system to estimate the time remaining between fault detection and potential stoppage. The capability would aid technicians in prioritizing and scheduling maintenance tasks for optimal efficiency. Load carriers transmit data to the predictive maintenance cloud platform, where algorithms detect anomalies such as power fluctuations or barcode issues. If anomalies are found, a warning is sent to the maintenance control center for timely action. Continuous improvement is ongoing, and 80% of main assembly lines are already monitored, ensuring efficient troubleshooting and maintenance. The system is successfully implemented in Dingolfing, Leipzig, and Berlin plants.</t>
    <phoneticPr fontId="1"/>
  </si>
  <si>
    <t>On November 27, BMW announced that it will introduce a major advancement in electrified powertrains with the Neue Klasse models in 2025, marking the beginning of Gen6 eDrive technology. The focal point of this technology is the new cylindrical cell offering a 20% increase in volumetric energy density, 30% faster charging, and 30% more range compared to Gen5-equipped models. The sixth-generation battery technology is being developed at the Cell Manufacturing Competence Centre (CMCC) in Parsdorf, Germany.</t>
    <phoneticPr fontId="1"/>
  </si>
  <si>
    <t>On November 25, in Longgang District, Shenzhen, Guangdong, Changan Auto and Huawei signed a Memorandum of Cooperation concerning an investment. After negotiation, the latter is poised to establish a new company focusing on the R&amp;D, production, and sales of intelligent driving systems and incremental components for intelligent connected vehicles.</t>
    <phoneticPr fontId="1"/>
  </si>
  <si>
    <t>On November 24, Renault announced that it has developed a tool at the Cléon plant which improves workstation ergonomics, quality control, and operational efficiency by automating the straightening process of 48 wires on the 5DH motor stator. The company also implements a solution for two-tone paint cars in Spain's Valladolid and Palencia plants. The modification to the painting process reduces waste by stripping the paint after application, leading to cost benefits and improvements in quality and environmental impact.</t>
    <phoneticPr fontId="1"/>
  </si>
  <si>
    <t>On November 24, VW China announced that VW Group is currently systematically strengthening its R&amp;D capabilities in China and expanding its deployment in Hefei to build the city into a state-of-the-art manufacturing, R&amp;D, and innovation hub. Volkswagen (China) Technology Co., Ltd. (VCTC), focuses on the R&amp;D of intelligent connected vehicles and aims at shortening the launch cycles of vehicles and their parts by 30%. A 450,000-square-meter supplier park is being built in Hefei. Further synergies are being realized through the close networking of R&amp;D work with VW Group joint ventures including SAIC-VW, FAW-VW, and Volkswagen (Anhui) Automotive Co., Ltd., as well as with Gotion High-tech (batteries) and XPeng (electrification). VW Group partners including Horizon Robotics (autonomous driving) are also involved in close cooperation with CARIAD, a VW Group software unit.</t>
    <phoneticPr fontId="1"/>
  </si>
  <si>
    <t>https://www.marklines.com/en/global/10708</t>
    <phoneticPr fontId="1"/>
  </si>
  <si>
    <t>https://www.marklines.com/en/global/9517</t>
    <phoneticPr fontId="1"/>
  </si>
  <si>
    <t>https://www.marklines.com/en/global/10714</t>
    <phoneticPr fontId="1"/>
  </si>
  <si>
    <t>https://www.marklines.com/en/global/3615</t>
    <phoneticPr fontId="1"/>
  </si>
  <si>
    <t>https://www.marklines.com/en/global/9485</t>
    <phoneticPr fontId="1"/>
  </si>
  <si>
    <t>On November 23, If Technology, a Great Wall Motor subsidiary, Great Wall Heavy Industries Co., Ltd., and Guangxi Yuchai Machinery Group Co., Ltd. signed a strategic cooperation agreement. According to the agreement, the three parties will focus on technology breakthroughs and product manufacturing in areas such as battery electric, hydrogen, and dedicated hybrid powertrains for commercial vehicles. They will jointly promote the upgrading of New Energy commercial vehicles (NECVs).</t>
    <phoneticPr fontId="1"/>
  </si>
  <si>
    <t>On November 23, NextStar Energy confirmed its plan to hire 1,600 technicians from outside suppliers to assemble, install and test equipment, including up to 900 "temporary specialized global supplier staff," mainly from South Korea, at its heavily-subsidized plant in Windsor, Ontario.</t>
    <phoneticPr fontId="1"/>
  </si>
  <si>
    <t>On November 21, Volkswagen (Anhui) Components Co., Ltd. officially put into production its inaugural high-voltage battery system, with an initial annual capacity of 150,000 to 180,000 sets for supply to MEB (modular electric drive matrix) platform-based battery electric vehicles produced at Volkswagen (Anhui) Automotive Co., Ltd.</t>
    <phoneticPr fontId="1"/>
  </si>
  <si>
    <t>On November 27, NAAREA (Nuclear Abundant Affordable Resourceful Energy for All) signed a partnership agreement with ACC (Automotive Cells Company). ACC aims to study how NAAREA's XAMR solution can help meet carbon neutrality objectives and the energy supply needs of its future gigafactories. NAAREA's microreactors, the XAMR, will be installed near intensive energy consumers, primarily in industry, to provide them with a carbon-free and decentralized energy solution. NAAREA will bring the XAMR to market by 2030.</t>
    <phoneticPr fontId="1"/>
  </si>
  <si>
    <t>https://www.marklines.com/en/global/2437</t>
    <phoneticPr fontId="1"/>
  </si>
  <si>
    <t>Korean multiple sources reported on November 28 that Hyundai Motor Company plans to halt its plant in Asan, South Korea, to construct an electric vehicle facility in the period between Dec 31. 2023 to Feb. 13, 2024. Hyundai plans to install equipment for its large electric SUV, the Ioniq 7, during this period. The Asan plant, which can produce 300,000 units per year, currently produces the Sonata, Grandeur, and Ioniq 6. Due to multiple car models being produced on one line, the plant will pause production. Hyundai Motor said it plans to resume operations at the Asan plant on Feb. 14.</t>
    <phoneticPr fontId="1"/>
  </si>
  <si>
    <t>On November 27, multiple sources reported that Stellantis and unions have secured an agreement for the Vigo plant, backed by 91% of social representation, to regulate working conditions from 2024 to 2027. The pact, signed by SIT-FSI, UGT, and CC.OO., commits to the new STLA Small platform, focusing on the production of light urban vehicles. Stellantis plans to launch it between 2027 - 2028 and manufacture approximately 2,300 vehicles daily under optimal conditions.</t>
    <phoneticPr fontId="1"/>
  </si>
  <si>
    <t>On November 27, NWTN Inc. announced plans to exhibit, with its partners, technologies for the entire clean energy value chain during COP28 UAE. It will present technologies like hydrogen tanks, energy storage from battery facilities to hydrogen tanks, and the use of energy in NWTN Mobility Technologies. The exhibit's augmented reality interactive experience will include as part of the journey the Rabdan MUSE, the first of NWTN's smart passenger vehicles.</t>
    <phoneticPr fontId="1"/>
  </si>
  <si>
    <t>https://www.marklines.com/en/global/123</t>
    <phoneticPr fontId="1"/>
  </si>
  <si>
    <t>On November 27, INEOS Automotive started production of the Grenadier Quartermaster double cab pick-ups at its production line in Hambach, France. Customer deliveries of the Quartermaster are set to begin in Europe in December 2023, with shipments to Asia Pacific, Sub-Saharan Africa, and the Middle East following shortly after. The Quartermaster's North American sales are set to commence in early 2024. In addition, a chassis cab vehicle based on the same frame as the Quartermaster pick-up will go into production in 2024, aimed primarily at conversion specialists and commercial bodybuilders.</t>
    <phoneticPr fontId="1"/>
  </si>
  <si>
    <t>On November 27, the Lion Electric announced a workforce reduction that affects 150 employees (approximately 10% of Lion's total headcount) in production overhead, manufacturing, product development and administrative functions, both in Canada, Saint-Jérôme, Quebec, and the U.S., in Joliet, Illinois. Lion Electric manufactures all-electric class 5 to class 8 commercial urban trucks and all-electric school buses, assembling many of its vehicles' components, including chassis, battery packs, truck cabins and bus bodies. </t>
    <phoneticPr fontId="1"/>
  </si>
  <si>
    <t>On November 24, Porsche unveiled its third generation of the Panamera model, produced in Leipzig plant, Germany. The Panamera Turbo E-Hybrid features a revamped four-liter V8 turbo engine and a 140 kW electric motor, mated with eight-speed PDK dual-clutch transmission, which generates a system output of 500 kW and 930 Nm of torque. Panamera and AWD Panamera 4 variants equipped with a modified 2.9-litre V6 turbo engine which generates output of 260 kW and 500 Nm of torque.</t>
    <phoneticPr fontId="1"/>
  </si>
  <si>
    <t>https://www.marklines.com/en/global/9216</t>
    <phoneticPr fontId="1"/>
  </si>
  <si>
    <t>On November 24, Volkswagen Poznań completed its 30th anniversary, founded in 1993 as a Joint Venture between Volkswagen AG and the Polmo Agricultural Car Factory, Volkswagen Poznań became a 100% subsidiary of Volkswagen AG in December 1996. With approximately 9,500 employees across four production plants – Poznań-Antoninek, Poznań-Wilda (Odlewnia), Września, and Swarzędz. The company produces models such as Caddy, Caddy Maxi, Caddy California, Transporter T6.1, Crafter, MAN TGE, and Grand California. Over the years, Volkswagen Poznań has manufactured over 4 million vehicles and 95 million components.</t>
    <phoneticPr fontId="1"/>
  </si>
  <si>
    <t>https://www.marklines.com/en/global/1711</t>
    <phoneticPr fontId="1"/>
  </si>
  <si>
    <t>On November 22, Cruise outlined the company's next steps to employees, saying it will focus on Bolt robotaxis in only one city before expanding to others, and is postponing for now any plans to deploy its the purpose-built Origin van. While GM has already said that it will be pausing production of the Origin robotaxi at Factory Zero, a GM spokesman has now said it does not expect to produce more Origins in 2024 after producing a “small number” of pre-commercial prototypes in the coming weeks. A timeline for resuming Origin production was not given. While it is not clear how many Origin vans GM has produced, former CEO Kyle Vogt said earlier in November that GM had produced hundreds so far.</t>
    <phoneticPr fontId="1"/>
  </si>
  <si>
    <t>https://www.marklines.com/en/global/3215</t>
    <phoneticPr fontId="1"/>
  </si>
  <si>
    <t>On November 22, Subaru told employees at its only plant in the U.S., in Lafayette, Indiana, that it will increase their wages in January as part of the company's "semi-annual wage review conducted this time each year", noting that current industry conditions were taken into consideration for the wage increases. The announcement follows those of Honda, Toyota, Hyundai and VW after the UAW strike.</t>
    <phoneticPr fontId="1"/>
  </si>
  <si>
    <t>https://www.marklines.com/en/global/9569</t>
    <phoneticPr fontId="1"/>
  </si>
  <si>
    <t>On November 18, JAC No.1 Truck signed a strategic agreement with Shandong Zhongying Digital Energy Technology Co., Ltd. (Shandong Zhongying) and Dading Jinkong (Shandong) Co., Ltd. in Jinan, Shandong. In the future, the three parties will jointly expand the battery-swappable light truck market.</t>
    <phoneticPr fontId="1"/>
  </si>
  <si>
    <t>https://www.marklines.com/en/global/813</t>
    <phoneticPr fontId="1"/>
  </si>
  <si>
    <t>On November 17, the City Government of Kaluga announced that JSC Automobile Motor Society (AMO), the new owner of the former Volvo Trucks plant in Kaluga, will restart the assembly of domestic trucks in the coming weeks. AMO is actively investing in production and attracting industrial partners, including negotiations with several potential partners from Asian countries. It is planning to start production in 2023 itself. It will expand the range of specialized automotive products. It will also increase production volumes. AMO also announced the completion of the first stage of the transfer of employees of this enterprise. Now the company is preparing to recruit some more specialists.</t>
    <phoneticPr fontId="1"/>
  </si>
  <si>
    <t>https://www.marklines.com/en/global/9108</t>
    <phoneticPr fontId="1"/>
  </si>
  <si>
    <t>On November 17, at the Auto Guangzhou 2023, Cadillac debuted the new Optiq compact battery electric crossover SUV and officially launched the RWD Standard-Range Lyriq midsize battery electric crossover SUV. Based on the Ultium luxury RWD platform, the RWD Standard-Range Lyriq is powered by a permanent magnet synchronous motor (250kW/440Nm) and an Ultium 68.4kWh ternary lithium battery, delivering a CLTC combined range of 502km, and a 0 to 100km/h acceleration time as little as 5.9 seconds.</t>
    <phoneticPr fontId="1"/>
  </si>
  <si>
    <t>https://www.marklines.com/en/global/8736</t>
    <phoneticPr fontId="1"/>
  </si>
  <si>
    <t>On November 17, at the Auto Guangzhou 2023, Neta Auto officially launched the Shanhai Platform. The core technologies for the Shanhai Platform 2.0 will successively be on board and iterated from 2024 to 2025. Unveiled at the event was the body contour of the first model to be powered by this platform, which is expected to be launched in 2025.</t>
    <phoneticPr fontId="1"/>
  </si>
  <si>
    <t>On November 17, at the Auto Guangzhou 2023, Chery made the global debut of the Fulwin A8 and A8 Pro compact plug-in hybrid sedans, the first models of the Fulwin family. Fulwin A8 and A8 Pro are the first to ride on the world-class Chery Power C-DM technology and are powered by a 5th-generation ACTECO 1.5TGDI high-efficiency dedicated hybrid engine (115kW/220Nm) and a continuously variable super dedicated hybrid transmission, of which the former achieves China’s highest thermal efficiency of 44.5% and the latter features core technologies including dual quad-core electric drives, a high-efficiency motor, and a lightweight design. The vehicles deliver a maximum drive motor power of 150kW, a 0 to 50km/h acceleration time of only 3.4 seconds, and a top speed of 240km/h. The Fulwin A8 and A8 Pro are equipped with an intelligent hybrid battery management system, enabling a WLTC feeder fuel consumption as low as 4.2L/100km, a CLTC electric-mode range of over 125km, and a WLTC combined range of over 1,400km. The Fulwin A8 and A8 Pro come with a Level 2.5 intelligent driver assistance system and a Qualcomm Snapdragon 8155 chip.</t>
    <phoneticPr fontId="1"/>
  </si>
  <si>
    <t>https://www.marklines.com/en/global/10764</t>
    <phoneticPr fontId="1"/>
  </si>
  <si>
    <t>LG Energy Solution (LGES) is expected to lay off 170 production employees at its Holland, Michigan battery plant between December and January as the company is moving and retooling some production lines from its current production facility to the second factory at the Holland site. The layoffs come amid a USD 1.7 billion expansion at the company’s Holland plant where construction is expected to be complete by April 2024 and be fully operational by 2025. LG announced in October a USD 3 billion investment for tooling and equipment exclusively for battery supply to Toyota.</t>
    <phoneticPr fontId="1"/>
  </si>
  <si>
    <t>On November 10, SK Battery America confirmed will temporarily furlough employees at its Commerce, Georgia plant in efforts to reduce production to match the sluggish demand for electric vehicles. The SK Battery plant in Commerce, which supplies batteries for Ford and Volkswagen EVs, already laid off over 100 workers in September. The company plans to delay the launch of its second plan in Kentucky, a joint venture with Ford, which was expected to be operational by 2026.</t>
    <phoneticPr fontId="1"/>
  </si>
  <si>
    <t>https://www.marklines.com/en/global/2087</t>
    <phoneticPr fontId="1"/>
  </si>
  <si>
    <t>Announced on November 27, Toyota Motor has officially launched the new IMV series model, namely the IMV 0, or the Hilux Champ in Thailand, following its introduction at the Japan Mobility Show 2023. Orders for the model have also been started. Toyota Motor Thailand will produce the model at its Samrong Plant. In Thailand, the IMV has contributed to the local economy, with domestic sales already exceeding 2.7 million units and exports totaling over 4 million units. With prices ranging from THB 459,000 to 577,000, 11 customized models were introduced at the launch event. TMT provides 8 grades, covering a variety of business styles and uses. There are short and long-wheelbase versions, 3 engine types (2.0L gasoline engine, 2.7L gasoline engine, and 2.4L diesel engine), and an unequipped type with a flat deck. </t>
    <phoneticPr fontId="1"/>
  </si>
  <si>
    <t>On November 25, the CUT (Central Unitaria de Traballadoras) union called for a protest in Stellantis Vigo, Spain against potential rights cuts in the Stellantis agreement. The proposed deal lacks guarantees for the purchasing power of female workers and introduces mandatory Saturday work, reducing rights such as the 100% salary supplement for IT. If signed, the agreement could set a precedent for auxiliary companies working with Stellantis.</t>
    <phoneticPr fontId="1"/>
  </si>
  <si>
    <t>On November 24, Suzuki Motor Corporation (SMC) announced that it had completed the transfer of Suzuki Motor Gujarat Private Limited (SMG) shares to Maruti Suzuki India Limited (MSIL) and further acquired the shares of MSIL for the consideration of the transfer. As a result, the number and ratio of shares held by the SMC in MSIL now stands at 182.95 million with a holding ratio of 58.19%.</t>
    <phoneticPr fontId="1"/>
  </si>
  <si>
    <t>JAECOO</t>
    <phoneticPr fontId="1"/>
  </si>
  <si>
    <t>On November 24, JAECOO announced that it will be launching the J7 in South Africa in early 2024. The JAECOO J7 comes with an ARDIS (All Road Drive Intelligent System) intelligent off-roading system, and 7 drive modes, allowing it to adapt to a wide variety of terrains. In addition, JAECOO also announced that it will be introducing the J7 PHEV in Q3 2024, and the flagship and much larger J8 in Q4 2024.</t>
    <phoneticPr fontId="1"/>
  </si>
  <si>
    <t>Daimler Buses</t>
    <phoneticPr fontId="1"/>
  </si>
  <si>
    <t>https://www.marklines.com/en/global/2137</t>
    <phoneticPr fontId="1"/>
  </si>
  <si>
    <t>On November 23, Daimler Trucks announced that the first series-produced all-electric Mercedes-Benz eCitaro buses with a fuel cell as a range extender, are now operational in Mannheim and Heidelberg. The ceremonial handover of the initial three eCitaro G fuel cell vehicles occurred on November 23, 2023, at the rnv (Rhein-Neckar-Verkehr GmbH) depot in Heidelberg. It features 392 kWh battery capacity with NMC3 lithium-ion batteries, the buses also have a 60 kW fuel cell supplied by six hydrogen cylinders for a range of around 400 km. The buses are propelled by two electric motors near the wheels (250 kW each output).</t>
    <phoneticPr fontId="1"/>
  </si>
  <si>
    <t>On November 22, Kaiyi Auto, a Chery sub-brand, officially launched the new Shiyue 3-door 4-seater battery electric micro hatchback. The Shiyue, the first New Energy Vehicle based on the new i-EA platform, is powered by a permanent magnet synchronous motor and has a front-engine FWD layout. The 201km-range variant is equipped with either a Gotion High-tech 17.28kWh or CATL 17.69kWh lithium-iron phosphate battery, while the 301km-range variant delivers a maximum motor power of 40kW and a peak motor torque of 110Nm and is equipped with a CATL 28.08kWh lithium-iron phosphate battery.</t>
    <phoneticPr fontId="1"/>
  </si>
  <si>
    <t>On November 21, at the Auto Guangzhou 2023, GAC Aion officially announced that it will achieve the mass production and application of an all-solid-state battery in 2026, and that its Hyper sub-brand will be the first to adopt it.</t>
    <phoneticPr fontId="1"/>
  </si>
  <si>
    <t>On November 21, Changan Auto and NIO signed a cooperation agreement on battery swapping in Chongqing. The two parties will conduct cooperation in areas such as R&amp;D of battery-swappable models. In the future, the two parties will not only partner for battery swapping, but also continuously strengthen cooperation in areas such as energy, charging and battery swapping, finished vehicles, and ecosystems.</t>
    <phoneticPr fontId="1"/>
  </si>
  <si>
    <t>Skywell</t>
    <phoneticPr fontId="1"/>
  </si>
  <si>
    <t>https://www.marklines.com/en/global/3749</t>
    <phoneticPr fontId="1"/>
  </si>
  <si>
    <t>On November 19, Skyworth Auto officially unveiled the new Skyhome sedan. Intelligent driving capabilities above Level 3 are supported.</t>
    <phoneticPr fontId="1"/>
  </si>
  <si>
    <t>On November 18, at the Auto Guangzhou 2023, FAW-VW officially exhibited the ID.7 VIZZION, its first flagship battery electric sedan. Based on the VW MEB platform. Powered by a permanent magnet synchronous motor (150kW/310Nm) and an 84.4kWh ternary lithium battery, the premiere edition has a rear-engine RWD layout and delivers a CLTC combined range of 642km.</t>
    <phoneticPr fontId="1"/>
  </si>
  <si>
    <t>https://www.marklines.com/en/global/9598</t>
    <phoneticPr fontId="1"/>
  </si>
  <si>
    <t>On November 18, at the Auto Guangzhou 2023, SAIC Maxus exhibited and officially launched the new G70 ICE-powered family MPV. Powered by an SAIC NetBlue NF2 2.0T engine and a 9-speed transmission, the G70 delivers a maximum power of 172kW, a peak torque of 360Nm, a 0 to 100km/h acceleration time of 8.8 seconds, a WLTC combined fuel consumption of 8.5L/100km, and a range of over 750km. Only the top variant is available with features such as a Level 2+ intelligent driver assistance system.</t>
    <phoneticPr fontId="1"/>
  </si>
  <si>
    <t>On November 17, at the Auto Guangzhou 2023, Venucia, a Dongfeng Nissan sub-brand, exhibited models including the V-Online DD-i compact plug-in hybrid SUV and the VX6 battery electric SUV, of which the latter officially became available for delivery. A strategic plan for the next three years was unveiled as well. At the product level, Venucia will launch no less than six new vehicles including SUVs, sedans, small vehicles, and MPVs in the next three years. New hydrogen energy vehicles will come out at a proper time.</t>
    <phoneticPr fontId="1"/>
  </si>
  <si>
    <t>https://www.marklines.com/en/global/3375</t>
    <phoneticPr fontId="1"/>
  </si>
  <si>
    <t>On November 17, at the Auto Guangzhou 2023, BMW Group exhibited a number of new models, including the next-generation 5 Series luxury mid-to-large-size long-wheelbase sedan that made its global debut, the i5 long-wheelbase battery electric sedan, and the i5 M60 battery electric sedan. The next-generation 5 Series delivers a maximum CLTC range of over 700km and comes standard with a Level 2 intelligent driver assistance system.</t>
    <phoneticPr fontId="1"/>
  </si>
  <si>
    <t>On November 17, at the Auto Guangzhou 2023, Ford exhibited models such as the 2024 Mustang Mach-E battery electric coupe SUV and the new Mustang Dark Horse performance sportscar. The automaker also announced the Chinese name of the next-generation Ranger pickup truck,Youqixia. The 2024 Mustang Mach-E, Ford’s first track simulator-tuned production electric vehicle, is based on the GE1 platform. Equipped with the new, Ford in-house developed 1T40 3-in-1 electric drive, the vehicle delivers a maximum power of 359kW, a peak torque of 860Nm, a range of over 600km for the entry-level variant and 700km for the ultra-long-range variant, and a 0 to 100km/h acceleration time as little as 3.57 seconds for the dual-motor-powered GT Edition. The combined power consumption is as low as 12.4kWh/100km. The 2024 Mustang Mach-E comes with features such as a Qualcomm Snapdragon 8155 chip and the BlueCruise 1.2 Level 2+ intelligent driver assistance system. For the next-generation Ranger, it will be introduced into the Chinese market as a localized model for the first time and be sold through the Ford Beyond channel.</t>
    <phoneticPr fontId="1"/>
  </si>
  <si>
    <t>Aito</t>
    <phoneticPr fontId="1"/>
  </si>
  <si>
    <t>On November 17, at the Auto Guangzhou 2023, the Harmony Intelligent Mobility Alliance (HIMA), a Huawei Smart Selection division, made its first presence with blockbuster models including the AITO Wenjie M5, M7, and M9 SUVs. The AITO Wenjie M9 will be officially launched in December 2023.</t>
    <phoneticPr fontId="1"/>
  </si>
  <si>
    <t>https://www.marklines.com/en/global/10563</t>
    <phoneticPr fontId="1"/>
  </si>
  <si>
    <t>https://www.marklines.com/en/global/3427</t>
    <phoneticPr fontId="1"/>
  </si>
  <si>
    <t>On November 17, at the Auto Guangzhou 2023, Mercedes-Benz exhibited and officially started accepting pre-orders for the new E-Class long-wheelbase sedan. The E-Class comes with the newly upgraded 3rd-generation MBUX (Mercedes-Benz User Experience) intelligent human-machine interaction system, a Qualcomm Snapdragon 8295 chip, and a Level 2+ driver assistance system.</t>
    <phoneticPr fontId="1"/>
  </si>
  <si>
    <t>On November 17, at the Auto Guangzhou 2023, SAIC Maxus exhibited and officially launched the new Mifa 7 luxury midsize electric MPV.</t>
    <phoneticPr fontId="1"/>
  </si>
  <si>
    <t>Galaxy</t>
    <phoneticPr fontId="1"/>
  </si>
  <si>
    <t>https://www.marklines.com/en/global/9811</t>
    <phoneticPr fontId="1"/>
  </si>
  <si>
    <t>On November 17, at the Auto Guangzhou 2023, Geely Galaxy debuted the Galaxy E8 flagship battery electric sedan. Equipped with a high-performance silicon carbide electric drive, the Galaxy E8 delivers an ultra-long range of 665km, and a 0 to 100km/h acceleration time of 3.49 seconds. The Galaxy E8 comes with features such as a Qualcomm Snapdragon 8295 chip.</t>
    <phoneticPr fontId="1"/>
  </si>
  <si>
    <t>https://www.marklines.com/en/global/10356</t>
    <phoneticPr fontId="1"/>
  </si>
  <si>
    <t>On November 17, at the Auto Guangzhou 2023, JAC Group started accepting pre-orders for the new Refine RF8 Zhiling Edition MPV, which is available in four ICE and plug-in hybrid variants. A HarmonyOS-powered edition will be available for pre-order in December. The Refine RF8 is available with two powertrain options. The plug-in hybrid variants are equipped with a powertrain consisting of a 1.5T dedicated hybrid engine, a 3-speed dedicated hybrid transmission, and a high-capacity battery, delivering an electric mode range of 252km, and a combined range of 1,250km. For the ICE variants, a powertrain consisting of a 2.0TGDI engine and an 8-speed automatic transmission delivers a maximum power of 185kW and a peak torque of 400Nm. In terms of intelligent driving, configurations such as a Level 2+ intelligent driver assistance system is featured.</t>
    <phoneticPr fontId="1"/>
  </si>
  <si>
    <t>https://www.marklines.com/en/global/2889</t>
    <phoneticPr fontId="1"/>
  </si>
  <si>
    <t>HPE, the official representative brand of Mitsubishi in Brazil, confirmed the arrival in the country of the Outlander PHEV, a plug-in hybrid SUV, in 2024 and will be manufactured at the Catalão, Brazil plant.</t>
    <phoneticPr fontId="1"/>
  </si>
  <si>
    <t>On November 23, Stellantis announced the inauguration of its Sustainera Circular economy Hub at Mirafiori complex in Turin, Italy. The hub has 73,000 square meters of area and required an investment of EUR 40 million and is expected to make more than EUR 2 million in revenues by 2030. This hub is dedicated to extending the life of parts and vehicles as long as possible and once is no longer possible, the materials will be recycled and used for producing new pieces and vehicles. It will start the remanufacturing process of engines, transmissions, and high-voltage EV batteries. The Hub initially hosts four activities implementing the 4R strategy: Reman, Repair, Reuse, and Recycle. Currently they employ 170 people and is expected to employ 550 people by 2025.</t>
    <phoneticPr fontId="1"/>
  </si>
  <si>
    <t>On December 7, NWTN Inc. signed a memorandum of understanding (MOU) with China State Construction Engineering Corporation (Middle East) LLC (CSCEC) in UAE. Under this partnership, CSCEC will manage the comprehensive project construction process, including planning, feasibility studies, general contracting, and project financing assistance. In parallel, NWTN will focus on project investment and operations, harnessing its market and product advantages to boost the sales and market expansion of new energy vehicles and green hydrogen projects.</t>
    <phoneticPr fontId="1"/>
  </si>
  <si>
    <t>https://www.marklines.com/en/global/1420</t>
    <phoneticPr fontId="1"/>
  </si>
  <si>
    <t>On December 7, Hexagon Purus received a purchase order from Ford Trucks to deliver a complete hydrogen fuel storage system for the development of a Fuel Cell Electric-Powered Vehicle (FCEV) F-MAX as part of the Horizon Europe project ZEFES (Zero Emission Freight EcoSystem). The F-MAX FCEV will be Ford Trucks' first fuel cell-powered vehicle, developed and manufactured in Turkey, and will begin European Ten-T corridor demonstrations in 2025 as part of the ZEFES project goals.</t>
    <phoneticPr fontId="1"/>
  </si>
  <si>
    <t>On December 7, Volkswagen Slovakia completed an investment of almost EUR 500 million, with the start of production of the next generations of both Volkswagen Passat and Škoda Superb models, as a part of the BETA+ concern project, at its Bratislava plant. In connection with the integration of the BETA+ project into production, there were significant changes and modifications across the entire production flow. The press shop was expanded, with another 22 parts added to the portfolio. The new generations of robots and new control systems were deployed in the newly built body shop. The project also brought new technologies to the paint shop. Both the new models will be produced along with Škoda Karoq on the same assembly line.</t>
    <phoneticPr fontId="1"/>
  </si>
  <si>
    <t>On December 6, XPeng Inc. issued an aggregate of 94,079,255 Class A ordinary shares, representing 4.99% of the share capital immediately following the issuance, to Volkswagen Nominee at the purchase price of USD15 per ADS (each ADS representing two Class A ordinary shares). The total purchase price for all the Subscription Shares is approximately USD 705.6 million. XPeng Inc. also announced that its board of directors has approved the appointment of an individual nominated by Volkswagen. XPeng, and Volkswagen are making significant progress on the joint development of the two B-class battery electric vehicle models. The project feasibility study has achieved a positive outcome and has been completed. In addition, both parties are actively evaluating deeper strategic collaboration in Smart EV technologies.</t>
    <phoneticPr fontId="1"/>
  </si>
  <si>
    <t>On December 5, NIO announced that it will acquire production equipment and assets at the 1st Advanced Manufacturing Site and the 2nd Advanced Manufacturing Site from JAC Group for a total tax exclusive price of about CNY 3.16 billion. On December 6, JAC Group announced the completion of bidding for three previously publicly listed asset packages. The first and third asset packages have been assigned to NIO Automotive Technology (Anhui) Co., Ltd. (NIO Anhui), of which the former involves the inventories, fixed assets, and projects in progress of the No.3 Plant of JAC Group’s passenger vehicle subsidiary and the latter involves the structures and equipment of the same subsidiary’s Xinqiao Plant.</t>
    <phoneticPr fontId="1"/>
  </si>
  <si>
    <t>Aiways</t>
    <phoneticPr fontId="1"/>
  </si>
  <si>
    <t>https://www.marklines.com/en/global/9552</t>
    <phoneticPr fontId="1"/>
  </si>
  <si>
    <t>According to multiple press releases dated December 4, Aiways Automobile (Shanghai) Co., Ltd. recently added a new bankruptcy review case, which was filed by Anji Automotive Logistics (Shanghai) Co., Ltd. and handled by the Shanghai No. 3 Intermediate People’s Court.</t>
    <phoneticPr fontId="1"/>
  </si>
  <si>
    <t>On December 5, Ford announced the successful completion of the transfer of ownership of the Camaçari plant, located in Bahia, Brazil to the Government of the State of Bahia. BYD, which had already invested BRL 3 billion to produce vehicles in Camaçari, will now continue negotiations directly with the government.</t>
    <phoneticPr fontId="1"/>
  </si>
  <si>
    <t>On December 4, multiple sources reported that Hyundai Motor plans to temporarily halt production of the Genesis GV60, a compact electric sports utility vehicle (SUV), for approximately two months from December until January 2024. This production pause is due to a decline in growth pace of EV and the exhaustion of year-end EV domestic subsidies in Korea. Production of other electric vehicles such as the GV70 and G80 is also likely to be suspended.</t>
    <phoneticPr fontId="1"/>
  </si>
  <si>
    <t>https://www.marklines.com/en/global/10388</t>
    <phoneticPr fontId="1"/>
  </si>
  <si>
    <t>On December 4, Geely officially launched two new models of its Star lineup, the Preface L Zhiqing Edition compact sedan and the Tugella L Zhiqing Edition compact SUV. The Preface L Zhiqing Edition and the Tugella L Zhiqing Edition are equipped with the same powertrain, which consists of a 120kW/255Nm 1.5TD dedicated hybrid engine, a 100kW/320Nm motor, and a 3-speed intelligent variable-frequency dedicated hybrid transmission. Both have a front-engine FWD layout. The former delivers a WLTC combined fuel consumption of 4.22L/100km and a range of over 1,000km when fully fueled.</t>
    <phoneticPr fontId="1"/>
  </si>
  <si>
    <t>https://www.marklines.com/en/global/9568</t>
    <phoneticPr fontId="1"/>
  </si>
  <si>
    <t>According to multiple press releases dated December 4, NIO Automotive Technology (Anhui) Co., Ltd. was registered on the Vehicle Manufacturing Enterprise Credit Information Management System (VMECIMS) of the Ministry of Industry and Information Technology of China (MIIT).</t>
    <phoneticPr fontId="1"/>
  </si>
  <si>
    <t>On December 1, FAW-VW saw its 27 millionth finished vehicle, an ID.7 VIZZION, roll off the production line at FAW-Volkswagen Automotive Company Limited Foshan Branch.</t>
    <phoneticPr fontId="1"/>
  </si>
  <si>
    <t>According to multiple press releases dated November 30, CHJ (Zhoushan) Energy Service Co., Ltd. was recently established in Zhoushan, Zhejiang. The new company has a registered capital of CNY 1 million and is wholly owned by Beijing CHJ Energy Service Co., Ltd., a Li Auto subsidiary. The business scope includes R&amp;D of emerging energy technologies, manufacturing of photovoltaic equipment and elements, manufacturing of batteries, and development of AI theories and algorithm software.</t>
    <phoneticPr fontId="1"/>
  </si>
  <si>
    <t>https://www.marklines.com/en/global/9500</t>
    <phoneticPr fontId="1"/>
  </si>
  <si>
    <t>On November 19, Huaihai Holding Group Co., Ltd. announced the recent signing of a CNY 10 billion sodium-ion battery project with FinDreams Battery Co., Ltd., a BYD subsidiary, in Shenzhen, Guangdong. With a total planned investment amount of CNY 10 billion and an annual capacity of 30GWh, this project. In addition, FinDreams Battery signed an investment agreement on a sodium-ion battery manufacturing site project.</t>
    <phoneticPr fontId="1"/>
  </si>
  <si>
    <t>https://www.marklines.com/en/global/2953</t>
    <phoneticPr fontId="1"/>
  </si>
  <si>
    <t>Uruguay</t>
    <phoneticPr fontId="1"/>
  </si>
  <si>
    <t>On December 6, Stellantis announced that the new Fiat Titano, manufactured at Nordex plant in Uruguay, will be exported to Latin America and Africa in 2024. In each market the vehicle will focus in different characteristics, but both versions will be manufactured at the same plant.</t>
    <phoneticPr fontId="1"/>
  </si>
  <si>
    <t>https://www.marklines.com/en/global/171</t>
    <phoneticPr fontId="1"/>
  </si>
  <si>
    <t>On December 5, Renault announced that it is expanding its "The Future Is NEUTRAL" initiative by integrating the remanufacturing operations of the Flins Refactory. Aligned with Renault's circular economy strategy, The Future Is NEUTRAL offers a comprehensive solution for the automotive sector, including recycled materials, metal scrap recovery, parts reuse, and end-of-life vehicle management.</t>
    <phoneticPr fontId="1"/>
  </si>
  <si>
    <t>Lamborghini</t>
    <phoneticPr fontId="1"/>
  </si>
  <si>
    <t>https://www.marklines.com/en/global/1357</t>
    <phoneticPr fontId="1"/>
  </si>
  <si>
    <t>On December 5, Automobili Lamborghini and Unitary Trade Union Representation, alongside FIOM CGIL and FIM CISL, reached a draft agreement for the 2023-2026 corporate supplementary contract. The agreement emphasizes a collaborative approach to labor relations, recognizing Lamborghini's role in local economic and social development. The draft agreement introduces significant changes in work-life balance, offering greater flexibility. In the production area, a differentiated shift pattern will provide employees with a day off without impacting starting pay. Specifically, in the production area, a shift pattern differentiated by business area will be introduced that, by reshuffling working hours and alternating 4-day weeks with 5-day weeks, gives people one Friday off every 2 weeks (for 2-shift departments) or 2 Fridays off every 3 weeks (for 3-shift departments). It also commits to hire 500 new employees (net of turnover) with permanent contracts by December 2026.</t>
    <phoneticPr fontId="1"/>
  </si>
  <si>
    <t>On December 5, Daimler Truck announced that the Wörth plant is advancing its shift towards electrifying plant transport with the delivery of 20 battery-electric eActros 300s to logistics partners for inbound logistics. The initial twelve vehicles were handed over on December 4, with plans to conduct about 50 daily electric transports to the Wörth plant from the first quarter of 2024. The project is funded by the Federal Ministry for Digital and Transport with approximately EUR 3 million. The company is also developing an in-house charging infrastructure at the Wörth location.</t>
    <phoneticPr fontId="1"/>
  </si>
  <si>
    <t>According to multiple media sources on December 5, Japanese automakers have started to reduce production in China. Toyota Motor Corporation (Toyota) announced that its joint venture with China FAW Group Corporation, FAW Toyota Motor Co., Ltd., has partially halted its production lines because some production lines that are becoming old..</t>
    <phoneticPr fontId="1"/>
  </si>
  <si>
    <t>https://www.marklines.com/en/global/3497</t>
    <phoneticPr fontId="1"/>
  </si>
  <si>
    <t>Rivian CFO Claire McDonough shared plans at Barclays’ recent Automotive &amp; Mobility Tech Conference that the company is developing a new simplified battery pack structure for its R1 EVs different from the Standard pack. Assembly lines in Normal, Illinois will be idled for “several weeks” in Q2 2024 to prepare for the introduction of the new batteries and configurations on R1 vehicles, and that while EDV production should ramp back up fairly quickly, R1 assembly lines will take more time because “We’re introducing three battery packs, two different drive units, a brand new network architecture”, with a “ramp associated with each of those respective variants that will impact not only Q2 volumes, but also Q3 volumes” </t>
    <phoneticPr fontId="1"/>
  </si>
  <si>
    <t>Honda announced on December 1, 2023, that the company had issued a notice at the end of November to terminate the contracts with 900 dispatched workers at GAC Honda, Honda’s joint venture with Guangzhou Automobile. The reduction amounts to about 7% of the entire workforce.</t>
    <phoneticPr fontId="1"/>
  </si>
  <si>
    <t>https://www.marklines.com/en/global/2427</t>
    <phoneticPr fontId="1"/>
  </si>
  <si>
    <t>KG Mobility announced on November 30 that they will launch a new brand name. 'KGM', an abbreviation for KG Mobility, will be used as the representative brand name from now on. In overseas markets, it has been operating under the name 'KGM' since April 2023, but to unify the brand, it will also be launched in South Korea. Additionally, the 'KGM' brand name will be applied to all vehicle models produced after December 1st 2023.</t>
    <phoneticPr fontId="1"/>
  </si>
  <si>
    <t>https://www.marklines.com/en/global/9476</t>
    <phoneticPr fontId="1"/>
  </si>
  <si>
    <t>Bangkok</t>
  </si>
  <si>
    <t>On November 30, Neta Auto Thailand held the line-off celebration for the Neta V-II EV at its partner, Bangchan General Assembly (BGAC)’s plant. Neta Auto also confirmed its readiness to officially commence production of Neta V in Thailand for local distribution by Q1/2024.</t>
    <phoneticPr fontId="1"/>
  </si>
  <si>
    <t>On December 5, Stellantis Spain signed the new Stellantis Madrid collective agreement for 2024-2027, supported by 91% of worker representatives. The agreement includes the conversion of numerous contracts to permanent part-time status, implementation of flexibility mechanisms for competitiveness, introduction of a new professional entry level, and a salary review to maintain purchasing power.</t>
    <phoneticPr fontId="1"/>
  </si>
  <si>
    <t>On December 5, Renault do Brazil announced the investment of EUR 350 million at the Ayrton Senna Complex in Paraná for the production of a new C-SUV using the Renault Group's Modular Platform. The investment will benefit from favorable conditions granted by the State of Paraná and the current collective agreement with the Metalworkers Union of the Metropolitan Region of Curitiba, Brazil. Renault, as part of its International Game Plan 2027, revealed the plans for three new C-segment SUVs between 2024 and 2027. The upcoming vehicle will utilize an engine manufactured at the Ayrton Senna Complex by Horse, a company dedicated to the development and production of the next generation of hybrid low-emission powertrains, backed by a recent investment of USD 20 million.</t>
    <phoneticPr fontId="1"/>
  </si>
  <si>
    <t>On December 5, Daimler Truck announced that its engineers meticulously carry out vehicle testing to improve overall driver safety before safety assistance systems can go into series production. Comprehensive testing is conducted throughout the year at the development and testing center (EVZ) in Wörth and various global locations, including Finland, Spain, and Japan, in addition to its test track in Madras, Oregon. Each year, up to 60 vehicles undergo thorough endurance testing worldwide, accounting for approximately five million kilometers from 2020 to the conclusion of 2023.</t>
    <phoneticPr fontId="1"/>
  </si>
  <si>
    <t>On December 5, Lucid announced updates to the 2024 Air lineup with fewer models that have lower base prices with fewer standard features, but with the option to add them during the order process. For the 2024 model year, Lucid is offering the base Air Pure trim, midlevel Air Touring, the Air Grand Touring, and high-end Air Sapphire. The Air Grand Touring Performance trim is discontinued for 2024. All Lucid Air models are produced in Casa Grande, Arizona.</t>
    <phoneticPr fontId="1"/>
  </si>
  <si>
    <t>On December 4, the Italian Metalworkers Federation (FIM-CISL) announced that in the Ministry of Business and Made in Italy meeting, ACC clarified the timeline for its future battery factory in Termoli. Construction may begin in the coming weeks, with the first module operational by 2026, starting mass production at the year's end. The second and third blocks are anticipated in 2027. ACC plans to hire the first group in 2024, reaching 120 employees by year-end and expanding to 360 employees by 2025, 750 employees by 2026, 1,250 employees by 2027, and 1,800 employees by 2029.</t>
    <phoneticPr fontId="1"/>
  </si>
  <si>
    <t>On December 4, Suzuki Motor Gujarat Private Limited (SMG) announced that it achieved accumulated automobile production of 3 million units. SMG started production in February 2017 and achieved accumulated production of 3 million units in 6 years and 11 months. SMG produces models for Indian and for export market from the plant.</t>
    <phoneticPr fontId="1"/>
  </si>
  <si>
    <t>On December 4, Nissan confirmed that the USD 700 million investment announced in May 2022 will be for the Aguascalientes plant, where the new Nissan Kicks crossover will be manufactured. The investment is focused on improving facilities, re-equipping and developing automation, as well as training employees.</t>
    <phoneticPr fontId="1"/>
  </si>
  <si>
    <t>https://www.marklines.com/en/global/297</t>
    <phoneticPr fontId="1"/>
  </si>
  <si>
    <t>Announced on December 3, PT Chery Sales Indonesia (CSI) has officially begun initial production of its BEV model, the Omoda E5, for the first time in Southeast Asia. Previously known as the Omoda 5 EV, its CKD production is conducted at the assembly plant in Pondok Ungu, West Java. CSI held the “Omoda E5 Roll Off Ceremony” to mark the start of production. The Omoda E5’s distribution to customers is expected to be carried out in Q1/2024. </t>
    <phoneticPr fontId="1"/>
  </si>
  <si>
    <t>On December 2, JAC Group announced the signing of a cooperation agreement on intelligent New Energy Vehicles with Huawei Device Co., Ltd. (Huawei Device). The agreement is valid for 10 years from the date of signing. Based on Huawei intelligent automotive solutions, the two parties will conduct comprehensive cooperation in multiple areas such as product development, and manufacturing to co-develop luxury intelligent connected electric vehicles (EVs). Product development: JAC Group shall be overall responsible. The specific division of labor shall be subject to related agreements signed by Huawei Device and/or its affiliates with JAC Group. Manufacturing: JAC Group shall be responsible for the construction of manufacturing sites and, leveraging Huawei Device’s advantages in relevant fields, the building of advanced manufacturing capacity to realize the efficient delivery of the cooperative models.</t>
    <phoneticPr fontId="1"/>
  </si>
  <si>
    <t>Toyota Motor Corporation will resume operation of the second line at the Fujimatsu Plant of Toyota Auto Body Co., Ltd., which had been suspended, from the second shift (5:10 p.m.) on December 1. The possibility that the wrong parts may have been used on this second line was discovered, and confirmation work was undertaken. After it was confirmed that there was no quality problem in the production process, it was decided to resume operation. The second line produces minivans such as the Noah and Voxy. After suspending operations for two days on November 27 and 28, the line resumed operations on the first shift of November 29, but was suspended again at 11:30 a.m.</t>
    <phoneticPr fontId="1"/>
  </si>
  <si>
    <t>On December 1, a ceremony for the signing of a strategic cooperation agreement between Farizon and Sinotrans Limited (Sinotrans) was held in Hangzhou, Zhejiang. For this partnership, the two parties will conduct in-depth cooperation throughout the methanol industrial chain to promote the full application of methanol in the logistics industry. Regarding finished vehicles and components, they will jointly explore full-chain efficient transportation at home and abroad.</t>
    <phoneticPr fontId="1"/>
  </si>
  <si>
    <t>On December 1, Arcfox, a BAIC Group sub-brand, officially started accepting pre-orders for the new Alpha T5 compact battery electric SUV. The Alpha T5 is equipped with a permanent magnet synchronous motor (185kW/360Nm and 200kW/360Nm for the 520km- and 660km-range variants, respectively) and has a 2WD layout and a 0 to 100km/h acceleration time of 7.5 seconds. The Alpha T5 is powered by a Qualcomm Snapdragon 8155 chip.</t>
    <phoneticPr fontId="1"/>
  </si>
  <si>
    <t>On December 1, the metalworkers at the General Motors factory in São José dos Campos approved the opening of a Voluntary Dismissal Program (PDV). People can join from December 5 to 12 to sign up and 830 workers are expected to join. This program is made in response to the arbitrary dismissals that the GM automaker carried out in October, and which were annulled by the Brazilian court.</t>
    <phoneticPr fontId="1"/>
  </si>
  <si>
    <t>On November 30, Northvolt announced that it has established a multi-disciplinary team to accelerate next-generation battery technologies using machine learning and other AI-driven solutions. At Northvolt Ett in northern Sweden, it has implemented a new solution, which couples sensing technology developed in-house by the Machine Vision team with machine learning algorithms developed by the ML algorithms team at Northvolt Labs. Using this technology, defects are identified at material processing speeds of up to 50-70 meters/min in electrode coating production and less than a second per sheet in stacking. The defective material is flagged and selected for manual inspection or scrapped. The final results of this can be seen in scrap costs, process tuning latency as well and key knowledge about the manufacturing process.</t>
    <phoneticPr fontId="1"/>
  </si>
  <si>
    <t>Toyota Motor Corporation announced on November 30 the introduction in Japan of the RZ300e, a FWD model of the Lexus RZ, the brand's first battery electric vehicle (BEV)-only model. Like the AWD model RZ450e launched in March, the RZ300e adopts the BEV-exclusive e-TNGA platform. The inverter that drives the front motor uses a silicon carbide (SiC) element to minimize power loss, enabling a cruising range of 599 km.</t>
    <phoneticPr fontId="1"/>
  </si>
  <si>
    <t>On November 29, Toyota Motor Corporation suspended operations again at 11:30 a.m. on the second line at Toyota Auto Body Co., Ltd.'s Fujimatsu Plant, which produces minivans such as the Noah and Voxy. This was due to concerns that the wrong parts may have been used in the manufacturing process, and confirmation was required. The second line was shut down for two days on November 27 and 28, and resumed operations from the first shift on November 29 as scheduled. However, it was shut down again after 11:30 a.m. on the same day, and the first shift operation was suspended on the 30th as well. A decision on whether to operate the second shift on the 30th will be made on the same day.</t>
    <phoneticPr fontId="1"/>
  </si>
  <si>
    <t>On November 30, Xingji Meizu Group (Xingji Meizu), a smartphone manufacturer subordinate to Geely, held a fall launch for the Flyme ecosystem in Wuhan, Hubei. Officially announced Xingji Meizu’s entry into the automobile market.</t>
    <phoneticPr fontId="1"/>
  </si>
  <si>
    <t>On November 29, Isuzu Motors Limited (Isuzu) announced the construction of a new Electric Vehicle Development and Testing Facility, "The EARTH lab.", at its Fujisawa Plant. The facility will be used to test and evaluate equipment to develop optimal systems and components for commercial electric vehicles, and is scheduled to start operation in June 2026. The total investment is approximately CNY 40 billion. Isuzu intends to deploy electrified products across all commercial vehicle segments by 2030 in order to contribute to the realization of a carbon-neutral (CN) society. By evaluating and developing systems and components on its own, Isuzu aims to accelerate vehicle development. The new facility is a five-story building with a total floor space of approximately 27,000 square meters. It will employ facilities for testing and evaluating batteries, motors, EV systems, thermal management, etc.</t>
    <phoneticPr fontId="1"/>
  </si>
  <si>
    <t>Toyota Motor Corporation launched the Land Cruiser "70" SUV in Japan on November 29. The Land Cruiser "70" is a heavy-duty type of the Land Cruiser series that was born in 1984 as the successor to the Land Cruiser "40". It was discontinued in Japan in 2004, but was re-launched in 2014 for a limited time to commemorate the 30th anniversary of its original release. This second re-launch of the model features updated powertrain, handling stability, design, and safety features, and is introduced as a regular model in the range. The 1GD-FTV 2.8-liter direct-injection turbo diesel engine (maximum output 150kW, maximum torque 500Nm) mated to a 6-speed AT is adopted for the powertrain. While ensuring powerful driving performance, it also demonstrates high fuel efficiency (10.1km/L in WLTC mode). Safety features include a rearview monitor and the Toyota Safety Sense preventive safety package. The manufacturer's suggested retail price (including tax) is JPY 4.8 million. The model is produced at Toyota Auto Body's Yoshiwara Plant, with monthly sales of 400 units targeted. The subscription service "KINTO" also started handling the model on the 29th.</t>
    <phoneticPr fontId="1"/>
  </si>
  <si>
    <t>On November 29, SAIC Motor-CP and MG Sales Thailand, at the 40th Thailand International Motor Expo 2023, revealed that the first EV model to be manufactured and distributed in Thailand is the new MG4 Electric, a rear-wheel-drive electric hatchback.</t>
    <phoneticPr fontId="1"/>
  </si>
  <si>
    <t>https://www.marklines.com/en/global/3333</t>
    <phoneticPr fontId="1"/>
  </si>
  <si>
    <t>On November 29, FAW Group and China Electronics Corporation (CEC) signed a strategic cooperation framework agreement in Shenzhen. According to the agreement, the two parties will conduct strategic cooperation in areas such as strengthening deep integration of the automotive and IT industries, co-development and application of automotive chips, and marketization research on data security and data elements to jointly promote the integrated development of advanced computing systems and the automotive industry.</t>
    <phoneticPr fontId="1"/>
  </si>
  <si>
    <t>https://www.marklines.com/en/global/9505</t>
    <phoneticPr fontId="1"/>
  </si>
  <si>
    <t>On November 29, Dayun Group and the National New Energy Vehicle Technology Innovation Center (NEVC) signed a strategic cooperation agreement in Yuncheng, Shanxi. In the future, they will conduct cooperation on core technologies for NEVs.</t>
    <phoneticPr fontId="1"/>
  </si>
  <si>
    <t>https://www.marklines.com/en/global/4011</t>
    <phoneticPr fontId="1"/>
  </si>
  <si>
    <t>On November 28, DFCV held the 2024 Partner Conference in Wuhan, Hubei. When DFCV will launch a total of 206 new models that cover four brands at home and abroad, 98 scenarios, and multiple technology routes such as ICE, gas, and New Energy powertrains. In 2025, DFCV will launch the D600 next-generation architecture and 131 new models covering ICE, gas, New Energy, and intelligent driving vehicles.</t>
    <phoneticPr fontId="1"/>
  </si>
  <si>
    <t>https://www.marklines.com/en/global/651</t>
    <phoneticPr fontId="1"/>
  </si>
  <si>
    <t>On December 4, Toyota Europe unveiled the Hilux Hybrid 48V, the first electrified model in its pick-up range. The vehicle arrives in the UK and Europe in mid-2024. It is equipped with a 2.8-liter diesel engine enhanced with a hybrid 48V system. The engine generates output of 201 bhp and 500 Nm of torque. The Hilux Hybrid 48V is compatible with HVO100 diesel made from 100% renewable sources. The lightweight 48V battery delivers up to 12kW of power and 65Nm of torque to the engine. The model is part of the reinvigorated Toyota Professional line-up of commercial vehicles featuring the all-new Proace Max and updated Proace and Proace City.</t>
    <phoneticPr fontId="1"/>
  </si>
  <si>
    <t>On December 4, Porsche marked the achievement of two-millionth vehicle rolled off from the Leipzig production line. The milestone vehicle is Panamera Turbo E-Hybrid in Madeira Gold Metallic. The Panamera model line has been in production at the Leipzig facility since 2009.</t>
    <phoneticPr fontId="1"/>
  </si>
  <si>
    <t>On December 4, multiple sources reported that Hyundai Motor Manufacturing Rus LLC has extended the downtime of its plant in St. Petersburg till the end of 2023. The plant stopped the production of cars in March 2022.</t>
    <phoneticPr fontId="1"/>
  </si>
  <si>
    <t>On December 4, Pak Suzuki Motor Company announced that Suzuki Motor Corporation (SMC), Japan intends to obtain full ownership of the company by purchasing all the shares/securities held by minority shareholders. SMC has proposed to purchase 26.91% (22.14 million shares) of the paid-up capital of the company.</t>
    <phoneticPr fontId="1"/>
  </si>
  <si>
    <t>On December 4 BMW Group announced it will set up a state-of-the-art Talent Campus in Munich and is planning to open it by summer 2025. The building will be constructed in the northeast part of the home plant, on the site of the former car park on Riesenfeldstraße. This new structure will be an open campus for providing training and education to more than 40,000 Munich-based employees.</t>
    <phoneticPr fontId="1"/>
  </si>
  <si>
    <t>On December 4, Lexus launched the all-new LBX, a self-charging hybrid electric crossover in Europe. The LBX will be the first Lexus model to be manufactured at Toyota's, Iwate plant in eastern Japan, with production starting in 2023. The vehicle is available to order, with deliveries to European customers starting from March 2024. The vehicle is the first Lexus to be built on the GA-B compact car global platform, to help produce the Lexus Driving Signature. The vehicle has a self-charging full-hybrid electric powertrain and a 1.5-litre three-cylinder VVT-iE engine, producing a total system output of 100 kW and peak torque of 185 Nm. The LBX is the second Lexus model with a bi-polar nickel metal hydride (NiMH) hybrid battery, accommodated beneath the rear seats, avoiding any loss of cabin space.</t>
    <phoneticPr fontId="1"/>
  </si>
  <si>
    <t>On December 4, Toyota unveiled the all-new PROACE MAX, its first large-sized commercial van in Europe. The vehicle will be available in 2024. The new PROACE MAX will be produced in Stellantis' plants in Gliwice, Poland, and Atessa, Italy. The diesel variant comes with a low-emission Euro 6E-compliant diesel engine with six-speed manual or eight-speed automatic transmissions, offering 88 kW to 132 kW of power, depending on the specification of the vehicle. Whereas the electric variant provides 200 kW of power and 410 Nm of torque. The electric PROACE MAX comes with a 110 kWh battery, offering 420 km (WTLP standard) of driving range. The battery can be recharged to 80% in 55 minutes via a fast-charging system, capable of up to 150 kW.</t>
    <phoneticPr fontId="1"/>
  </si>
  <si>
    <t>https://www.marklines.com/en/global/1687</t>
    <phoneticPr fontId="1"/>
  </si>
  <si>
    <t>On December 3, the Italian Metalworkers Federation (FIM-CISL) announced that Stellantis' management confirmed the production of the Fiat Panda until 2026 at a union meeting in Mirafiori plant. Regarding the Pomigliano d'Arco plant in Campania, they mentioned assigning another model without specifying it. For the union, it's crucial to know the replacement model for the current Panda as the Pomigliano d'Arco plant is thriving with Alfa Romeo Tonale, Dodge Hornet, and Fiat Panda production, preventing layoffs and absorbing 1,200 workers. In the upcoming ministerial meeting on December 6, 2023, the focus will be on securing guarantees for maintaining current production and employment levels.</t>
    <phoneticPr fontId="1"/>
  </si>
  <si>
    <t>On December 3, multiple sources reported that Northvolt will receive a EUR 564 million grant from the German Ministry of Economic Affairs and Climate Action (BMWK) for the construction of battery cell production facilities near Heide in Schleswig-Holstein. Northvolt will also receive EUR 136 million from the state of Schleswig-Holstein.</t>
    <phoneticPr fontId="1"/>
  </si>
  <si>
    <t>On December 2, NWTN Inc. announced an agreement with Autostrad Car Rental Company for the purchase of two hundred Rabdan One vehicles for their fleet. The Rabdan One fleet will initially be leased for the prestigious COP 28 event. The Rabdan One is a high-performance intelligent SUV.</t>
    <phoneticPr fontId="1"/>
  </si>
  <si>
    <t>https://www.marklines.com/en/global/10584</t>
    <phoneticPr fontId="1"/>
  </si>
  <si>
    <t>According to multiple press releases dated November 30, Zedriv recently added a new bankruptcy review case, which was filed by Ganzhou Zhanggong District State-Owned Assets Investment Co., Ltd. and handled by the Ganzhou Intermediate People’s Court.</t>
    <phoneticPr fontId="1"/>
  </si>
  <si>
    <t>On November 27, Lotus Technology (Lotus Tech) announced that it has signed agreements for approximately USD 870 million in private investment in public equity (PIPE) financing and convertible notes this year, ahead of the anticipated completion of Lotus Tech's planned merger with L Catterton Asia Acquisition Corp. (LCAA), a special purpose acquisition company. According to the financing agreements, the funds will be used to further advance Lotus Tech's development of next-generation automobility technologies, promote product innovation, support the Company's expansion of its global distribution network, and for general corporate purposes. Lotus Tech will become a Nasdaq-listed public corporation, upon the completion of the Merger Agreement. The merged business is expected to keep Lotus Tech's name, as "Lotus Technology Inc.," and its ordinary shares will be listed under the ticker symbol "LOT."</t>
    <phoneticPr fontId="1"/>
  </si>
  <si>
    <t>https://www.marklines.com/en/global/1881</t>
    <phoneticPr fontId="1"/>
  </si>
  <si>
    <t>Serbia</t>
    <phoneticPr fontId="1"/>
  </si>
  <si>
    <t>On December 4, multiple sources reported that the new Fiat Panda EV will be manufactured in Serbia, as announced by the Serbian president. Stellantis is expected to produce the battery-electric city vehicle in the Kragujevac plant, Serbia and enhance the trade between Italy and Serbia. The current Fiat Panda is produced near Naples, Italy, and the new model is anticipated to launch in mid-2024.</t>
    <phoneticPr fontId="1"/>
  </si>
  <si>
    <t>On December 4, Faraday Future (FF) announced a partnership with the Abu Dhabi Investment Office (ADIO) to bring its generative AI and advanced EV to the Smart and Autonomous Vehicles Industry (SAVI) cluster in Abu Dhabi. ADIO will work with FF to establish a regional headquarters, manufacturing facility, and an advanced research and development (R&amp;D) center focusing on next-generation electric vehicle and AI technology in Abu Dhabi and exploring UAE capital markets activities. ADIO and FF will also deploy resources to develop leading regulatory frameworks that enhance the creation of advanced smart autonomous vehicle solutions and applications.</t>
    <phoneticPr fontId="1"/>
  </si>
  <si>
    <t>On December 1, Audi Hungaria celebrated the completion of its 500,000th electric drive in Győr plant, destined for the Audi SQ8 e-tron in Brussels. The electric drives are transported on climate-neutral "green trains". The powertrain production began in Győr 30 years ago, and in 2018, Audi Hungaria expanded its portfolio to include electric drives. The company started manufacturing its latest electric motor, the Premium Platform Electric (PPE), from November 2023.</t>
    <phoneticPr fontId="1"/>
  </si>
  <si>
    <t>On December 1, multiple sources reported that the production of VW ID.3 and Cupra Born will pause in Zwickau and Dresden next week, extending until year-end after meeting production targets. VW ID.4, ID.5, and two Audi models will resume production in Zwickau on December 4, 2023, following a temporary halt due to engine shortage of the new 210 kW APP550 engine.</t>
    <phoneticPr fontId="1"/>
  </si>
  <si>
    <t>https://www.marklines.com/en/global/2275</t>
    <phoneticPr fontId="1"/>
  </si>
  <si>
    <t>NEVS</t>
    <phoneticPr fontId="1"/>
  </si>
  <si>
    <t>https://www.marklines.com/en/global/2685</t>
    <phoneticPr fontId="1"/>
  </si>
  <si>
    <t>On December 1, EV Electra, Lebanon acquired the Emily GT and PONS projects from NEVS. EV Electra's takeover of the projects takes place after long negotiations and secures the future of both projects in Trollhättan. EV Electra established a new subsidiary in Sweden to underline its commitment to develop and manufacture the projects locally. Emily GT was developed in just 9 months by NEVS engineers. The Emily GT will retain its model name as the EV Electra Emily GT. The PONS project is a complete self-driving mobility system for urban environments.</t>
    <phoneticPr fontId="1"/>
  </si>
  <si>
    <t>https://www.marklines.com/en/global/2687</t>
    <phoneticPr fontId="1"/>
  </si>
  <si>
    <t>On December 1, Toyota Motor Corporation (TMC) announced a significant regional restructuring, reemphasizing the pivotal role of India in the company's global strategy. Currently, as a part of the Asia Region, the Indian market already enjoys high priority. With this change, India will now play an even more crucial role by being integrated into the Middle East, East Asia &amp; Oceania Region and acting as the hub of the new "India, Middle East, East Asia &amp; Oceania Region" starting January 1, 2024.</t>
    <phoneticPr fontId="1"/>
  </si>
  <si>
    <t>On November 30, multiple sources reported that Stellantis' Metz-Borny plant, France, is set to receive EUR 60 million investment for expanding production. The funds will be allocated to establish five new production lines dedicated to manufacturing components for the group's hybrid and EV gearboxes. These lines are expected to be operational by October 2024, with an anticipated production capacity of 600,000 elements. The new production lines will focus on assembling clutches (three lines), differentials (one line), and hydraulic modules (one line). The manufactured parts will serve Stellantis' European facilities.</t>
    <phoneticPr fontId="1"/>
  </si>
  <si>
    <t>https://www.marklines.com/en/global/531</t>
    <phoneticPr fontId="1"/>
  </si>
  <si>
    <t>On November 30, Subaru (UK) Ltd announced that it will launch the new Subaru Crosstrek in the UK in early 2024. It will replace the outgoing XV model. Built on the Subaru Global Platform, it has a 2.0-liter e-BOXER powertrain, mated to a Lineartronic gearbox. Additional power comes from a lightweight, lithium-ion battery and electric motor. The Crosstrek comes as standard with the permanent symmetrical all-wheel-drive system and X-MODE.</t>
    <phoneticPr fontId="1"/>
  </si>
  <si>
    <t>On November 30, Changan Ford officially launched the Mondeo FHEV (Full Hybrid Electric Vehicle) midsize sedan. The Mondeo FHEV Powered by a 1.5T engine, an electronically controlled continuously variable transmission, and a next-generation ternary lithium battery with NCM111 cells, the vehicle delivers a combined power of 153kW, a 0 to 100km/h acceleration time of 7.5 seconds, a WLTC fuel consumption as low as 3.81L/100km, and an ultra-long range of 1,051km.</t>
    <phoneticPr fontId="1"/>
  </si>
  <si>
    <t>On November 29, FAW Group and the People’s Government of Guangdong Province signed a strategic cooperation framework agreement in Guangzhou, Guangdong. According to the agreement, focusing on the automotive industry and relevant fields, the two parties will conduct comprehensive cooperation in areas such as innovative R&amp;D, manufacturing, and social undertaking to jointly promote the construction of the Guangdong-Hong Kong-Macao Greater Bay Area (GBA).</t>
    <phoneticPr fontId="1"/>
  </si>
  <si>
    <t>On November 29, Zhejiang Geely Holding Group (ZGH) and NIO signed a strategic cooperation agreement on battery swapping in Hangzhou, Zhejiang for comprehensive cooperation in multiple areas such as R&amp;D and customization of battery-swappable vehicles.</t>
    <phoneticPr fontId="1"/>
  </si>
  <si>
    <t>On November 28, FAW Group and the Shenzhen Municipal People’s Government signed a strategic cooperation agreement in Shenzhen, Guangdong. According to the agreement, focusing on major national strategies, the two parties will conduct strategic cooperation in key areas such as R&amp;D of forward-looking technologies, overseas deployment of Chinese vehicles.</t>
    <phoneticPr fontId="1"/>
  </si>
  <si>
    <t>On November 28, FAW Jiefang signed a strategic cooperation framework agreement on hydrogen energy with Faurecia (Shanghai) Hydrogen Investment Co., Ltd. and Air Liquide (China) Holding Co., Ltd. in Changchun, Jilin. The three parties reached consensus on topics including hydrogen technology R&amp;D and hydrogen industrial chain layout. The three parties will conduct cooperation on liquid hydrogen heavy trucks to promote the commercial application of liquid hydrogen, accelerate the application of liquid hydrogen in the Chinese market, and expand the application scale of liquid hydrogen in the transportation sector.</t>
    <phoneticPr fontId="1"/>
  </si>
  <si>
    <t>https://www.marklines.com/en/global/3769</t>
    <phoneticPr fontId="1"/>
  </si>
  <si>
    <t>On November 28, the EV5 compact battery electric SUV officially rolled off the production line at Jiangsu Yueda Kia Motors Co., Ltd. (Jiangsu Yueda).</t>
    <phoneticPr fontId="1"/>
  </si>
  <si>
    <t>On November 28, the Harmony Intelligent Mobility Alliance (HIMA), a Huawei Smart Selection division, announced the official launch of the Luxeed S7 mid-to-large-size battery electric sedan, the first model co-developed by Huawei and Chery. The 550km-, 705km-, and 855km-range variants have a single-motor (rear permanent magnet synchronous motor, maximum power 215kW) RWD layout, delivering a 0 to 100km/h acceleration of 5.4 seconds. The 630km-range variant has a dual-motor (front asynchronous motor and rear permanent magnet synchronous motor, respective maximum power 150kW and 215kW) 4WD layout. 62kWh lithium-iron phosphate and 100kWh ternary lithium batteries complete the respective powertrains of the 550km- and 855km-range variants, while an 82kWh ternary lithium-ion and lithium manganese iron phosphate battery completes the powertrains of both the 705km- and 630km-range variants.</t>
    <phoneticPr fontId="1"/>
  </si>
  <si>
    <t>On November 25, Neta Auto announced the recent Costa Rican launch of the Neta U compact electric SUV.</t>
    <phoneticPr fontId="1"/>
  </si>
  <si>
    <t>On December 1, Škoda announced the beginning of production of the all-new Superb at the Bratislava plant of VW. This model was previously manufactured at the Kvasiny plant but has been moved to Bratislava to open production capacity at Kvasiny to produce additional units of Octavia, planning to start with it from summer 2024 onwards. Additionally, the move will allow more battery-electric vehicles to be built at the Mladá Boleslav plant.</t>
    <phoneticPr fontId="1"/>
  </si>
  <si>
    <t>Nissan will not build the next generation of the electric Leaf in North America, according to sources familiar with the matter. U.S. production of the current-generation Leaf is scheduled to end in 2025. Nissan has said the next-generation Leaf will be built in Sunderland, England, for the U.K. market, but has not yet announced export plans. In the U.S., Nissan is investing USD 500 million at its 4.7-million-square-foot plant in Canton, Mississippi, to build at least four BEV models.</t>
    <phoneticPr fontId="1"/>
  </si>
  <si>
    <t>On November 30, CEO Elon Musk delivered the first 12 Cybertrucks at a delivery event at Gigafactory Texas, The AWD version will have delivery available in 2024, as will the Cyberbeast AWD version. A RWD version will be available in 2025.</t>
    <phoneticPr fontId="1"/>
  </si>
  <si>
    <t>https://www.marklines.com/en/global/843</t>
    <phoneticPr fontId="1"/>
  </si>
  <si>
    <t>On November 28, it is reported that, in 2024, Jeep Recon SUV could be manufactured at Toluca plant, in Mexico and will be exported to North America and Europe. This vehicle will be built on the modular STLA Large platform used also in RAM trucks and some other Jeep models and is expected to have a plug-in hybrid version. It is expected to have a totally electric version with 400 to 600 hp, but its technical specifications are still unknown. The manufacturing process will start during the second quarter of 2024 and the vehicle is expected to be available by the end of 2024.</t>
    <phoneticPr fontId="1"/>
  </si>
  <si>
    <t>On December 15, the President of Russia announced that Aurus, the luxury car brand of Russia, has started assembly of cars in the United Arab Emirates. He further stated that Russia has created an entire line of Aurus models limousines, sedans, and jeeps, and there will be buses.</t>
    <phoneticPr fontId="1"/>
  </si>
  <si>
    <t>https://www.marklines.com/en/global/2009</t>
    <phoneticPr fontId="1"/>
  </si>
  <si>
    <t>Prachinburi</t>
  </si>
  <si>
    <t>Announced on December 15, Honda Automobile (Thailand) Co., Ltd. has commenced its first production line for the Honda e:N1 electric SUV at the Honda plant in Rojana Industrial Park, Prachin Buri, since early December. Further details of the launch and distribution channels for the Honda e:N1 will be revealed in Q1/2024.</t>
    <phoneticPr fontId="1"/>
  </si>
  <si>
    <t>https://www.marklines.com/en/global/9279</t>
    <phoneticPr fontId="1"/>
  </si>
  <si>
    <t>Announced on December 15, Mitsubishi Motors has started production of the new Minicab EV at PT Mitsubishi Motors Krama Yudha Indonesia plant. This kei-car (Micro-car) class electric commercial vehicle will go on sale in Indonesia in Q4 of FY 2023. Known as the L100 EV in Indonesia, the Minicab EV is a monobox design vehicle equipped with the EV system proven in the world's first mass-produced EV, the i-MiEV. In addition, Mitsubishi Motors mentioned its plan to partially export the Pajero Sport midsize SUV from Indonesia in Q4 of FY 2023 as well.</t>
    <phoneticPr fontId="1"/>
  </si>
  <si>
    <t>On December 14, JAECOO announced that it will introduce its flagship crossover JAECOO J8 in Russia in the first quarter of 2024. It will have a two-liter turbocharged engine with a capacity of 249 hp, a unique adaptive CDC suspension, and an all-wheel drive system. Currently, the JAECOO model range is represented by crossover JAECOO J7. It will also introduce two plug-in hybrids (PHEVs), built based on the J7 and J8 crossovers. The release of JAECOO J7 PHEV is expected in the second quarter of 2024, and the flagship crossover JAECOO J8 in a hybrid version will appear on the Russian market by the third quarter.</t>
    <phoneticPr fontId="1"/>
  </si>
  <si>
    <t>On December 14, multiple sources reported that JSC AMO Kaluga Automobile Plant has started assembly of trucks at Volvo's former facility in Kaluga. It plans to produce 2,000 units of large-tonnage trucks under the Next brand in 2024. At the launch date, 18 units were being assembled. Plans call for commencing production of 50 units by the year-end. The Kaluga facility is expected to produce 12 large-tonnage, high-traction trucks per day in 2024.</t>
    <phoneticPr fontId="1"/>
  </si>
  <si>
    <t>On December 14, URAL Automobile Plant announced that it is planning to produce 19,400 vehicles in 2024. In 2023, it will produce 14,300 vehicles, last year this figure was 9,900.</t>
    <phoneticPr fontId="1"/>
  </si>
  <si>
    <t>https://www.marklines.com/en/global/2335</t>
    <phoneticPr fontId="1"/>
  </si>
  <si>
    <t>On December 13, JLR announced that it would reveal its first fully electric Range Rover in 2024. Prototype testing of the all-electric Ranger Rover is underway, with one of the most rigorous engineering sign-off programs ever. The Range Rover Electric is part of JLR's Reimagine strategy, built on the Modular Longitudinal Architecture (MLA) platform. The vehicle is the quietest and most refined Range Rover and comes with active road noise cancellation and 800V architecture for fast charging. The Range Rover electric can handle extreme temperatures and all terrains, including wading through water up to 850mm deep.</t>
    <phoneticPr fontId="1"/>
  </si>
  <si>
    <t>Lexus announced pricing for the third-generation GX mid-size SUV, which was unveiled for the U.S. market on June 8. The 2024 Lexus GX will have a starting MSRP of USD 64,250 for its lowest trim, while the highest of the six trims, the Luxury+ model, will have an MSRP of USD 81,250. The 2024 Lexus GX will be produced at Toyota’s Tahara plant in Japan and is expected to launch in the U.S. in early 2024.</t>
    <phoneticPr fontId="1"/>
  </si>
  <si>
    <t>London Taxis</t>
    <phoneticPr fontId="1"/>
  </si>
  <si>
    <t>https://www.marklines.com/en/global/9815</t>
    <phoneticPr fontId="1"/>
  </si>
  <si>
    <t>On December 12, LEVC revealed the all-new fully electric L380, Multi-Purpose Vehicle (MPV). L380 is the first model of a range of new, fully electric vehicles based on Geely Holding Group's Space Oriented Architecture (SOA). LEVC's new MPV comes with multiple seating configurations, available in a six or eight-seat layout. The new L380 will be launched initially in China in 2024, with additional markets to follow.</t>
    <phoneticPr fontId="1"/>
  </si>
  <si>
    <t>On December 12, the government of the state of Nuevo León announced that the companies to develop the infrastructure for Tesla’s Gigafactory are Interasfaltos, SA de CV; Urbanización AGV, SA de CV; Construction Regiomontana, SA de CV and Constructora y Arrendadora San Sebastián, SA de CV. The projects correspond to the design and construction of the expansion of the Saltillo-Monterrey federal highway, the connecting ramps, and the overpass. Together, the projects will cost more than MXN 445.6 million. The works will be carried out for 13 months, starting on January 29, 2024 and ending on March 1, 2025. </t>
    <phoneticPr fontId="1"/>
  </si>
  <si>
    <t>https://www.marklines.com/en/global/2517</t>
    <phoneticPr fontId="1"/>
  </si>
  <si>
    <t>Missouri</t>
  </si>
  <si>
    <t>GM will cancel production at its Wentzville Assembly plant in Missouri during the week of December 18 due to a parts shortage. Production is expected to resume on January 2, as the plant will be closed the week of December 25 due to the holidays. </t>
    <phoneticPr fontId="1"/>
  </si>
  <si>
    <t>https://www.marklines.com/en/global/9604</t>
    <phoneticPr fontId="1"/>
  </si>
  <si>
    <t>According to multiple press releases dated December 11, relevant contents in the 378th list of the “On-road Motor Vehicle Manufacturers and Products” announcement recently issued by the Ministry of Industry and Information Technology of China (MIIT) show that Spotlight Automotive, has been included in the List of New Vehicle Manufacturing Enterprises to be Released with a “newly established battery electric passenger vehicle manufacturing enterprise” remark. This means the company is about to be qualified for independent vehicle manufacturing.</t>
    <phoneticPr fontId="1"/>
  </si>
  <si>
    <t>On December 8, at an event held in the Chongqing Liangjiang New Area (CQLJ), six financial institutions signed agreements with six CQLJ enterprises including Changan Auto, Avatr. All the projects are closely related to three dominant industries the CQLJ has been accelerate developing: intelligent connected New Energy Vehicles, next-generation electronic information manufacturing, and next-generation Internet and software information.</t>
    <phoneticPr fontId="1"/>
  </si>
  <si>
    <t>https://www.marklines.com/en/global/10637</t>
    <phoneticPr fontId="1"/>
  </si>
  <si>
    <t>https://www.marklines.com/en/global/10780</t>
    <phoneticPr fontId="1"/>
  </si>
  <si>
    <t>On December 5, Symbio inaugurated the first gigafactory, SymphonHy, which is Europe's largest integrated fuel cell production site in Saint-Fons, Auvergne-Rhône-Alpes in France. The gigafactory includes the group's headquarters, a production plant, an innovation hub (of 7,000 square meters), and the Symbio Hydrogen Academy, with advanced automation and robotics.SymphonHy operates in the current area of 26,000 square meters (later on expanding to 40,000 square meters by 2026), the site’s current production capacity is 16,000 and it will aim for 50,000 by 2026. The energy self-sufficiency site also includes 450+ engineers, of which 100 are dedicated to innovation and 20+ are PhDs.Stellantis plans to incorporate Symbio's fuel cells in its LCVs i.e., Peugeot e-Expert, Citroën e-Jumpy, and Opel Vivaro-e models. Expanding to large vans with up to 500 km range and less than 10 minutes recharge, Stellantis plans hydrogen technology for Ram pickups, maintaining fast refilling without payload capacity compromise.For manufacturing bipolar plates (BPPs), a crucial component in fuel cells, Symbio partnered with Schaeffler to establish a 50/50 joint venture called Innoplate located in Alsace, France. SymphonHy is part of the HyMotive project, supported by the EU and the French government, with a total investment of EUR 1 billion.</t>
    <phoneticPr fontId="1"/>
  </si>
  <si>
    <t>Ferrari</t>
    <phoneticPr fontId="1"/>
  </si>
  <si>
    <t>https://www.marklines.com/en/global/1315</t>
    <phoneticPr fontId="1"/>
  </si>
  <si>
    <t>On December 13, Ferrari announced that it will introduce E-Lab, in partnership with Philip Morris International (PMI), where the two companies will leverage their technological expertise to explore energy-related technologies for the decarbonization of their production facilities in Maranello and Crespellano. The collaboration aims to evaluate solutions for industrial electrification in renewable energy generation, storage, and transformation. The initial study, focusing on long-duration energy storage technologies, is set to be completed by Q3, 2024. Ferrari has set a goal to achieve carbon neutrality by 2030.</t>
    <phoneticPr fontId="1"/>
  </si>
  <si>
    <t>https://www.marklines.com/en/global/9285</t>
    <phoneticPr fontId="1"/>
  </si>
  <si>
    <t>On December 13, multiple sources reported that AvtoVAZ's president announced that AvtoVAZ will produce more than 500 thousand cars in 2024. Its production plan for 2023 was 400 thousand cars.</t>
    <phoneticPr fontId="1"/>
  </si>
  <si>
    <t>VW Truck &amp; Bus / VWCO (TRATON)</t>
    <phoneticPr fontId="1"/>
  </si>
  <si>
    <t>https://www.marklines.com/en/global/2881</t>
    <phoneticPr fontId="1"/>
  </si>
  <si>
    <t>On December 13, Volkswagen Caminhões e Ônibus (VWCO) announced that e-Delivery, produced at the Resende plant in Rio de Janeiro, will now be exported to Uruguay, where sales have already started.</t>
    <phoneticPr fontId="1"/>
  </si>
  <si>
    <t>https://www.marklines.com/en/global/10680</t>
    <phoneticPr fontId="1"/>
  </si>
  <si>
    <t>On December 12, ABB signed a Memorandum of Understanding (MoU) with Gotion High-Tech at Gotion's first battery manufacturing factory in Göttingen, Germany. The collaboration aims to support the construction of lithium-ion battery factories to serve the European and US electric vehicle (EV) markets. Under the agreement, ABB will collaborate with Gotion High-Tech to supply a master design plan combining automation, electrification, and digital technologies. Gotion High-Tech is set to open a USD 2 billion lithium battery plant in Illinois and is also considering a factory in Morocco. The collaboration will introduce ABB products and services into Gotion High-Tech and explore a research and development (R&amp;D) partnership. They will also explore how Gotion High-Tech's battery cells, modules, and packs could be supplied to ABB and its affiliates.</t>
    <phoneticPr fontId="1"/>
  </si>
  <si>
    <t>On December 11, Dongfeng Motor (DFM) launched the next-generation Shine sedan in Jeddah, Saudi Arabia. The next-generation Shine and is powered by a 1.5T Mach Power engine and a Getrag dual-clutch transmission, delivering a maximum power of 145kW and a peak torque of 300Nm. The next-generation Shine will be introduced into other countries in the Middle East such as Oman and the UAE in the future.</t>
    <phoneticPr fontId="1"/>
  </si>
  <si>
    <t>https://www.marklines.com/en/global/2509</t>
    <phoneticPr fontId="1"/>
  </si>
  <si>
    <t>On December 11, General Motors confirmed it is extending the holiday shutdown period at Fort Wayne Assembly and Oshawa Assembly for maintenance and engineering projects the week of January 1, as well as the requisite week of December 25 for the Christmas holiday. The light-duty Chevrolet Silverado and GMC Sierra are built at the Fort Wayne plant, while Oshawa produces light- and heavy-duty Chevrolet Silverado pickups.</t>
    <phoneticPr fontId="1"/>
  </si>
  <si>
    <t>The UAW (United Auto Workers) union has filed unfair labor practice complaints against Honda (Greensburg, Indiana), Hyundai (Montgomery, Alabama) and Volkswagen (Chattanooga, Tennessee), claiming these facilities have engaged in illegal “union-busting” activities. Among the allegations are that Honda workers were placed under additional surveillance, Hyundai banned any pro-union materials in non-work areas outside of normal working hours, and that VW has confiscated and destroyed pro-union materials. The OEMs deny the allegations.</t>
    <phoneticPr fontId="1"/>
  </si>
  <si>
    <t>According to Elon Musk, the second assembly facility for the Cybertruck will be located at the Tesla Gigafactory, in Santa Catarina, Mexico. "The first production line will be here at the Texas factory, in these facilities. Nuevo Leon will be the second location," said Musk.</t>
    <phoneticPr fontId="1"/>
  </si>
  <si>
    <t>https://www.marklines.com/en/global/9989</t>
    <phoneticPr fontId="1"/>
  </si>
  <si>
    <t>On December 13, Hyundai Motor Europe Technical Center GmbH (HMETC), the hub of Hyundai Motor Group’s (the Group) European research and development (R&amp;D) operation, has broken ground on its new, state-of-the-art research center in Germany. The opening of new facility is planned for 2025.The new labs will focus on the most advanced technological innovations, such as the development of advanced driver-assistance systems (ADAS), infotainment functions and electrification. The facilities include the group’s largest 4W NVH Dyno, capable of measuring a complete vehicle lineup in one platform, along with two Chassis Dynos and a Powertrain Dyno, enhancing the advanced testing capabilities.</t>
    <phoneticPr fontId="1"/>
  </si>
  <si>
    <t>https://www.marklines.com/en/global/2201</t>
    <phoneticPr fontId="1"/>
  </si>
  <si>
    <t>On December 12, multiple sources reported that Audi has laid off a significant number of temporary workers at its Neckarsulm plant due to challenging market conditions, citing a volatile market situation as the reason. The company has confirmed the impact on several hundred individuals. The Neckarsulm plant employs over 15,500 workers, with permanent staff having an employment guarantee until 2029.</t>
    <phoneticPr fontId="1"/>
  </si>
  <si>
    <t>https://www.marklines.com/en/global/9883</t>
    <phoneticPr fontId="1"/>
  </si>
  <si>
    <t>Algeria</t>
    <phoneticPr fontId="1"/>
  </si>
  <si>
    <t>On December 12, Stellantis initiated production in its Tafraoui plant in Algeria, aiming to increase the country's automotive sector by locally manufacturing Fiat models, including Fiat 500 and Fiat Doblò. A letter of intent has been signed between Stellantis and the Algerian Authorities, outlining plans to accelerate the company's contribution to the development of the automotive industry. The Tafraoui plant will initially assemble 90,000 cars annually, featuring four models, starting with the Fiat 500 and Fiat Doblò. In 2024, production is targeted at 40,000 units in SKD, reaching 90,000 units in CKD by 2026. The project has already created 500 direct jobs in Algeria in 2023, with plans to reach 1,200 jobs by the end of 2024 and 2,000 jobs by 2026. Stellantis is committed to supporting Algerian authorities in developing the automotive industry, including a localization rate surpassing 35% in 2026.</t>
    <phoneticPr fontId="1"/>
  </si>
  <si>
    <t>Scout Motors</t>
    <phoneticPr fontId="1"/>
  </si>
  <si>
    <t>https://www.marklines.com/en/global/10676</t>
    <phoneticPr fontId="1"/>
  </si>
  <si>
    <t>On December 12, Volkswagen-backed EV startup Scout Motors Inc. received approval for a USD 10 million Michigan Business Development Program grant to offset costs for a new innovation center in Novi. Scout Motors will make a capital investment of USD 11 million and create 200 jobs. The proposed operations will be the hub for the company's product design and engineering teams for its electric trucks and rugged SUVs in the U.S. Other locations were considered, including ones closer to the plant in South Carolina that will launch production by the end of 2026. </t>
    <phoneticPr fontId="1"/>
  </si>
  <si>
    <t>https://www.marklines.com/en/global/10675</t>
    <phoneticPr fontId="1"/>
  </si>
  <si>
    <t>On December 12, Volkswagen announced that the North American entity of the Volkswagen Group’s battery company, headquartered in St. Thomas, Ontario, will be named PowerCo Canada Inc., and will serve to steer all activities of the battery company in North America. Current activities include setting up the local office in downtown St. Thomas, continuing local hiring and signing agreements with local providers such as electricity transmission and distribution service provider Hydro One, Ontario-based Project Management Consultant Turner &amp; Townsend and General Designer WSP. Tthe site of its future cell gigafactory in St. Thomas is now prepared for groundbreaking and start of construction in 2024, ahead of it projected start of production in 2027.</t>
    <phoneticPr fontId="1"/>
  </si>
  <si>
    <t>On December 11, Volkswagen Commercial Vehicles introduced a completely redesigned range of Transporter and Caravelle variants. The new lineup comprises three models: Transporter, Multivan, and ID.Buzz. The lineup includes panel vans, Kombi, dropside vehicles with double cabs, and the Caravelle, offering various combinations with turbodiesel engines (TDI), plug-in hybrid drive (eHybrid), and all-electric drives (e-Transporter and e-Caravelle). Focusing on the third new bus: the redesigned Transporter and Caravelle, featuring electric drive and assist systems with a payload of over a tonne.</t>
    <phoneticPr fontId="1"/>
  </si>
  <si>
    <t>https://www.marklines.com/en/global/857</t>
    <phoneticPr fontId="1"/>
  </si>
  <si>
    <t>Ford is cutting production of its all-electric F-150 Lightning pickup truck at the Rouge Electric Vehicle Center to 1,600 vehicles per week, starting in January, half of planned production, according to a recent supplier memo. Ford had shut the plant down for six weeks this summer to expand capacity after announcing in January 2022 that it planned to double Lightning production to 150,000 vehicles per year. In October, Ford said it would cut USD 12 billion in planned EV investment, including halving the size of its Marshall, Michigan battery plant, delaying the launch of production by one year at one of its two battery plants in Kentucky with SK On by one year, and cutting production of the Mustang Mach-E in Mexico.</t>
    <phoneticPr fontId="1"/>
  </si>
  <si>
    <t>smart</t>
    <phoneticPr fontId="1"/>
  </si>
  <si>
    <t>https://www.marklines.com/en/global/10336</t>
    <phoneticPr fontId="1"/>
  </si>
  <si>
    <t>On December 8, Smart initiated a sustainability strategy aligned with UN sustainable development goals, comprising Integrity, Product, Climate, Circularity, and Employees in 2022. The goal is to develop eco-friendly products across the value chain, adhering to environmental standards. The smart manufacturing factory, labeled a "Green Factory" in October 2022, features a 52 MW photovoltaic system, reducing CO2 emissions by about 27,000 tons annually. The company is aiming for a climate-neutral electric vehicle by 2045. Smart is committed to the circular economy and responsible sourcing, aiming for a lower-carbon and fairer value chain by incorporating recycled and sustainable materials. The smart #1 and #3 vehicles include 18% recycled steel and 25% recycled aluminum, with the #1 achieving a recycling rate of around 95.82%.</t>
    <phoneticPr fontId="1"/>
  </si>
  <si>
    <t>On December 8, BAIC Group held a strategic cooperation agreement signing ceremony with Bank of Communications (BOCOM). The latter will provide the former with a CNY 100 billion strategic cooperation quota. For this partnership, the emphasis is on supporting independent BAIC Group sub-brands in New Energy Vehicle development, supporting BAIC Group in finished vehicle innovation, and supporting enterprises in the industrial chain in technology innovation to deeply integrate the capital, industrial, and innovation chains and establish a new strategic partnership.</t>
    <phoneticPr fontId="1"/>
  </si>
  <si>
    <t>On December 8, NIO Capital announced that it recently led a Series C+ investment of hundreds of millions of CNY in Enkris Semiconductor, Inc.. The funds raised will be used to expand production capacity and strengthen the innovation and R&amp;D of new products and technologies.</t>
    <phoneticPr fontId="1"/>
  </si>
  <si>
    <t>On December 8, Ultium Cells announced that the first batch of battery cells had been manufactured at its Spring Hill plant, which has been under construction since 2021. With construction of the plant currently expected to be completed by early 2024 – as construction was delayed a few months – it is likely that production of the battery cells in Spring Hill will slowly ramp up to full-scale levels over the course of the year. The Ultium Cells Warren plant has been producing Ultium battery cells since September 2022, while the steel structure of the Ultium Cells Lansing plant was finished in March 2023.</t>
    <phoneticPr fontId="1"/>
  </si>
  <si>
    <t>On December 12, Renault Trucks and TotalEnergies announced a partnership for a solar canopy project at Renault Trucks' Bourg-en-Bresse industrial site. The project aims to equip the Bourg-en-Bresse industrial site with solar canopies covering an area of 17 hectares, with a total output of over 22 peak megawatts. The solar canopies are due to be commissioned in 2026. The facility will consume a portion of the energy generated by the solar power station. The canopies will provide 30% of the power needed at the site, which will also have the added benefit of protecting both employees' vehicles and the trucks produced at the plant.</t>
    <phoneticPr fontId="1"/>
  </si>
  <si>
    <t>On December 11, Opel introduced the fully electric Astra Sports Tourer. The electric variant generates the output of 156 hp and 270 Nm torque, and a top speed of 170 km/h. Featuring a compact 54 kWh lithium-ion battery, the Astra Sports Tourer Electric achieves a range of up to 413 km and fast charging to 80% capacity in 30 minutes at a 100 kW DC fast-charging station.</t>
    <phoneticPr fontId="1"/>
  </si>
  <si>
    <t>On December 11, BBVA, a customer-centric global financial services group in Spain, announced that it is supporting AESC in the construction and operation of a gigafactory based in Douai (France), next to Renault ElectriCity production sites. The project financing amounts to EUR 819 million. The gigafactory will start operations in 2025 with a 9 GWh production capacity of NMC batteries mainly to be supplied to Renault and aims to reach a production capacity of up to 30 GWh/year by 2030, creating up to 3,000 new jobs. BBVA is further supporting AESC and has provided EUR 90 million in guarantees needed by AESC Spain to secure EUR 300 million in loans and grants from the Spanish government's Strategic Project for Economic Recovery and Transformation program (PERTE).</t>
    <phoneticPr fontId="1"/>
  </si>
  <si>
    <t>On December 11, Volvo Cars, along with its automotive distributor, Al-Futtaim Trading Enterprises, launched its fully electric Volvo EX30 compact SUV in the UAE. The EX30 is available for booking in four grades, with prices starting from AED 149,900. The EX30 comes with two battery options, a 51-kWh lithium-iron-phosphate (LFP) pack and a 69-kWh nickel-cobalt-manganese (NMC) variant. The standard Core grade comes with a single motor option and an LFP battery pack. The Plus grade comes with a single motor option and an NMC extended-range battery. The Ultra Performance variant comes with an NMC battery with an additional second e-motor and an all-wheel drive option, which delivers 315kW of power and has a 0-100 km/h acceleration time of 3.6 seconds.</t>
    <phoneticPr fontId="1"/>
  </si>
  <si>
    <t>Production of the 2024 Chevrolet Corvette E-Ray hybrid has been pushed back yet once again, now to begin the week of December 11. The Corvette E-Ray had been in pre-production since May and was to begin regular mass production on October 23, before it was pushed back to November 27. Like all C8 Corvette variants, the E-Ray rides on the GM Y2 platform and is produced exclusively at the GM Bowling Green plant in Kentucky. </t>
    <phoneticPr fontId="1"/>
  </si>
  <si>
    <t>On December 9, Stellantis announced that the last of a legend, the HEMI-powered Chrysler 300C, rolling off the line at the Brampton Assembly Plant as the top vehicle of the 300 line. Production of the entire 2023 Chrysler 300 line will come to an end no later than December 31, 2023 as the company moves forward on an electrified transformation that will launch the brand’s first battery-electric vehicle in 2025 and offer an all-electric portfolio in 2028.</t>
    <phoneticPr fontId="1"/>
  </si>
  <si>
    <t>https://www.marklines.com/en/global/10697</t>
    <phoneticPr fontId="1"/>
  </si>
  <si>
    <t>Chile</t>
    <phoneticPr fontId="1"/>
  </si>
  <si>
    <t>On December 8, Porsche announced that it has signed a letter of intent with the Baden-Württemberg state government, and the Centre for Solar Energy and Hydrogen Research Baden-Württemberg (ZSW) to further develop and support direct air capture (DAC) technology, which has significant potential in the fight against climate change. DAC is a method of removing CO2 from the air, and the extracted CO2 can be utilized for renewable synthetic fuels (eFuels), products like beverages, plastics, or graphite for battery production, or stored in the ground long-term. Porsche sees DAC as a crucial future technology nearing mass production and is introducing it to the SDA (Baden-Württemberg Automotive Industry Strategic Dialogue) context.</t>
    <phoneticPr fontId="1"/>
  </si>
  <si>
    <t>https://www.marklines.com/en/global/10216</t>
    <phoneticPr fontId="1"/>
  </si>
  <si>
    <t>On December 8, BMW announced that its Technology Office, USA is celebrating 25 years in Silicon Valley with workshops, tech demos, and multi-sensory driving experiences, featuring the North American debut of the BMW Vision Neue Klasse. As an advanced R&amp;D facility, it focuses on emerging technologies and product design. For the first time, it will showcase past, present, and future projects like AR/VR journey and evolution, Intelligent Personal Assistant (IPA), EV battery development, and gain insights from the BMW team on their work in Silicon Valley, featuring unreleased projects.</t>
    <phoneticPr fontId="1"/>
  </si>
  <si>
    <t>On December 8, the United Auto Workers said more than 30% of Volkswagen workers at the OEM’s only U.S. plant in Chattanooga, Tennessee, had signed union authorization cards. If it receives 70% support, the UAW would demand recognition from the company, or else request a National Labor Relations Board election. However, the threshold needed to be able to pursue an NLRB election is 30%.</t>
    <phoneticPr fontId="1"/>
  </si>
  <si>
    <t>Rivian recently laid off 20 long-range battery cell development team members due to a change in priorities, according to a Rivian spokesperson, with the goal now to focus on developing more affordable batteries to sell in higher volumes. “We’re focusing the team on R2 [compact SUV] and its defined programs,” the spokesperson said. Rivian will continue to get its battery cells from Samsung SDI in South Korea, but is planning for a potential battery production facility of its own in the second phase of the plant it is currently building for the R2 in Stanton Springs, Georgia.</t>
    <phoneticPr fontId="1"/>
  </si>
  <si>
    <t>On December 7, the Secretariat of Environment and Natural Resources (SEMARNAT), authorized the “Unified Procedure for Change of Land Use Modality A”, a document that allows a property to be used for industrial purposes as well as getting authorization regarding the industrial impact of Tesla’s Gigafactory site. This permission allows the use of the property for industrial purposes as well as obtaining authorization regarding the industrial impact. The start of the plant operation is planned for 2027.</t>
    <phoneticPr fontId="1"/>
  </si>
  <si>
    <t>https://www.marklines.com/en/global/499</t>
    <phoneticPr fontId="1"/>
  </si>
  <si>
    <t>Suzuki Motor Corporation (Suzuki) announced on December 6 that it will launch a CVT version of its fully redesigned Swift compact passenger car on December 13 and a 5-speed manual transmission version on January 17, 2024 in Japan. Like its predecessor, the Swift is available in gasoline and mild hybrid versions, each with 2WD and 4WD configurations available. The powertrain is a newly developed Z12E 1.2L 3-cylinder engine (maximum output 60kW/maximum torque 108N-m) that delivers high fuel economy, combined with low-rigidity dampers and a newly developed, lightweight CVT. In addition to the CVT, a 5-speed manual transmission is also available for the mild hybrid 2WD model. Safety equipment includes Dual Sensor Brake Support II, which combines millimeter-wave radar and a monocular camera. This system has a larger angle of view and detection area than the Dual Sensor Brake Support system on the previous generation Swift. The all-new Swift will be produced at the Sagara Plant, with an annual sales target of 30,000 units. The newly developed Z12E engine will also be produced at the Sagara Plant. The all-new Swift will be gradually introduced to overseas markets as well.</t>
    <phoneticPr fontId="1"/>
  </si>
  <si>
    <t>On December 6, INEGI published the report of production of light vehicles in Mexico where the start of production of the new 2025 Jeep Cherokee at Toluca plant was revealed. This is a pre-production model made for starting tests and settings for mass production in mid-2024 at the same plant. The Toluca plant will possibly have some partial production stops during 2024 and 2025 for modernizing and adapting the plant for the mass production of the new Jeep Cherokee in ICE, hybrid, and electric versions.</t>
    <phoneticPr fontId="1"/>
  </si>
  <si>
    <t>https://www.marklines.com/en/global/17</t>
    <phoneticPr fontId="1"/>
  </si>
  <si>
    <t>On December 5, Ford Lio Ho Motor Co., Ltd. (Ford Lio Ho) launched a new model, the Focus Active Wagon, an addition to the fourth-generation Ford Focus series. It is produced at the company's plant in Taiwan. Measuring 4,693mm (overall length) x 1,844mm (overall width) x 1,537mm (overall height) with a wheelbase of 2,700mm, the new model offers practical space and optimal driving visibility. The minimum ground clearance is set at 163mm, making it suitable not only for urban use but also for off-roading. The powertrain is powered by a 1.5L EcoBoost turbocharged engine (maximum output: 182ps / maximum torque: 24.5kgm), mated to an 8-speed automatic transmission. The average fuel consumption is 16.1km/L. In addition to the floating type 13.2-inch LCD display and SYNC 4 infotainment system, the model is equipped with Ford Co-Pilot 360, an autonomous driving Level 2 driving assist system.</t>
    <phoneticPr fontId="1"/>
  </si>
  <si>
    <t>https://www.marklines.com/en/global/4105</t>
    <phoneticPr fontId="1"/>
  </si>
  <si>
    <t>On December 6, at the 2nd Guangdong-Hong Kong-Macao Greater Bay Area (Guangzhou) Hydrogen Energy Industry Conference and the 1st Guangzhou New Energy Storage Industry Conference, GAC Hino Motors Co., Ltd. (GAC Hino) unveiled Guangzhou’s first locally produced commercial hydrogen fuel cell vehicle (HFCV). This vehicle is the first hydrogen fuel cell heavy truck to feature GAC Group New Energy technologies, with a range of over 500km when fully refueled and a hydrogen consumption as low as 9kg/100km. In addition, GAC Hino signed a strategic cooperation agreement on 1,500 hydrogen logistics vehicles with GAC Business Co., Ltd. and other companies, covering development of finished vehicles.</t>
    <phoneticPr fontId="1"/>
  </si>
  <si>
    <t>On December 4, GAC Aion announced its recent official entry into the Cambodian market with the launch of the Aion Y Plus electric SUV. This is GAC Aion’s second overseas market worldwide after Thailand.</t>
    <phoneticPr fontId="1"/>
  </si>
  <si>
    <t>https://www.marklines.com/en/global/735</t>
    <phoneticPr fontId="1"/>
  </si>
  <si>
    <t>On December 8, Kamaz's board of directors approved a strategic development program for the period until 2030. Among the key goals that the company plans to achieve by this time are revenue of RUB 806 billion, and sales of trucks at the level of 60 thousand units. The investment program will amount to more than RUB 380 billion, the priority programs are "R&amp;D", "Reengineering 2.0", and "Development of new businesses and sales". Efforts will also be aimed at modernizing production facilities that meet the advanced level of the automotive industry. Among the main areas of development are the new KAMAZ product line (K5+ generation trucks, new families of passenger transport and Compass vehicles, carbon-free and highly automated transport) and new businesses (quarry and all-terrain equipment, integrated transport solutions, ecosystem of services).</t>
    <phoneticPr fontId="1"/>
  </si>
  <si>
    <t>https://www.marklines.com/en/global/8718</t>
    <phoneticPr fontId="1"/>
  </si>
  <si>
    <t>https://www.marklines.com/en/global/741</t>
    <phoneticPr fontId="1"/>
  </si>
  <si>
    <t>https://www.marklines.com/en/global/10385</t>
    <phoneticPr fontId="1"/>
  </si>
  <si>
    <t>https://www.marklines.com/en/global/10179</t>
    <phoneticPr fontId="1"/>
  </si>
  <si>
    <t>On December 8, multiple sources reported that Renault, in partnership with OYAK in Turkey plans to invest exceeding EUR 400 million to produce four new Renault models at the Oyak Renault factories in Bursa by 2027. As part of the 'International 2027 Game Plan,' Renault plans to make Turkey the export center for the brand, emphasizing the production of three SUV models in the B and C segments. The initial model, the new Renault Duster is also scheduled for release in the second half of 2024. Renault Turkey plans to drive a substantial shift towards hybrid and electric vehicles, with a 2027 target of one-third of overall sales being electric. A new-gen hybrid engine will be localized in Turkey by 2025, with every locally produced model offering a hybrid option. To support these goals, Renault is doubling its R&amp;D center's engineers in Bursa by 2025, reaching 500, and enhancing local engineering competency.</t>
    <phoneticPr fontId="1"/>
  </si>
  <si>
    <t>On December 8, AvtoTOR started production of the mid-size crossover KAIYI X7 Kunlun. The launch of production of the new model was carried out as part of the joint work of specialists from AvtoTOR and KAIYI. New software has also been developed for some of the equipment used in the bench testing area. The length of the new model is 4,710 mm, width 1,964 mm, height 1,705 mm, and wheelbase 2,800 mm. It is available in two versions with 1.6-liter turbocharged engines producing 186 hp. and a volume of 2 liters with a power of 238 hp. The cars are equipped with a 7-speed robotic transmission.</t>
    <phoneticPr fontId="1"/>
  </si>
  <si>
    <t>On December 8, EVOLUTE announced a new, sixth model called i-SPACE. The seven-seat crossover is the first hybrid in the brand's lineup. Production of the model will be organized at its plant in the Lipetsk region. It has a 1.5 liter naturally aspirated gasoline hybrid engine, generating 178 hp power and 300Nm torque. The model is equipped with a traction battery with a capacity of 17.5 kW. The range with a charged battery and a full tank is 1,150 km. The electric-only range will be 87 km.</t>
    <phoneticPr fontId="1"/>
  </si>
  <si>
    <t>On December 8, Ashok Leyland announced its re-entry into South Africa's commercial vehicle market, with the launch of a budget-priced workhorse bakkie, Dost. The Dost is powered by a 1.5L 1,478cc three-cylinder turbocharged diesel engine paired with a five-speed manual transmission feeding the rear wheels, delivering 44kW of power and 158Nm of torque. The company plans to expand its local range with the 4.5-tonne Partner light truck and the 1.86-tonne Phoenix pickup early in 2024, with trucks and buses, including electric vehicles, joining later.</t>
    <phoneticPr fontId="1"/>
  </si>
  <si>
    <t>On December 7, Renault Group announced that it is launching a transformative plan to cut production costs by 30% for internal combustion vehicles and 50% for electric vehicles by 2027. The Re-Industry plan targets traditional industrial performance areas while developing innovative processes, aiming for a production time of nine hours for the future Renault 5. The Group announces the production of eight new Renault vehicles across various plants, with plans to build a second model on the new Renault Group Modular Platform in Curitiba and four new models in Bursa by 2027. Despite halving capital expenditure in the past four years, Renault Group is set to launch 12 new models in 2024.</t>
    <phoneticPr fontId="1"/>
  </si>
  <si>
    <t>On December 6, Stellantis announced that the Head of Corporate Affairs Italy emphasized the company's commitment to collaborate with the Ministry of Enterprise, ANFIA, Regions, and Trade Unions to support vehicle production in Italy. In a recent meeting, Stellantis shared its plans for various plants in Italy. Pratola Serra will enhance B2.2 engine capacity to meet Stellantis' total needs. The Atessa plant will become a global production hub for new electrified commercial vehicles. Stellantis guarantees full employment for Italian workers from transitioning plants, supporting colleagues in the Pomigliano plant. Stellantis aims to extend the Panda's life cycle if regulatory and competitive conditions permit, sustaining the plant until the new model cycle. Additionally, Turin hosts an advanced plant for innovative eDCTs as part of a joint venture with Punch Powertrain, set to be operational in early 2024 with a capacity of 600,000 EDMs per year.</t>
    <phoneticPr fontId="1"/>
  </si>
  <si>
    <t>https://www.marklines.com/en/global/1339</t>
    <phoneticPr fontId="1"/>
  </si>
  <si>
    <t>https://www.marklines.com/en/global/1337</t>
    <phoneticPr fontId="1"/>
  </si>
  <si>
    <t>On December 6, SAIC Motor and Huahong Group signed a strategic cooperation agreement in Shanghai to jointly promote the development of the automotive chip industry. In addition, relevant finished vehicle, component, and chip enterprises signed agreements on products for automotive chips, such as automotive-grade MCUs, high side drivers, and isolator chips. The enterprises included the SAIC Motor R&amp;D Innovation Headquarters, SAIC-VW.</t>
    <phoneticPr fontId="1"/>
  </si>
  <si>
    <t>https://www.marklines.com/en/global/3609</t>
    <phoneticPr fontId="1"/>
  </si>
  <si>
    <t>On December 4, Bangkok Bank issued Neta Auto’s first SBLC (standby letter of credit). Funds from the financing loan project will be invested in the New Energy Vehicle industry. The SBLC issuance marks the establishment of a comprehensive partnership between the two parties. Bangkok Bank will provide all-round financial services.</t>
    <phoneticPr fontId="1"/>
  </si>
  <si>
    <t>On November 28, the first phase of a BYD project for R&amp;D and industrialization of power devices, sensors, and controllers was completed. The project is the one with the largest total investment amount at a 2023 ceremony for the completion and commissioning of major projects in Binhai New Area, Shaoxing, Zhejiang. The project has a total investment amount of CNY 10 billion and covers a land area of 278,000 square meters. It is aimed at building production lines with an annual capacity of 720,000 units of power devices and 6 billion sets of optoelectronic and microelectronic devices, respectively, generating an annual output value of CNY 15 billion upon commissioning. Power devices, sensors, and controllers to be developed and produced under the first phase of the project are all core devices for New Energy Vehicles.</t>
    <phoneticPr fontId="1"/>
  </si>
  <si>
    <t>On November 17, the GAC Aion Changsha Branch Construction Project officially broke ground in the Changsha Economic and Technological Development Zone (CETZ) in Hunan Province, with completion expected in June 2024. For the first phase of the project, a New Energy Vehicle plant with an annual standard capacity of 200,000 units will be built. The plant will function as the GAC Aion 3rd intelligent manufacturing center and an extra-large Central China comprehensive automobile manufacturing site.</t>
    <phoneticPr fontId="1"/>
  </si>
  <si>
    <t>Volkswagen Mexico announced that its plant in Puebla will stop production across two separate two-week periods: from December 11 to 24, 2024 and from January 1 to 14, 2024. As reported by the Volkswagen of Mexico automotive industry workers union (SITIAVW), the pauses in production will be made to modify production lines to manufacture the Tyron compact SUV which will use the latest version of Volkswagen's MQB platform and share its engine with the Tiguan.</t>
    <phoneticPr fontId="1"/>
  </si>
  <si>
    <t>The GM assembly plant announced that it will have a temporary pause between December 16 and January 3 to adjust its production lines to increase manufacturing of the Blazer EV Equinox EV models in 2024. This production stoppage will affect more than 3,000 workers. The engine and power-train plants will continue with their normal work.</t>
    <phoneticPr fontId="1"/>
  </si>
  <si>
    <t>https://www.marklines.com/en/global/2631</t>
    <phoneticPr fontId="1"/>
  </si>
  <si>
    <t>On December 7th, Stellantis said that they will reduce both the Detroit Assembly Complex (formerly Mack Avenue plant) and Toledo assembly plants from a 3-shift to a 2-shift operating pattern. The Toledo, Ohio plant builds the Jeep Wrangler and Gladiator, while the Detroit plant builds the Jeep Grand Cherokee. The changes, which could be effective as early as February 5, 2024, and will result in job losses. According to a company spokesperson, some 2,455 workers in Detroit and 1,255 workers in Toledo could be affected. This move is based in part on “…the need to manage sales of the vehicles they produce to comply with California emissions regulations that are measured on a state-by-state basis.”</t>
    <phoneticPr fontId="1"/>
  </si>
  <si>
    <t>The president of the Mexican Association of Private Industrial Parks (AMPIP), Sergio Argüelles announced that Tesla has already invested in the purchase of land for the construction of its Gigafactory in Santa Catarina, Nuevo León. The company is currently processing the paperwork to carry out the necessary environmental procedures to regularize the 1,300 hectares purchased.</t>
    <phoneticPr fontId="1"/>
  </si>
  <si>
    <t>Daihatsu</t>
    <phoneticPr fontId="1"/>
  </si>
  <si>
    <t>https://www.marklines.com/en/global/539</t>
    <phoneticPr fontId="1"/>
  </si>
  <si>
    <t>Osaka</t>
  </si>
  <si>
    <t>Daihatsu Motor Co., Ltd. (Daihatsu) will sequentially suspend operations at all of its finished vehicle assembly plants in Japan by December 26. The Shiga (Ryuo) Plant (2nd District), Kyoto (Oyamazaki) Plant, and Daihatsu Motor Kyushu's Oita (Nakatsu) Plant (Plant No.1 and No.2) will suspend operations from December 25. The Head (Ikeda) Plant will also suspend operations, from December 26. There is no indication as to when any of the plants will resume operations. According to the announcement by Daihatsu on December 20, the investigation by the Independent Third-Party Committee found that there were 174 new cases of procedural irregularities in its certification applications. In response to these findings, Daihatsu decided to temporarily suspend shipment of all Daihatsu-developed models currently in production, both in Japan and overseas. The procedural irregularities involve 64 models and 3 engines (total of models in production, under development, and discontinued), including vehicles supplied to Toyota, Mazda, and Subaru on an OEM basis.</t>
    <phoneticPr fontId="1"/>
  </si>
  <si>
    <t>https://www.marklines.com/en/global/541</t>
    <phoneticPr fontId="1"/>
  </si>
  <si>
    <t>Kyoto</t>
  </si>
  <si>
    <t>https://www.marklines.com/en/global/543</t>
    <phoneticPr fontId="1"/>
  </si>
  <si>
    <t>Shiga</t>
  </si>
  <si>
    <t>https://www.marklines.com/en/global/547</t>
    <phoneticPr fontId="1"/>
  </si>
  <si>
    <t>Ohita</t>
  </si>
  <si>
    <t>On December 21 multiple sources reported that Chery has dispatched a batch of 700 vehicles, of Omoda and Jaecoo brands for sale in Spain in 2024. This is the first batch of Omoda 5 and Jaecoo 7 vehicles for Spain. It will arrive at the end of January at the port of Barcelona.</t>
    <phoneticPr fontId="1"/>
  </si>
  <si>
    <t>On December 21, Stellantis announced that nearly 165 employees who were laid off when the Belvidere Assembly Plant was idled have returned to support operations for Mopar at a warehouse near the plant. During the 2023 UAW negotiations, Stellantis agreed to launch a new battery plant joint venture, establish a Mopar Mega Hub and resume production at Belvidere Assembly.</t>
    <phoneticPr fontId="1"/>
  </si>
  <si>
    <t>UD Trucks Corporation (UD Trucks) launched the fully remodeled Kazet light-duty truck in Japan on December 20. The Kazet had been an OEM-supplied version of Mitsubishi Fuso Truck and Bus Corporation’s (MFTBC’s) Canter light-duty truck, but for the all-new model, the OEM supplier was changed from MFTBC to Isuzu Motors Limited (Isuzu). The Elf light-duty truck released by Isuzu in March became the base model of the all-new Kazet. The new Kazet is equipped with the ISIM 9-speed dual clutch transmission as a new AMT (automated manual transmission). The dual clutch and cross-ratio transmission provide smooth acceleration with no loss of torque during gear shifting. In addition to the ISIM, a manual transmission (MT) is also available. The truck uses the 4JZ1 diesel engine, available in two types, with maximum outputs of 150PS and 175PS. The engine is equipped with the "i-ART" (intelligent-Accuracy Refinement Technology) autonomous closed-loop diesel fuel injection control system, which provides constant feedback correction and precise control of the amount of injected fuel.</t>
    <phoneticPr fontId="1"/>
  </si>
  <si>
    <t>https://www.marklines.com/en/global/10739</t>
    <phoneticPr fontId="1"/>
  </si>
  <si>
    <t>Chonburi</t>
  </si>
  <si>
    <t>On December 20, SVOLT Energy (Thailand) Co., Ltd. held the first battery pack off-line ceremony at its plant in Sriracha, Chonburi, Thailand. The rolled off LCTP battery pack has a capacity of 60 kWh and a claimed battery life of over 500 km, featuring Svolt Energy's L600 series cells. The first battery pack from this Thailand factory is planned to serve the GWM’s Ora Good Cat BEV, and is expected to be supplied in batches starting from Q1/2024.</t>
    <phoneticPr fontId="1"/>
  </si>
  <si>
    <t>On December 22, Stellantis’ plant in Brampton, Ontario will end production of the Dodge Charger and Challenger and Chrysler 300. Stellantis has yet to officially assign replacements, but has said the next-generation Dodge muscle cars will be built at the Windsor Assembly Plant. Stellantis Chief Design Officer Ralph Gilles suggested a two-door Charger model. </t>
    <phoneticPr fontId="1"/>
  </si>
  <si>
    <t>Daihatsu Motor Co., Ltd. (Daihatsu) announced on December 20 that it has discovered 174 new cases of procedural irregularities in its certification applications. In April, Daihatsu announced that it had irregularities in side impact tests on four models for overseas markets, and in May, in pole side collision tests conducted for two models for the Japanese market (Daihatsu Rocky and Toyota Raize hybrid vehicles). According to the results of the investigation by the Independent Third-Party Committee now disclosed, 174 cases of irregularities were newly found in 25 test items. The test items include full-wrap frontal collision tests, brake system tests, emissions and fuel consumption tests, and others. The earliest case occurred in 1989. The procedural irregularities involve 64 models and 3 engines (total of models in production, under development, and discontinued), including vehicles supplied to Toyota, Mazda, and Subaru on an OEM basis. In response to the results of the investigation, Daihatsu has decided to temporarily suspend shipments of all models developed by the company that are produced in Japan and overseas. Daihatsu will report and consult with the Japanese Ministry of Land, Infrastructure, Transport and Tourism as well as the relevant authorities in each country, and will proceed with necessary measures.</t>
    <phoneticPr fontId="1"/>
  </si>
  <si>
    <t>Perodua</t>
    <phoneticPr fontId="1"/>
  </si>
  <si>
    <t>https://www.marklines.com/en/global/9078</t>
    <phoneticPr fontId="1"/>
  </si>
  <si>
    <t>https://www.marklines.com/en/global/987</t>
    <phoneticPr fontId="1"/>
  </si>
  <si>
    <t>https://www.marklines.com/en/global/393</t>
    <phoneticPr fontId="1"/>
  </si>
  <si>
    <t>On December 19, Toyota Motor Corporation (Toyota) unveiled the upgraded Lexus UX compact crossover (Japanese specifications). In this upgrade, the gasoline-powered UX200 has been removed and the UX300h hybrid vehicle (HV) and the UX300e electric vehicle (EV) have been put together into the electrified vehicle lineup. The name of the hybrid vehicle has been changed from UX250h to UX300h in line with the upgrades. A new next-generation hybrid system is installed, increasing the output from 135kW to 146kW. In addition, the output of the rear motor in the AWD model has been increased to 30kW. The UX300e model offers improved convenience by reducing the quick charging time by approximately 25%. The UX300h is scheduled to go on sale around early January 2024, and the UX300e around late January.</t>
    <phoneticPr fontId="1"/>
  </si>
  <si>
    <t>Toyota Motor Corporation (Toyota) launched the plug-in hybrid (PHV) version of the Crown Sport, the 16th generation Crown series sports SUV, in Japan on December 19. The PHV system combines a 2.5L inline four-cylinder engine (maximum output: 130kW / maximum torque: 219Nm), front and rear motors (maximum output: front 134kW / rear 40kW ) and a large-capacity lithium-ion battery (51Ah) to produce a maximum output of 225kW. E-Four (electric 4WD system) is adopted as the drive system. The large-capacity battery is located under the floor in the center of the vehicle body, and ensures a practical EV-mode driving range of 90km without compromising the interior space. Hybrid-mode fuel economy is 20.3km/L. By securing a gasoline tank capacity of 55 liters, a total range of more than 1,200km is achieved. The vehicle is produced at the Tsutsumi Plant, aiming for sales of 300 units per month.</t>
    <phoneticPr fontId="1"/>
  </si>
  <si>
    <t>https://www.marklines.com/en/global/10638</t>
    <phoneticPr fontId="1"/>
  </si>
  <si>
    <t>On December 19, Coolwell Inc., Skyworth Auto’s software R&amp;D center, signed an agreement on the establishment of a joint research lab for the cross-border circulation of data on intelligent vehicles with several enterprises.</t>
    <phoneticPr fontId="1"/>
  </si>
  <si>
    <t>https://www.marklines.com/en/global/10327</t>
    <phoneticPr fontId="1"/>
  </si>
  <si>
    <t>According to multiple press releases dated December 16, the first new Dongfeng Nissan Pathfinder large flagship family SUV recently officially rolled off the production line at the Xiangyang Plant in Hubei. </t>
    <phoneticPr fontId="1"/>
  </si>
  <si>
    <t>https://www.marklines.com/en/global/51</t>
    <phoneticPr fontId="1"/>
  </si>
  <si>
    <t>Nanyang Industries Co., Ltd. (exclusive distributor), a subsidiary of Sanyang Motor Co., Ltd. (Sanyang), launched the QT500, a 5-ton gross weight truck under the Hyundai Motor brand, on December 13. The truck is available in middle (2,856mm) and long (3,305mm) wheelbase models, each with either a 6-speed manual transmission or 6-speed AМT (automated manual transmission). The 2.8L turbo diesel engine installed on all models delivers a maximum output of 146PS and maximum torque of 40.77kgm. In addition to having the longest cargo bed in its class with a width of 2.22m and an interior height of 1.48m, the new model is equipped with air brakes, the Hyundai SmartSense advanced driver assistance system (ADAS), and other features. The company aims to capture demand for medium- to short-haul transportation by taking advantage of its load capacity, safety, and comfort performance. The QT500 is manufactured at Sanyang's Hsinchu Plant.</t>
    <phoneticPr fontId="1"/>
  </si>
  <si>
    <t>On December 20, JAECOO announced that it will introduce JAECOO J7, in the UK, in summer 2024. The launch of the J7 in the UK will come shortly after the launch of the sister brand, OMODA, and its OMODA 5 crossover. The car has an innovative ARDIS (all-terrain driving intelligence system) and third-generation hybrid PHEV technology.</t>
    <phoneticPr fontId="1"/>
  </si>
  <si>
    <t>On December 20, GM resumed EV production at Factory Zero after a fire filled much of the plant with heavy smoke the evening prior, prompting an evacuation of the building and stoppage of work. GM and the Detroit Fire Department are continuing to investigate the cause of the fire that occurred in a shipping dock area and involved lithium ion batteries. This was the second fire at the plant, with the fire department reporting that on October 25,"an autonomous electric car fire" inside had caused to plant to fill with toxins and smoke after emergency water sprinklers were set off. "We learned that the cause was a non-battery related component that has since been corrected," GM said. Factory Zero had been building Cruise Origin EVs until the Cruise self-driving subsidiary halted production in November, saying then it was due to an October 2 accident in San Francisco.</t>
    <phoneticPr fontId="1"/>
  </si>
  <si>
    <t>https://www.marklines.com/en/global/1155</t>
    <phoneticPr fontId="1"/>
  </si>
  <si>
    <t>Ford’s U.S. headquarters has abruptly cancelled a deal with the JSW Group for its Chennai plant, according to sources familiar with the matter, indicating a possible change in its India exit strategy. JSW had planned to use the Chennai plant, which has been shut since July 2022, to facilitate its entry into EVs. Ford had accumulated over USD 2 billion in operating losses in 10 years, however, the Indian auto market has revived sharply since the end of the pandemic. Ford’s Sanand plant was acquired by Tata Motors’ subsidiary Tata Passenger Electric Mobility in January.</t>
    <phoneticPr fontId="1"/>
  </si>
  <si>
    <t>On December 18, a ceremony for the inauguration of the FAW Group Greater Bay Area (GBA) R&amp;D Institute was held in Shenzhen, Guangdong. At the ceremony, 27 innovation consortium co-creators including FAW Group jointly signed an agreement on an innovation consortium for the solid-state battery industry, and promote the R&amp;D and application of solid-state battery technologies.</t>
    <phoneticPr fontId="1"/>
  </si>
  <si>
    <t>On December 18, Zhejiang Geely Holding Group and China Merchants Group (CMG) signed a strategic cooperation framework agreement in Shenzhen to establish a strategic partnership for sustainable development. According to the agreement, the two parties will conduct strategic cooperation in areas such as the automobile supply chain, intelligent transportation, integrated finance, park construction, revitalization of northeast China, promotion of New Energy Vehicles, and digital carbon management. Concurrently, the two parties will co-build a full-industrial-chain methanol ecosystem.</t>
    <phoneticPr fontId="1"/>
  </si>
  <si>
    <t>https://www.marklines.com/en/global/4512</t>
    <phoneticPr fontId="1"/>
  </si>
  <si>
    <t>Nevada</t>
  </si>
  <si>
    <t>On December 18, Tesla Inc. informed workers at its battery factory in Sparks, Nevada, that some of its hourly workers will see pay increases of 10% or more starting early January, Tesla is also simplifying its wage tiers at Gigafactory Nevada amid signs the UAW is turning its attention to organizing their work force.</t>
    <phoneticPr fontId="1"/>
  </si>
  <si>
    <t>On December 17, Nissan China announced that Nissan will establish a joint research center with Tsinghua University for new joint research in 2024.</t>
    <phoneticPr fontId="1"/>
  </si>
  <si>
    <t>On December 15, multiple sources reported that Porsche plans to stop the sales of the Macan SUV with combustion engine in EU in spring 2024. The model will discontinue its sales ahead of schedule due to non-compliance with new cybersecurity regulations. To protect vehicles from hackings, models will have to comply with new standards from July 2024. The Macan was developed before the requirements and was determined to be too costly to comply with the new standards. Outside Europe, the model is expected to be sold for another two years. Porsche will introduce Macan EV in 2024.</t>
    <phoneticPr fontId="1"/>
  </si>
  <si>
    <t>On December 15, Audi Mexico announced that its plant in San Jose Chiapa, Mexico is the first automotive plant in the world to obtain the AWS certification that consists of the management and administration of water, using it in the most efficient possible way. The plant implemented a system of biological water treatment and a reverse osmosis installation, saving 150,000 cubic meters of water per year.</t>
    <phoneticPr fontId="1"/>
  </si>
  <si>
    <t>On December 20, multiple sources reported that UGT Ford and the group of Ford unions in Europe have warned that delaying investments to transform the Ford plant in Almussafes towards electrification could create complications from 2024, as the plant will stop manufacturing the Transit van, which will generate instability. According to the UGT, Ford is facing difficulty determining the appropriate action step for the plant's electrification, which is crucial for the factory's future. Union has also demanded a meeting with the CEO and president of the company to explain the strategy for electrification.</t>
    <phoneticPr fontId="1"/>
  </si>
  <si>
    <t>On December 19, The Minister of Industry and Tourism announced its support for Stellantis' industrial initiatives in Spain, particularly the 'Antares Project' for a battery gigafactory in Zaragoza plant, backed by EUR 55.9 million from PERTE VEC II. The Ministry is providing backing for this project, offering financing instruments like the upcoming PERTE VEC III planned for Q1 2024. Stellantis has already received over EUR 59 million from PERTE VEC II for the Antares Project and additional funding for its plants in Vigo (EUR 6.7 million) and Madrid (EUR 354,105). Both parties agreed to maintain collaboration on these initiatives.</t>
    <phoneticPr fontId="1"/>
  </si>
  <si>
    <t>https://www.marklines.com/en/global/753</t>
    <phoneticPr fontId="1"/>
  </si>
  <si>
    <t>On December 19, The governor of the Kaluga region announced that the PSMA Rus LLC (Peugeot Citroen Mitsubishi Automotiv Rus) plant has resumed production of cars. The plant has been idle since April 2022. The assembly of a test batch of mid-size crossovers has been launched by the site's industrial partner, the Automotive Technologies Company. The pilot batch will consist of 48 cars. Serial production will begin in 2024. At present, the plant is a rental site for production. The Automotive Technologies Company will use Chinese parts/kits of the root brands for the production of cars.</t>
    <phoneticPr fontId="1"/>
  </si>
  <si>
    <t>https://www.marklines.com/en/global/10074</t>
    <phoneticPr fontId="1"/>
  </si>
  <si>
    <t>On December 19, Renault Nissan Technology &amp; Business Centre India (Renault Nissan Tech) and Amrita Vishwa Vidyapeetham University signed a memorandum of understanding (MoU) to foster collaboration in various domains. As part of this partnership, Renault Nissan Tech will be donating a test car to support Amrita Vishwa Vidyapeetham's research initiatives in the automotive and related fields along with a joint elective course on noise, vibration, and harshness (NVH) emphasizing in-depth studies. The research initiatives will be focused on emissions and additionally, advanced sensors will be utilized for RLD (road-load data) analysis, offering both offline and real-time monitoring of vital vehicle components. Amrita Vishwa Vidyapeetham will delve into the development of data-driven digital twins, employing modal-based and physics-based approaches to enhance simulation capabilities for specific performance metrics.</t>
    <phoneticPr fontId="1"/>
  </si>
  <si>
    <t>https://www.marklines.com/en/global/1443</t>
    <phoneticPr fontId="1"/>
  </si>
  <si>
    <t>On December 19, Koç Holding A.Ş. announced its goals of reducing the environmental impact of Tofaş, one of its Group companies, which aims to be a carbon-neutral facility by 2050. Over the past 5 years, Tofaş reduced water consumption and waste production and has also managed to recycle all industrial waste and wastewater generated during production. Tofaş has also installed a solar energy system on the factory roof, leading to a 22% reduction in production-related emissions and a 20% improvement in energy consumption per vehicle over the same period. With the rise of hybrid and electric vehicles, Tofaş is working on projects to increase the use of environmentally friendly and recycled materials used in vehicles.</t>
    <phoneticPr fontId="1"/>
  </si>
  <si>
    <t>On December 19, Lexus announced several updates in its 2024 lineup with a new FWD option with the electric RZ 300e, giving it an EPA-estimated range rating of up to 266 miles. Powered by a 72.8kWh Contemporary Ampere Technology Co. Limited (CATL) lithium-ion battery and offered only with FWD, the 2024 RZ 300e realizes a total system horsepower rating of 201. The new RWD model improves upon the 220-mile range of the RZ450e, with features a rear axle coupled with the engine and front motor. Both RZ models are built at the Motomachi Plant in Toyota City, Japan.</t>
    <phoneticPr fontId="1"/>
  </si>
  <si>
    <t>On December 19, NextStar Energy celebrated a “Topping Out” ceremony to commemorate the last structural steel beam installed at its new EV battery plant in Windsor, Ontario. Construction of the nearly 4.23-million-square-foot joint venture battery plant with parent companies Stellantis and LG Energy Solution began in August 2022 and is now approximately 30% complete. The project remains on track with the first phase of operations, the battery modular production, set to begin in the first half of 2024. The first of two main buildings, known as the Module Building, began equipment installation last week, while the second building, known as the Cell Building is approximately 40% enclosed. Once complete, the facility will have an annual production capacity of 49.5 GWh, up 10% from the original 45 GWh.</t>
    <phoneticPr fontId="1"/>
  </si>
  <si>
    <t>On December 18, the Italian Metalworkers Federation (FIM-CISL) announced that in the Ministry of Business and Made in Italy meeting, ACC explained the future production plan of the battery factory at the Termoli site, the current location of the Stellantis engine factory. The initial production aims for 60 million cells annually for the first two blocks, potentially supplying around 800,000 electric vehicles with all three blocks in operation.</t>
    <phoneticPr fontId="1"/>
  </si>
  <si>
    <t>On December 18, Skoda Auto announced that it has transformed its logistics processes with Project ONE Log, implementing a standardized SAP solution to replace various existing systems. Project ONE Log, extending across Volkswagen Group, streamlines logistics processes, reduces IT interfaces, and increases data availability. The initiative, launched in early 2023, aims to achieve higher production efficiency, substantial cost savings, and transparent data through the use of advanced business intelligence tools. Recently introduced the minimum viable product (MVP) at its Vrchlabi plant, Skoda Auto focuses on automatic gearbox assembly line planning, material procurement efficiency, and stock level monitoring. The "first wave" of ONE Log will gradually extend to other Czech sites, emphasizing system-relevant expertise in mechanical machining for future planning.</t>
    <phoneticPr fontId="1"/>
  </si>
  <si>
    <t>On December 18, the government of Nuevo León, México announced the installation of camps that will facilitate access for work on the Tesla Gigafactory. During this stage, supervision of the installation and start-up was carried out, designating control points and layout for the structure, ramps, and expansion of sections one and two of the Monterrey-Saltillo free highway.</t>
    <phoneticPr fontId="1"/>
  </si>
  <si>
    <t>On December 16, Farizon New Energy Commercial Vehicles Group (Farizon) held the 2024 Partner Conference in Tianjin. In 2024, Farizon will focus on developing and launching products with core competitiveness to continuously improve its product portfolio. Concerning heavy trucks, volume delivery of the Homtruck will start in 2024, and the Xinghan G super methanol hybrid heavy truck and a super electric heavy truck will be successively launched. For light trucks and vans, new products such as the high-load-bearing-capacity H8E and the Super Van will be launched in Q1 2024. Several small and micro trucks are about to be launched on the market. Regarding buses, models such as the C10M 10.5m-long methanol electric urban bus and the first 3rd-generation G-Bus will be launched.</t>
    <phoneticPr fontId="1"/>
  </si>
  <si>
    <t>https://www.marklines.com/en/global/3893</t>
    <phoneticPr fontId="1"/>
  </si>
  <si>
    <t>On December 16, Geely Galaxy started accepting global pre-orders for the new Galaxy E8 flagship battery electric sedan. Based on the SEA intelligent electric architecture, and powered by a full-stack 800V platform and a high-performance silicon carbide 3-in-1 electric drive (475kW/710Nm), the Galaxy E8 delivers a 0 to 100km/h acceleration time of 3.49 seconds, a top speed of 210km/h.</t>
    <phoneticPr fontId="1"/>
  </si>
  <si>
    <t>On December 15, The Government of Aragon announced that it would support for Stellantis' Zaragoza factory, ensuring job retention and new job creation for Aragon residents. Following a Government Council meeting, EUR 10 million was approved as financial aid for Stellantis, specifically targeting the installation of the STLA Small platform at the Zaragoza plant. The funding aims to enhance hot stamping lines, electrify plant processes, and localize component manufacturing, focusing on environmental improvement and energy efficiency at the Stellantis factory.</t>
    <phoneticPr fontId="1"/>
  </si>
  <si>
    <t>https://www.marklines.com/en/global/10548</t>
    <phoneticPr fontId="1"/>
  </si>
  <si>
    <t>On December 15, multiple sources reported that Volkswagen's software company CARIAD, plans to reduce internal development costs by 20% annually until 2028 instead of forced layoffs during a major restructuring. The staff reductions will be achieved through severance pay, with job security extended until 2029 as agreed with the works council. The company, currently employing approximately 6,500 people, has not specified the number of employees affected.</t>
    <phoneticPr fontId="1"/>
  </si>
  <si>
    <t>https://www.marklines.com/en/global/249</t>
    <phoneticPr fontId="1"/>
  </si>
  <si>
    <t>Philippines</t>
    <phoneticPr fontId="1"/>
  </si>
  <si>
    <t>Reported on December 15, Toyota Motor Philippines has signed a Retail Supply Contract (RSC) with a retail electricity supplier TeaM (Philippines) Energy Corporation to supply it with 90% of its energy requirements for manufacturing from renewable sources. This complements the power already sourced from its 1.46-megawatt rooftop solar power system. Starting from December 26, production of all car models at Toyota’s Santa Rosa, Laguna plant, including the Vios, the Innova, (as well as the planned next-generation Toyota Tamaraw (IMV 0)), will be using 100% green energy. This made TMP’s plant the front-runner and early achiever of 100% RE ratio target for Toyota in the ASEAN region. Until 2035, TMP is geared towards decarbonizing the rest of its energy sources for manufacturing, particularly for petrol-type generators, ovens, and boilers for painting processes.</t>
    <phoneticPr fontId="1"/>
  </si>
  <si>
    <t>On December 15, FAW-VW officially launched the ID.7 VIZZION, its first global battery electric sedan, at FAW-Volkswagen Automotive Company Limited Foshan Branch. The dual-motor 4WD variant is powered by an AC asynchronous motor (80kW/162Nm) and a rear permanent magnet synchronous motor (150kW/310Nm), delivering a CLTC range of 570km. Equipped with an 84.8kWh ternary lithium battery. The ID.7 VIZZION comes standard with configurations such as ACC 3.0 (Adaptive Cruise Control 3.0).</t>
    <phoneticPr fontId="1"/>
  </si>
  <si>
    <t>https://www.marklines.com/en/global/10526</t>
    <phoneticPr fontId="1"/>
  </si>
  <si>
    <t>On December 15, BYD officially launched the new Song L midsize battery electric SUV. The 662km-range variants are powered by a rear permanent magnet synchronous motor (maximum comprehensive power 230kW and peak torque 360Nm) and an 87.0kWh lithium-iron phosphate blade battery, with an RWD layout and a 0 to 100km/h acceleration time of 6.9 seconds.</t>
    <phoneticPr fontId="1"/>
  </si>
  <si>
    <t>Honda Motor Co., Ltd. (Honda) announced on its official website that it will discontinue production of the Honda e in January 2024. The Honda e is a compact electric vehicle (EV) that was launched in Japan and Europe in 2020. It is produced at the Saitama Factory Automobile Plant. In Europe, orders (orders to the plant) have already ended.</t>
    <phoneticPr fontId="1"/>
  </si>
  <si>
    <t>Mazda Motor Corporation (Mazda) announced on December 14 that it will reduce CO2 emissions at its plants and offices in Japan by 69% in FY2030 compared to the FY2013 level. The company aims to achieve carbon neutrality (CN) at its global plants by 2035. To achieve this goal, the company has set concrete interim targets for its domestic plants and offices, which account for approximately 75% of its global CO2 emissions. As part of efforts to achieve the target, the fuel for the power generation facility in the Hiroshima plant Ujina District will be converted from coal to ammonia-only combustion. The company also plans to implement other measures to achieve a non-fossil fuel-sourced electricity usage rate of 75% by FY2030. In addition, the company will introduce Internal Carbon Pricing (ICP) as a criterion for capital investment decisions, and will convert the fuel for vehicles used for internal transportation from diesel fuel to next-generation biofuels and other fuels.</t>
    <phoneticPr fontId="1"/>
  </si>
  <si>
    <t>https://www.marklines.com/en/global/507</t>
    <phoneticPr fontId="1"/>
  </si>
  <si>
    <t>According to a release from the South Carolina Department of Commerce dated December 12, 2023, lithium-ion battery manufacturer AESC announced that it will expand its electric vehicle (EV) battery cell plant currently under construction in Florence County, South Carolina. The additional investment will cost USD 810 million and employ 450 new workers. The expansion follows the original construction plan announced in December 2022 (USD 810 million investment and 1,170 new jobs), with a total new investment of USD 1.62 billion and 1,620 new jobs, to be completed by 2026.The state approved the issuance of up to USD 50 million in additional economic development bonds to offset the cost of additional surrounding infrastructure, construction site clearing, water and sewer infrastructure, and training center expansion. The Coordinating Council for Economic Development also awarded AESC job development credits associated with the project.</t>
    <phoneticPr fontId="1"/>
  </si>
  <si>
    <t>Hitachi Astemo, Ltd. (Hitachi Astemo) announced on December 8 that it will merge its wholly owned subsidiary, Hitachi Astemo Electric Motor Systems, Ltd., into Hitachi Astemo, effective April 1, 2024. Hitachi Astemo Motor Systems is engaged in the development, manufacture, and sales of motors for electrified vehicles. Originally a joint venture between Hitachi Astemo and Honda Motor Co., Ltd., Hitachi Astemo made it a wholly owned subsidiary on October 16 in order to strengthen the electric powertrain strategy of the entire group. As a further measure, the absorption-type merger will speed up decision-making in the group's electric powertrain strategy, optimize resource allocation, and optimize development and production efficiency.</t>
    <phoneticPr fontId="1"/>
  </si>
  <si>
    <t>On December 19, ABB announced that it would supply Volvo Cars with more than 1,300 robots and functional packages to build the next generation of electric vehicles (EVs). The agreement includes functional packages covering various production tasks, from spot-welding, riveting, and dispensing to flow drilling and ultrasonic weld inspection. It will be implemented at Volvo Cars' facilities in Torslanda, Sweden, and Daqing, China. ABB's new range of large robots and OmniCore controllers will help Volvo Cars deliver energy savings of up to 20% and achieve its sustainability targets. ABB will use its RobotStudio planning and programming software platform to ensure uninterrupted production during deployment. The two companies will continue to work together over the next few years, with the first deployments anticipated in early 2024.</t>
    <phoneticPr fontId="1"/>
  </si>
  <si>
    <t>https://www.marklines.com/en/global/9144</t>
    <phoneticPr fontId="1"/>
  </si>
  <si>
    <t>Heilongjiang</t>
  </si>
  <si>
    <t>On December 19, Hyundai Motor Company (Hyundai) announced that its board of directors has approved a plan to sell its entire stake in Hyundai Motor Manufacturing Rus (HMMR LLC) to Art-Finance LLC. The operation of St. Petersburg-based HMMR has been suspended since March 2022. Hyundai is currently making final arrangements with Art-Finance for details of the deal. Hyundai will continue to provide after-sales services and other customer care businesses, to support Hyundai vehicle owners in Russia.</t>
    <phoneticPr fontId="1"/>
  </si>
  <si>
    <t>On December 18, BMW Group announced that its Dingolfing and Regensburg plants are transitioning their paint shops to a dry separation process using limestone powder. All four painting lines in Dingolfing have already been converted. The Regensburg plant will start the conversion in 2024, saving 17 million liters of water and 17,400 megawatt hours of energy annually. This reduces CO2 emissions by over 5,000 tons. The dry separation process, using limestone powder as a binding agent, is an eco-friendly approach, with stone powder recycled for reuse in the building materials industry. The process significantly decreases water consumption, saving four million liters per year in Dingolfing and 13 million liters in Regensburg. In Dingolfing, this leads to a yearly reduction of 13,000 megawatt hours in heating energy and over 4,000 tons of CO2 emissions. The Regensburg plant reduces natural gas consumption by 4,400 megawatt hours annually, avoiding around 1,150 tons of CO2.</t>
    <phoneticPr fontId="1"/>
  </si>
  <si>
    <t>KG Mobility (KGM)</t>
    <phoneticPr fontId="1"/>
  </si>
  <si>
    <t>https://www.marklines.com/en/global/10779</t>
    <phoneticPr fontId="1"/>
  </si>
  <si>
    <t>KGM announced on December17 that it has signed a memorandum of understanding (MOU) with Saudi National Automobiles Manufacturing Co. (SNAM) to assemble Torres EVX electric vehicles in Saudi Arabia.The partnership agreement expands a previous contract between both companies for SNAM to manufacture KGM's internal combustion engine vehicles. Under the new pact, SNAM will expand production capabilities to assemble the Torres EVX a midsize electric SUV that launched in Korea in September this year. KGM(Ssangyong) signed a product license agreement (PLA) with SNAM for the KD business in 2019 and 2020, and the KD supply agreement (PSA) in 2022. according to a statement, the production scale is a total of 169,000 units over seven years, 90,000 units of mid-size SUV Rexton Sports &amp; Rexton Sports Khan units and 79,000 units of Rexton New Arena.</t>
    <phoneticPr fontId="1"/>
  </si>
  <si>
    <t>All GM North American assembly plants will be closed in observance of the holidays during the week of December 25, but some plants will be closed for an extra week into the new year for maintenance, including the GM Lansing Grand River plant in Michigan that produces the Cadillac CT4 and Cadillac CT5 on the GM Alpha 2 platform. The plant will closed during the week of January 1, 2024, with production resuming on the week of January 8.</t>
    <phoneticPr fontId="1"/>
  </si>
  <si>
    <t>Lucid has assembled almost 800 its Air sedans in its Saudi Arabia factory, according to Lucid global vice-president Faisal Sultan. The Lucid Air sedans built in the Saudi plant were actually already fully assembled in the company’s plant in Casa Grande, Arizona, then disassembled and shipped a kit, and reassembled at the AMP-2 facility. “You are doing roughly 16, 17 to 20 vehicles a day, rather than an hour, you can spend time with them to really train them,” Sultan said. Lucid plans to open a complete build unit (CBU) facility in Saudi, which should be capable of fully manufacturing a car starting in 2026.</t>
    <phoneticPr fontId="1"/>
  </si>
  <si>
    <t>On December 15 the Ministry of Labor and Social Welfare (STPS) announced that GM plant in Villa de Reyes, San Luis Potosí, Mexico, will halt production due to lack of transport trucks or “madrinas” to transport the assembled vehicles to the U.S. This halt in production is expected to last for a month, starting in the second half of December and will not affect workers since they have the option of taking their vacation period during this time with no wage reduction applied.</t>
    <phoneticPr fontId="1"/>
  </si>
  <si>
    <t>Irizar</t>
    <phoneticPr fontId="1"/>
  </si>
  <si>
    <t>https://www.marklines.com/en/global/10434</t>
    <phoneticPr fontId="1"/>
  </si>
  <si>
    <t>On December 14, Irizar e-mobility announced that it will supply 32 electric buses to Yucatán, Mexico. The company is marking its entry into Latin American market for the first time with 100% electric public transport route. The first units of buses will be starting operations on December 30 in the Va-y-Ven public transport system.</t>
    <phoneticPr fontId="1"/>
  </si>
  <si>
    <t>On December 14, Beijing Benz officially launched the new E-Class long-wheelbase sedan. The E-Class comes standard with a 9G-Tronic transmission, a 2.0L M254 engine, and the ISG (Integrated Starter Generator) system. The E 260 L variant delivers a maximum power of 150kW, a peak torque of 320Nm, a combined fuel consumption of 6.15L/100km, and a 0 to 100km/h acceleration time of 7.7 seconds.</t>
    <phoneticPr fontId="1"/>
  </si>
  <si>
    <t>Production of Ultium Drive components at the GM Toledo Powertrain plant will now start nine months later than originally anticipated as GM slows its EV investments. The Ultium Drive production line fully tooled up and operational by Q4 2024 rather than in Q1. The Ultium Drive motors built at the plant will be used in the GMC Hummer EV Pickup, the GMC Hummer EV SUV and Chevrolet Silverado EV currently in production at Factory Zero. Other models to get their drivetrains from Toledo include the GMC Sierra EV and Cadillac Escalade IQ. GM pushed back the start of Ultium motor production in Toledo because it is also delaying the launch of the Silverado EV RST and Sierra EV. Start of regular production (SORP) for the Sierra EV Denali has been moved from early 2024 to summer 2024. While Silverado EV and Sierra EV units will be built at the Factory Zero plant in Michigan in 2024, planned production at the Lake Orion plant has been postponed by a year to 2025.</t>
    <phoneticPr fontId="1"/>
  </si>
  <si>
    <t>https://www.marklines.com/en/global/4111</t>
    <phoneticPr fontId="1"/>
  </si>
  <si>
    <t>On December 13, BAIC Group announced its recent official entry into the Polish market with the X3, Mofang, and new X7 compact SUVs and the holding of a launch event for the BAIC brand and these vehicles in Warsaw. In the future, BAIC Group will introduce other models such as sedans and off-road vehicles into the Polish market and further promote its development in the market.</t>
    <phoneticPr fontId="1"/>
  </si>
  <si>
    <t>https://www.marklines.com/en/global/4059</t>
    <phoneticPr fontId="1"/>
  </si>
  <si>
    <t>https://www.marklines.com/en/global/10751</t>
    <phoneticPr fontId="1"/>
  </si>
  <si>
    <t>On November 28, Wisdom Motor, a zero-emission commercial vehicle solution provider, announced a cooperation with the Integrated Transport Centre (ITC) of the Department of Municipalities and Transport (DMT) in Abu Dhabi, to provide new green mobility solutions to the Emirate through its distributor EGME (part of the Al Fahim Group). The cooperation is a significant milestone for Wisdom Motors to enter the GCC market by bringing the first 12-meter Hydrogen City Bus into the region. Under this cooperation, Wisdom Motor joins other international brands to support ITC’s Green Bus Assessment Programme contributing to embracing sustainability, and looking forward to expanding its presence in the region.</t>
    <phoneticPr fontId="1"/>
  </si>
  <si>
    <t>On December 15, Chery Automobili RUS JSC announced that it will introduce a sub-brand in Russia, focused on cars powered by alternative energy sources, called CHERY TIGGO (previously announced as CHERY NEV (New Energy Vehicles). CHERY TIGGO will introduce 7 models to the Russian market in 2024, 4 cars with a hybrid powertrain and 3 cars with full electric traction. The first model will be the electric city car eQ1. The start of sales is scheduled for April-May 2024. The exterior and interior design, as well as the specifications and equipment of the CHERY TIGGO eQ1 will differ from the model presented in the market by the parent company.</t>
    <phoneticPr fontId="1"/>
  </si>
  <si>
    <t>On December 15, AvtoVAZ started production of a pilot batch of LADA e-Largus at the LADA-Izhevsk production site. Serial production of LADA e-Largus will begin in May 2024, along with the resumption of production of standard LADA Largus with internal combustion engines. The LADA e-Largus family of electric vehicles will include passenger and commercial station wagons. It will have a permanent magnet synchronous electric motor with a rated power of 50 kW, for a short time it can reach a peak power of 120 kW. It will have two traction lithium-ion batteries. The car has a localized battery developed by Autonomous Energy Systems Company SAE (part of Itelma Group of Companies) in close cooperation with AvtoVAZ engineers.</t>
    <phoneticPr fontId="1"/>
  </si>
  <si>
    <t>On December 13, a ceremony for the signing of a strategic cooperation agreement among GAC Group, Bank of China, and Guangzhou Industrial Investment and Capital Operation Holding Group Ltd. was held in Beijing. The three parties plan to establish an equity investment fund in Guangzhou as limited partners in respective contribution ratios of 33.4%, 33.3%, and 33.3%. With a total scale of CNY 30 billion and an initial scale of CNY 10 billion, the fund will be managed by Guangzhou Yingpeng Investment Management Co., Ltd., a GAC Capital subsidiary. It will mainly invest in key projects in the upstream and downstream of the intelligent connected New Energy Vehicle industrial chain, such as New Energy batteries, automotive chips.</t>
    <phoneticPr fontId="1"/>
  </si>
  <si>
    <t>https://www.marklines.com/en/global/9270</t>
    <phoneticPr fontId="1"/>
  </si>
  <si>
    <t>On December 14, the Kia plant in Pesquería concluded production of the Kia Rio in its sedan and hatchback versions. The available plant space will be used to produce more units of the K3.</t>
    <phoneticPr fontId="1"/>
  </si>
  <si>
    <t>On December 14, the government of Nuevo León state in Mexico approved incentives for the construction of the Tesla Gigafactory, based on the Investment and Employment Promotion Law for the State. These incentives will allow the creation of basic infrastructure for the Gigafactory, such as drinking and treated water, roads, and new transportation routes and consist of a reduction in payroll tax that reaches MXN 2.6 billion, equivalent to 3.37% of Tesla's investment.</t>
    <phoneticPr fontId="1"/>
  </si>
  <si>
    <t>GM will indefinitely lay off 1,314 workers at the Orion Assembly plant and the Lansing Grand River Assembly plant due to the end of production of the Chevrolet Bolt and Camaro. Starting January 1, GM will lay off 945 workers at the Orion Assembly plant and 369 workers at the Lansing Grand River Assembly plant.</t>
    <phoneticPr fontId="1"/>
  </si>
  <si>
    <t xml:space="preserve">On October 31, Toyota announced an investment of nearly USD 8 billion in their new battery plant in Liberty, North Carolina, which will bring an additional 3,000 jobs to the facility. This brings the total investment in the facility to approximately USD 13.9 billion, and total direct jobs to over 5,000. This announcement marks the second time this plant has been expanded before it commences operations. In August 2022, they invested an additional USD 2.5 billion on top of the original USD 1.2 billion in order to qualify for incentives and tax breaks under the Inflation Reduction Act (IRA). This investment adds capacity to support battery electric vehicles (BEV’s) including 3-row seat SUV to be manufactured in Toyota Motor Manufacturing Kentucky, Inc., and plug-in hybrid electric vehicles (PHEV’s). An additional eight BEV/PHEV battery production lines will be added to the two previously announced, for a total of ten BEV/PHEV battery lines. In addition, as originally announced, the plant will also have four battery lines for Hybrid Electric Vehicles (HEVs). Production will be increased in a phased approach, with line launches planned through 2030 to reach a total production of more than 30GWh annually. </t>
    <phoneticPr fontId="1"/>
  </si>
  <si>
    <t>On December 29, Fisker announced that it ultimately produced 10,142 Ocean SUVs in 2023 in Graz, Austria, after homologation delays in Europe and the U.S. as well as supplier issues. Total 2023 deliveries are approximately 4,700, with the majority being Fisker Ocean One launch edition vehicles. Right-hand drive vehicles have been delivered in the UK, which in December saw the delivery of the first Fisker Ocean Sport entry level trim.</t>
    <phoneticPr fontId="1"/>
  </si>
  <si>
    <t>On December 28, Evolute started production of the new electric crossover Evolute i-JET at the Motorinvest plant in the Lipetsk region. The sports e-SUV is equipped with an intelligent all-wheel drive system, producing 585 hp of maximum power and 940 Nm of torque. The vehicle is available in two battery options: an 80-kW lithium iron phosphate battery offering 430 km (WLTP) range and a 0 to 100 km/h acceleration time of 4 seconds, and a 90-kW semi-solid-state battery which delivers 0-100 km/h acceleration in just 3.7 seconds and a range of 530km (WLTP).</t>
    <phoneticPr fontId="1"/>
  </si>
  <si>
    <t>On December 26, it was announced that the Independent Union of Audi Mexico Workers (Sitaudi) has set January 24, 2024 as a date to start a strike at Audi’s San Jose Chiapa plant in Puebla. Workers are seeking an increase of 11% in salaries and 6% in their benefits. Originally the deadline to reach an agreement with the company was January 1, however, as it is a holiday, the date was rescheduled.</t>
    <phoneticPr fontId="1"/>
  </si>
  <si>
    <t>On December 20, Indus Motors, the manufacturer of Toyota Cars in Pakistan launched the locally-assembled Corolla Cross SUV, a hybrid electric vehicle (HEV), for a starting price of PKR 9.4 million (HEV) and going to PKR 9.8 million (HEV X). It comes with a 1,798 cc engine which produces power of 72 kW at 5,200 rpm and a torque of 142 nm at 3,600 rpm along with a 53 Kw electric motor that produces 163 nm of torque.</t>
    <phoneticPr fontId="1"/>
  </si>
  <si>
    <t>On December 27, multiple sources reported that the Stellantis Cassino plant's production restart, initially set for January 8, 2024, is rescheduled to January 15, 2024, for the new STLA Large electrified platform. Production of electrified versions of Alfa Romeo Giulia and Stelvio begins on January 18, 2024, instead of January 11, 2024. Work has commenced in the Bodywork and painting workshop, aiming for the Cassino plant to produce electric models like the Maserati Grecale by the first quarter of 2024. The production line can handle about 200-220 vehicles daily.</t>
    <phoneticPr fontId="1"/>
  </si>
  <si>
    <t>https://www.marklines.com/en/global/9812</t>
    <phoneticPr fontId="1"/>
  </si>
  <si>
    <t>Tesla Inc. is preparing to produce a revamped version of its Model Y, with significant interior and exterior changes, at its Gigafactory Shanghai plant as soon as mid-2024, according to people familiar with the matter. Tesla is planning a major redesign for the Model Y similar to what it has recently done with the Model 3, which could be unveiled as soon as early 2024. The first batch of the newest Model Ys will be made from the second phase of Tesla’s Shanghai facility, which will suspend production for approximately one week during the New Year holiday.</t>
    <phoneticPr fontId="1"/>
  </si>
  <si>
    <t>On December 25, GWM announced the recent holding of an energy technology festival with TotalEnergies in Baoding, Hebei. The two parties had in-depth exchanges of views on carbon neutrality and hybrid engine oil technologies and signed two relevant memorandums of cooperation. GWM aims for carbon neutrality by 2045. The two parties will conduct in-depth cooperation on low carbonization and sustainability to co-create future New Energy solutions and innovative low-carbon technologies and products.</t>
    <phoneticPr fontId="1"/>
  </si>
  <si>
    <t>HYCAN</t>
    <phoneticPr fontId="1"/>
  </si>
  <si>
    <t>https://www.marklines.com/en/global/9529</t>
    <phoneticPr fontId="1"/>
  </si>
  <si>
    <t>On December 24, Hycan announced that it recently officially entered the Myanmar market by signing a distribution agreement with MNEM, a Myanmar company. According to the agreement, the two parties will launch intelligent electric vehicles such as the Z03 battery electric SUV, the A06 battery electric sedan, and the V09 battery electric MPV.</t>
    <phoneticPr fontId="1"/>
  </si>
  <si>
    <t>https://www.marklines.com/en/global/3851</t>
    <phoneticPr fontId="1"/>
  </si>
  <si>
    <t>https://www.marklines.com/en/global/3941</t>
    <phoneticPr fontId="1"/>
  </si>
  <si>
    <t>On December 24, King Long held the King Long New Energy Heavy Truck Launch Conference in Xiamen, Fujian. At the event, King Long officially launched the Dongsheng sub-brand for New Energy heavy trucks. Dongsheng will support the transformation and upgrading of the automobile manufacturing industry and establish a green and low-carbon New Energy Vehicle industrial system.</t>
    <phoneticPr fontId="1"/>
  </si>
  <si>
    <t>On December 22, multiple sources reported that Stellantis has requested a 6% cost reduction from its suppliers for car components, causing concerns among them. The move follows decisions to produce the New Panda in Serbia instead of Italy, leading to backlash from institutions and trade unions. Additionally, production of the New Quattroporte Maserati in Turin has also been halted. Stellantis clarified that future models will be developed and manufactured in Italy with a focus on electric motors, aiming to reduce costs and stay competitive in the EV market.</t>
    <phoneticPr fontId="1"/>
  </si>
  <si>
    <t>On December 22, Changan Auto and the China Academy of Information and Communications Technology (CAICT) signed a strategic cooperation framework agreement at a conference held by the latter. According to the agreement, the two parties will conduct in-depth cooperation in areas such as standards and regulations, technology research, technology services, testing and verification.</t>
    <phoneticPr fontId="1"/>
  </si>
  <si>
    <t>On December 21, a ceremony to commemorate the Farizon (Farizon New Energy Commercial Vehicles Group, a Geely subsidiary) Xiangtan Site being completed and the first Farizon SuperVAN rolling off the production line was held in Xiangtan, Hunan. Located in the Xiangtan Economic Development Zone, the Farizon Xiangtan Site is a new Farizon project on intelligent light commercial vehicles and the first Farizon zero-carbon demonstration site to fully implement green construction. Furthermore, Geely Holding Group signed a strategic cooperation with the People’s Government of Hunan Province to facilitate the promotion and application of New Energy Vehicles and co-build an industrial center for circular economy.</t>
    <phoneticPr fontId="1"/>
  </si>
  <si>
    <t>https://www.marklines.com/en/global/10788</t>
    <phoneticPr fontId="1"/>
  </si>
  <si>
    <t>On December 20, JMC Group announced the official launch of the next-generation Ford Ranger midsize pickup truck in Kunming, Yunan. The Ranger has 2WD, TOD 4WD, and EMOB intelligent full-time 4WD layouts, mated to a 6-speed manual or 8-speed automatic manual transmission. The gasoline variants are powered by a 2.3L EcoBoost engine, delivering a maximum power of 190kW and a peak torque of 450Nm. The Ranger comes standard with a Qualcomm Snapdragon 8155 automotive chip.</t>
    <phoneticPr fontId="1"/>
  </si>
  <si>
    <t>On December 19, construction firm Clayco announced it had been chosen by Rivian to construct its new EV manufacturing plant in Stanton Springs, Georgia. Rivian is setting out to create a 1,800-acre complex to advance sustainable transportation, with efficiency and sustainability. Construction is expected to begin in early 2024, with completion targeted by 2026, when Rivian expects to begin production on its next-gen R2 EVs.</t>
    <phoneticPr fontId="1"/>
  </si>
  <si>
    <t>Daihatsu Motor Co., Ltd. (Daihatsu) has suspended production at its Head (Ikeda) Plant since 26 December following the discovery of irregularities in certification applications. Production at the Shiga (Ryuo) Plant (2nd District), Kyoto (Oyamazaki) Plant and Daihatsu Motor Kyushu's Oita (Nakatsu) Plant has been suspended since the previous day of 25 December. Each plant will suspend production until at least the end of January 2024 with operations from February onwards not having yet been decided.</t>
    <phoneticPr fontId="1"/>
  </si>
  <si>
    <t>Daihatsu Motor Co., Ltd. (Daihatsu) has decided to suspend production at all of its finished vehicle assembly plants in Japan until at least the end of January 2024. Due to the irregularities in certification applications, the company is sequentially suspending production in Japan. The Shiga (Ryuo) Plant (2nd District), Kyoto (Oyamazaki) Plant, and Daihatsu Motor Kyushu's Oita (Nakatsu) Plant have suspended production since December 25. The Head (Ikeda) Plant will also suspend production from December 26. Production after February 2024 has not yet been decided.</t>
    <phoneticPr fontId="1"/>
  </si>
  <si>
    <t>https://www.marklines.com/en/global/10406</t>
    <phoneticPr fontId="1"/>
  </si>
  <si>
    <t>According to multiple press releases dated December 25, Diyi AESC New Energy Power Technology (Wuxi) Co., Ltd. was recently established in Wuxi, Jiangsu. The new company has a registered capital of CNY 1 billion and is jointly owned by FAW Jiefang Automotive Co., Ltd., a wholly-owned subsidiary of FAW Jiefang, and AESC Technology (Jiangsu) Co., Ltd. The business scope includes manufacturing of batteries; manufacturing of battery parts and accessories; R&amp;D of automotive components.</t>
    <phoneticPr fontId="1"/>
  </si>
  <si>
    <t>On December 23, Changan Auto officially started accepting pre-orders for the Lieshou, the world’s first super range-extended pickup truck. Equipped with a 2.0L turbocharged engine (140kW/340Nm) and a 31.18kWh lithium-iron phosphate battery, the Lieshou has a single-motor (130kW/320Nm) RWD or dual-motor (200kW/470Nm) 4WD layout and delivers CLTC electric-mode and combined ranges of 180km and 1,031km, respectively.</t>
    <phoneticPr fontId="1"/>
  </si>
  <si>
    <t>On December 23, the NIO Day 2023 was held in Xi’an, Shaanxi, where the new ET9 flagship intelligent electric executive sedan was officially unveiled. Equipped with SkyRide, the full-drive-by-wire intelligent chassis system, and an all-domain 900V architecture, the ET9 delivers a maximum voltage of 925V, a peak charging power of 600kW. A front 180kW asynchronous motor and a rear 340kW permanent magnet synchronous motor complete the powertrain. The ET9 comes with a Shenji NX9031 chip, NIO’s first in-house developed automotive-grade 5nm intelligent driving chip and SkyOS.</t>
    <phoneticPr fontId="1"/>
  </si>
  <si>
    <t>On December 22, Farizon New Energy Commercial Vehicles Group (Farizon) announced the official launch of the Homtruck luxury intelligent New Energy heavy truck at the 2023 Farizon Auto Day held in Xiangtan, Hunan. An ultra-long range of up to 500km and 1,500km in battery electric and methanol modes, respectively. The Homtruck rides on a proactive intelligent energy management technology, a L2++ driver assistance system, and PACC (Proactive Adaptive Cruise Control).</t>
    <phoneticPr fontId="1"/>
  </si>
  <si>
    <t>On December 22, H2 Solution, a company jointly established by HTWO Guangzhou, Guangzhou Hengyun Enterprises Holdings Ltd., and Guangzhou Development District Communications Investment Group Co., Ltd., held an event for the delivery and trial operation of the first 500 hydrogen logistics vehicles under a demonstration project in the Guangzhou Development District. Manufactured by Hyundai Truck &amp; Bus (China) Co., Ltd., the delivered hydrogen logistics vehicles are equipped with an HTWO Guangzhou hydrogen fuel cell system and mainly consist of 4.5t hydrogen fuel cell logistics vehicles, plus a multitude of models such as refrigerated trucks and buses.</t>
    <phoneticPr fontId="1"/>
  </si>
  <si>
    <t>On December 22, the Tesla Megafactory Shanghai Project Land Transfer Signing Ceremony was held in the Lin-gang Special Area in Shanghai. This factory will be located near the Tesla Gigafactory Shanghai. Planned for the manufacturing of Megapacks for supply to the global market, the Tesla Megafactory Shanghai is expected to break ground and go into operation in Q1 and Q4 2024, respectively, with an initial planned annual capacity of 10,000 Megapacks and an energy storage scale of nearly 40GWh.</t>
    <phoneticPr fontId="1"/>
  </si>
  <si>
    <t>On December 22, Ford Pro announced that it had opened orders for the electric Transit Custom van in Europe. The E-Custom Transit is expected to be delivered to customers in Germany, Austria, and Switzerland in the fourth quarter of 2024. The E-Transit Custom comes with an option of 100 kW or 160 kW motors, each offering 415 Nm of torque. The vehicle is powered by a 64-kWh useable battery pack enabling 327 km of range. The vehicle has a maximum towing capacity of 2,300 kg.</t>
    <phoneticPr fontId="1"/>
  </si>
  <si>
    <t>Mullen Automotive</t>
    <phoneticPr fontId="1"/>
  </si>
  <si>
    <t>https://www.marklines.com/en/global/10703</t>
    <phoneticPr fontId="1"/>
  </si>
  <si>
    <t>On December 22, Mullen Automotive announced that it achieved a production milestone on December 13 with the 100th Mullen THREE, Class 3 cab chassis electric truck, rolling off the assembly line in Tunica, Mississippi. As of December 22, the company has completed 125 Mullen THREE’s and is on track to complete 150 vehicles by end of 2023. Class 3 production capacity at the Tunica facility is currently planned at 3,000 annually per shift.</t>
    <phoneticPr fontId="1"/>
  </si>
  <si>
    <t>On December 15, Bcomp announced that it has developed a fabric, in collaboration with Polestar, that will transform the interior of vehicles and promote sustainable luxury and design. Polestar Signature Weave combines a smooth surface with a grid-like structure, which results in a flexible but very robust material that will be used in various interior trims in the Polestar 3, such as in the seat backs. Bcomp's innovative flax fabrics increase performance and reduce weight while decreasing the use of petroleum-based plastics by more than 50% as compared to the conventional plastic trim. Additionally, the material's lightness is noteworthy and reduces vibrations by up to 250%.</t>
    <phoneticPr fontId="1"/>
  </si>
  <si>
    <t>https://www.marklines.com/en/global/4303</t>
    <phoneticPr fontId="1"/>
  </si>
  <si>
    <t>https://www.marklines.com/en/global/10787</t>
    <phoneticPr fontId="1"/>
  </si>
  <si>
    <t>Announced on November 29 at the 40th Thailand International Motor Expo 2023, GAC AION’s manufacturing plant in Thailand is located in the EEC area of Rayong province. Construction is divided into 2 Phases, with Phase I scheduled to be finished by July 2024. The company’s total investment is around THB 2.3 billion. The plant will have an annual capacity of 50,000 cars.</t>
    <phoneticPr fontId="1"/>
  </si>
  <si>
    <t>On November 27, the Board of Investment (BoI) of Thailand approved project for Isuzu Motors Thailand Co., Ltd. to manufacture batteries For EVs locally.</t>
    <phoneticPr fontId="1"/>
  </si>
  <si>
    <t>Reported on December 26, Perodua Malaysia has reportedly resumed its production in Malaysia, after getting regulatory clearance, according to multiple sources. According to the statement officially released by Perodua on December 20, the company was conducting a detailed assessment and was discussing with authorities to resolve the matter. However, Perodua dealers revealed that they have already started receiving shipments again.</t>
    <phoneticPr fontId="1"/>
  </si>
  <si>
    <t>https://www.marklines.com/en/global/9303</t>
    <phoneticPr fontId="1"/>
  </si>
  <si>
    <t>Announced on December 25, Hyundai Thanh Cong Trading (HTCV) Vietnam has recently exported 40 units of Hyundai Solati minibus to the Philippines, and 62 units of Hyundai Mighty N250 commercial truck to Peru. In December 2023, HTCV is producing and expected to complete delivery of a total of 122 vehicles from Vietnam. According to the 2024 plan, HTCV will continue to sign many export orders, which are expected to reach 1,000 units.</t>
    <phoneticPr fontId="1"/>
  </si>
  <si>
    <t>On December 23, Verkor announced that one month after the laying of the foundation stone for the Gigafactory, the first pillars had been laid. The site will be operational by 2025. It will have an initial production capacity of 16 GWh/year. Located in the port of Dunkirk, it will create around 1,200 direct jobs and 3,000 indirect jobs.</t>
    <phoneticPr fontId="1"/>
  </si>
  <si>
    <t>On December 22, multiple sources reported that the Stellantis plant in Pomigliano, Italy produced over 215,000 cars in 2023. For 2024, it aims to surpass 255,000 units, driven by the success of models like the Fiat Panda, Alfa Romeo Tonale, and Dodge Hornet.</t>
    <phoneticPr fontId="1"/>
  </si>
  <si>
    <t>According to multiple press releases dated December 21, Yibin Hongyi New Energy Vehicle Technology Co., Ltd. was recently established in Yibin, Sichuan. The new company has a registered capital of CNY 1 billion and is wholly owned by Kaiyi Auto. The business scope includes R&amp;D of emerging energy technologies, R&amp;D of new material technologies, and R&amp;D of resource recycling technologies.</t>
    <phoneticPr fontId="1"/>
  </si>
  <si>
    <t>https://www.marklines.com/en/global/2085</t>
    <phoneticPr fontId="1"/>
  </si>
  <si>
    <t>Announced on December 21, regarding the Daihatsu Motor Co., Ltd.’s certification procedure irregularity issue, Toyota Motor Thailand has discussed with local authorities and decided to only temporarily discontinue shipment and sales of vehicles that necessitate some extension or validation of certification. As for Thailand domestic sales, there is one model, Veloz, that is affected. At present, the Veloz being sold in Thailand is imported from Indonesia.</t>
    <phoneticPr fontId="1"/>
  </si>
  <si>
    <t>On December 20, the Foton Motor Global Partner Conference 2024 was held in Guangzhou, Guangdong, where Foton Motor unveiled a super low-carbon truck, the Toano V next-generation light bus, and a full range of hybrid vehicles. As the world’s first light bus based on an all-domain scalable platform architecture, the Toano V can quickly switch among ICE, battery electric, hybrid, plug-in hybrid, and range-extending powertrains as well as FWD and RWD layouts, and Level 2 intelligent driving features. Officially launched were the Foton Hybrid System sub-brand and a full range of hybrid vehicles that include heavy trucks, medium trucks, light trucks, micro trucks, pickup trucks, and commercial vehicles. In 2024, Foton Motor will focus on the van and micro truck fields, striving to reach a total sales volume of 700,000 units. The automaker proposed achieving a New Energy Vehicle proportion of over 50% by 2030.</t>
    <phoneticPr fontId="1"/>
  </si>
  <si>
    <t>https://www.marklines.com/en/global/8901</t>
    <phoneticPr fontId="1"/>
  </si>
  <si>
    <t>https://www.marklines.com/en/global/3721</t>
    <phoneticPr fontId="1"/>
  </si>
  <si>
    <t>Haima</t>
    <phoneticPr fontId="1"/>
  </si>
  <si>
    <t>https://www.marklines.com/en/global/3573</t>
    <phoneticPr fontId="1"/>
  </si>
  <si>
    <t>Hainan</t>
  </si>
  <si>
    <t>On December 19, Haima Motor announced the recent holding of an event for the Vietnamese launch of the Haima 7X and 7X-E models in Hanoi. In the future, Haima Motor will continue to introduce new products in Vietnam, with the Haima 8S, S7, and S5 models about to be mass produced and launched.</t>
    <phoneticPr fontId="1"/>
  </si>
  <si>
    <t>https://www.marklines.com/en/global/3961</t>
    <phoneticPr fontId="1"/>
  </si>
  <si>
    <t>https://www.marklines.com/en/global/3575</t>
    <phoneticPr fontId="1"/>
  </si>
  <si>
    <t>On December 14, Chery Holding Group Co., Ltd. (Chery Holding) and Baoshan Iron &amp; Steel Co., Ltd. (Baosteel) officially signed the “Memorandum of Understanding on Creating a Green and Low-Carbon Steel Supply Chain” (the MoU), clarifying their intention of partnering for the R&amp;D and application of green and low-carbon steel. A detailed plan and measures premised on practical application have been developed. According to the MoU, Baosteel will supply green steel with a carbon emission reduction of about 30% to existing Chery production models from 2024 and that with a carbon emission reduction of over 50% from 2026. Green steel with a carbon emission reduction of over 80% will be supplied subsequently.</t>
    <phoneticPr fontId="1"/>
  </si>
  <si>
    <t>On December 25, the Minister of Trade and Industry of the Russian Federation announced that AvtoVAZ is planning to produce at least 500 thousand Ladas next year. The investment program for 2024 is RUB 40 billion. AvtoVAZ will launch production of three models in the next three years, Lada Aura in 2024, Lada Iskra in 2025, and a new crossover on the Vesta platform in 2026. AvtoVAZ will continue to develop all its production sites. St. Petersburg plant will increase volumes next year.</t>
    <phoneticPr fontId="1"/>
  </si>
  <si>
    <t>On December 25, the Minister of Trade and Industry of the Russian Federation announced that Hyundai Motor Company had decided to sell a stake in its St. Petersburg plant to the Russian company Art-Finance. The corresponding approval was also received from the subcommittee of the government commission for monitoring foreign investment in the Russian Federation. The companies are clarifying the parameters of the deal, including the buyback option. The decisions will be finalized shortly. Art-Finance, together with industrial partners, is already exploring the possibilities of an early restart of car production at this St. Petersburg site.</t>
    <phoneticPr fontId="1"/>
  </si>
  <si>
    <t>On December 22, Kamaz starts test operations of a large class KAMAZ-6299 bus in St. Petersburg. The bus will be used on busy city routes for two months. The total passenger capacity of the city low-floor bus KAMAZ-6299 with CNG is 155 people, seating capacity is 44. The bus is equipped with a gas engine with a capacity of 320 hp. In the second quarter of 2024, a diesel modification of the KAMAZ-6299 especially large class bus will enter the market. Kamaz also announced that it will offer St. Petersburg a new modification of the KAMAZ-6282 electric bus with night charging.</t>
    <phoneticPr fontId="1"/>
  </si>
  <si>
    <t>https://www.marklines.com/en/global/10785</t>
    <phoneticPr fontId="1"/>
  </si>
  <si>
    <t>On December 22, the Hungarian Investment Promotion Agency (HIPA) announced that BYD is planning to develop its first European electric vehicle manufacturing plant on a 300-hectare site in Szeged, Hungary. The state-of-the-art facility will be the first of its kind built by a Chinese automotive company in Europe and will have an advanced car production line. The factory will be built in phases and is expected to create thousands of local jobs, boost the local economy, and support local supply chains. The new production facility will incorporate the most advanced global technology and highly automated production processes. BYD will also utilize its expertise in integrated vertical supply chains to help create a green 'ecosystem' locally.</t>
    <phoneticPr fontId="1"/>
  </si>
  <si>
    <t>On December 22, Stellantis Spain announced that in 2023, the Zaragoza plant set a record, producing over 44,000 electric vehicles as part of its 365,739 total units. Stellantis Vigo plant increased its production by 31.5%, manufacturing 531,732 vehicles, with a 21% rise in electric vehicle output, constituting 13% of total production. Meanwhile, Stellantis Madrid increased 29% production by producing 105,830 units, of which 24% were fully electric. Stellantis notably manufactures the Citroën C4 and C4 X models, including their electric variants, ë-C4 and ë-C4 X. The Zaragoza plant will provide 80% of the electricity with wind power, which will also be supplemented by solar power by 2024, aiming for the largest self-consumption setup in Spain.</t>
    <phoneticPr fontId="1"/>
  </si>
  <si>
    <t>https://www.marklines.com/en/global/9453</t>
    <phoneticPr fontId="1"/>
  </si>
  <si>
    <t>On December 22, UMW Toyota Motor Malaysia (UMWT) announced that the company is actively working closely with regulatory authorities to ensure that all its vehicles in Malaysia strictly adhere to the relevant regulations and rules. This follows the statement released by Toyota Motor Corporation (TMC), regarding a procedural irregularity in the testing of models by its subsidiary, Daihatsu Motor Co Ltd (DMC), impacting 3 Toyota models distributed by UMWT in Malaysia, namely the Vios, Rush, and Veloz.</t>
    <phoneticPr fontId="1"/>
  </si>
  <si>
    <t>https://www.marklines.com/en/global/1617</t>
    <phoneticPr fontId="1"/>
  </si>
  <si>
    <t>Announced on December 21, Toyota Vietnam, regarding the announcement of the Daihatsu Motor Co., Ltd. (Daihatsu)’s certification procedure irregularity, decided to temporarily suspend shipments of the Avanza Premio M/T, where overseas certification is being reviewed by independent inspection and certification authorities. Shipments of the Avanza Premio M/T in Vietnam are expected to be resumed after receiving guidance from the independent inspection and certification authorities. In Vietnam, Avanza Premio vehicle type was tested and certified to meet Vietnam regulations. Toyota Vietnam also confirmed that at this time, there is no need for customers using these models to take any action, and they can continue to use the vehicles as normal.</t>
    <phoneticPr fontId="1"/>
  </si>
  <si>
    <t>https://www.marklines.com/en/global/267</t>
    <phoneticPr fontId="1"/>
  </si>
  <si>
    <t>On December 21, PT Toyota-Astra Motor (TAM) and PT Toyota Motor Manufacturing Indonesia (TMMIN) announced that deliveries of several Toyota models in Indonesia, especially for products developed jointly with Daihatsu, have been temporarily suspended. This is a follow-up to the discovery of several procedures that did not comply with standards by Daihatsu Motor Co., Ltd. (DMC). After consulting regarding next actions, it was decided that the vehicle delivery process in Indonesia, including models developed jointly with Daihatsu by Toyota Indonesia, had returned to normal starting on December 22. Affected exports are expected to resume as soon as possible after confirmation from the relevant authorities in the export destination country. Daihatsu Indonesia, on December 21, also ensured that all Daihatsu vehicles produced, distributed, and marketed in Indonesia do not have quality and safety problems. Astra Daihatsu Motor (ADM)’s domestic production will continue to operate normally in accordance with plans to meet market needs in Indonesia. However, ADM’s production for the export market will also be temporarily suspended.</t>
    <phoneticPr fontId="1"/>
  </si>
  <si>
    <t>https://www.marklines.com/en/global/4301</t>
    <phoneticPr fontId="1"/>
  </si>
  <si>
    <t>https://www.marklines.com/en/global/363</t>
    <phoneticPr fontId="1"/>
  </si>
  <si>
    <t>CaetanoBus</t>
    <phoneticPr fontId="1"/>
  </si>
  <si>
    <t>https://www.marklines.com/en/global/1386</t>
    <phoneticPr fontId="1"/>
  </si>
  <si>
    <t>On December 21, multiple sources reported that CaetanoBus had selected CATL to provide batteries specifically designed for electric buses. The batteries will consist of LFP chemistry cells that will be arranged in a cell-to-pack (CTP) design. Using CATL's CTP battery, CaetanoBus aims to enhance the energy density of their batteries by 10% to 15%, which would benefit the efficiency of buses. CaetanoBus plans to use CATL batteries in city buses and airport shuttles under the Cobus brand. The CTP technology eliminates the need for individual battery modules, which not only enhance the efficiency of buses but also maximize the space within the vehicles, allowing for increased passenger or cargo capacity.</t>
    <phoneticPr fontId="1"/>
  </si>
  <si>
    <t>On December 15, Farizon and Rockcheck FuturEnergy and Technology Group (Rockcheck) signed a strategic cooperation agreement and orders at an event in Tianjin. According to the agreement, the two parties will conduct cooperation in areas such as replacement of commercial logistics vehicles, methanol refueling stations, establishment of an ecosystem for methanol energy trade, development of hydrogen fuel cell vehicles, and development of automotive steel.</t>
    <phoneticPr fontId="1"/>
  </si>
  <si>
    <t>https://www.marklines.com/en/global/10784</t>
    <phoneticPr fontId="1"/>
  </si>
  <si>
    <t>Nissan Motor Co., Ltd. (Nissan) announced on September 25 that it will launch 2.0-ton class (maximum payload: 2t - 4.6t) 2WD models of all-new Atlas truck in Japan on October 27. Other models in the lineup will be introduced sequentially. The all-new  Atlas features a new dynamic front design and enhanced advanced and driver-assistance technologies. Pre-collision braking (PCB), which applies the brakes when a collision is unavoidable when turning right or left at intersections, is equipped as standard, while full-speed range adaptive cruise control (FACC) and lane keeping assist (LKA) are available as options for the first time on a Nissan commercial vehicle. The powertrain includes a 4JZ1-TCS diesel engine (2,999cc displacement) with a maximum output of 110kW, combined with a manual transmission or a newly available 9-speed dual clutch transmission (DCT). The Atlas is an OEM supplied vehicle based on Isuzu Motors Limited’s (Isuzu’s) Elf light-duty truck, and Isuzu had launched the all-new fully remodeled Elf in March.</t>
    <phoneticPr fontId="1"/>
  </si>
  <si>
    <t>Isuzu Motors Limited (Isuzu) plans to launch the Elfmio, a light-duty truck that can be driven with a standard Japanese driver's license, in Japan around the summer of 2024. It represents one of the ways that Isuzu is working to broaden the potential pool of drivers in response to chronic driver shortages in Japan brought on by an aging workforce. In addition to a diesel-powered Elfmio, which will be available around the summer of 2024, the company plans to add an electric vehicle (EV) version of the Elfmio to its lineup.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</si>
</sst>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8"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u/>
      <sz val="10"/>
      <color theme="1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6">
    <xf numFmtId="0" fontId="0" fillId="0" borderId="0" xfId="0">
      <alignment vertical="center"/>
    </xf>
    <xf numFmtId="176" fontId="0" fillId="0" borderId="0" xfId="0" applyNumberFormat="1">
      <alignment vertical="center"/>
    </xf>
    <xf numFmtId="0" fontId="3" fillId="2" borderId="0" xfId="0" applyFont="1" applyFill="1" applyAlignment="1">
      <alignment horizontal="center" vertical="center"/>
    </xf>
    <xf numFmtId="176" fontId="3" fillId="2" borderId="0" xfId="0" applyNumberFormat="1" applyFont="1" applyFill="1" applyAlignment="1">
      <alignment horizontal="center" vertical="center"/>
    </xf>
    <xf numFmtId="0" fontId="3" fillId="2" borderId="0" xfId="0" applyFont="1" applyFill="1" applyAlignment="1">
      <alignment horizontal="left" vertical="center"/>
    </xf>
    <xf numFmtId="176" fontId="0" fillId="0" borderId="0" xfId="0" applyNumberFormat="1" applyAlignment="1">
      <alignment horizontal="left" vertical="center"/>
    </xf>
    <xf numFmtId="0" fontId="3" fillId="2" borderId="0" xfId="0" applyFont="1" applyFill="1">
      <alignment vertical="center"/>
    </xf>
    <xf numFmtId="14" fontId="4" fillId="0" borderId="0" xfId="0" applyNumberFormat="1" applyFont="1" applyAlignment="1">
      <alignment horizontal="left" vertical="center"/>
    </xf>
    <xf numFmtId="0" fontId="4" fillId="0" borderId="0" xfId="0" applyFont="1">
      <alignment vertical="center"/>
    </xf>
    <xf numFmtId="0" fontId="2" fillId="0" borderId="0" xfId="1" applyAlignment="1" applyProtection="1">
      <alignment vertical="center"/>
    </xf>
    <xf numFmtId="176" fontId="4" fillId="0" borderId="0" xfId="0" applyNumberFormat="1" applyFont="1" applyAlignment="1">
      <alignment horizontal="left" vertical="center"/>
    </xf>
    <xf numFmtId="14" fontId="5" fillId="0" borderId="0" xfId="0" applyNumberFormat="1" applyFont="1" applyAlignment="1">
      <alignment horizontal="left" vertical="center"/>
    </xf>
    <xf numFmtId="0" fontId="5" fillId="0" borderId="0" xfId="0" applyFont="1">
      <alignment vertical="center"/>
    </xf>
    <xf numFmtId="0" fontId="6" fillId="0" borderId="0" xfId="1" applyFont="1" applyAlignment="1" applyProtection="1">
      <alignment vertical="center"/>
    </xf>
    <xf numFmtId="176" fontId="5" fillId="0" borderId="0" xfId="0" applyNumberFormat="1" applyFont="1" applyAlignment="1">
      <alignment horizontal="left" vertical="center"/>
    </xf>
    <xf numFmtId="0" fontId="7" fillId="0" borderId="0" xfId="0" applyFont="1">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77"/>
  <sheetViews>
    <sheetView tabSelected="1" zoomScaleNormal="100" workbookViewId="0"/>
  </sheetViews>
  <sheetFormatPr defaultRowHeight="13.5" x14ac:dyDescent="0.15"/>
  <cols>
    <col min="1" max="1" width="12.875" customWidth="1"/>
    <col min="2" max="2" width="18.75" bestFit="1" customWidth="1"/>
    <col min="3" max="3" width="14.875" bestFit="1" customWidth="1"/>
    <col min="4" max="4" width="39.375" customWidth="1"/>
    <col min="6" max="6" width="22.25" bestFit="1" customWidth="1"/>
    <col min="7" max="7" width="14.25" bestFit="1" customWidth="1"/>
    <col min="8" max="8" width="14.875" bestFit="1" customWidth="1"/>
    <col min="9" max="9" width="13.75" style="5" bestFit="1" customWidth="1"/>
    <col min="10" max="10" width="62.875" customWidth="1"/>
  </cols>
  <sheetData>
    <row r="1" spans="1:10" x14ac:dyDescent="0.15">
      <c r="D1" t="s">
        <v>8</v>
      </c>
      <c r="I1" s="1"/>
    </row>
    <row r="2" spans="1:10" x14ac:dyDescent="0.15">
      <c r="A2" s="6" t="s">
        <v>5</v>
      </c>
      <c r="B2" s="2" t="s">
        <v>4</v>
      </c>
      <c r="C2" s="2" t="s">
        <v>3</v>
      </c>
      <c r="D2" s="2" t="s">
        <v>9</v>
      </c>
      <c r="E2" s="2" t="s">
        <v>2</v>
      </c>
      <c r="F2" s="2" t="s">
        <v>1</v>
      </c>
      <c r="G2" s="2" t="s">
        <v>0</v>
      </c>
      <c r="H2" s="2" t="s">
        <v>10</v>
      </c>
      <c r="I2" s="3" t="s">
        <v>6</v>
      </c>
      <c r="J2" s="4" t="s">
        <v>7</v>
      </c>
    </row>
    <row r="3" spans="1:10" s="15" customFormat="1" x14ac:dyDescent="0.15">
      <c r="A3" s="11">
        <v>45290</v>
      </c>
      <c r="B3" s="12" t="s">
        <v>77</v>
      </c>
      <c r="C3" s="12" t="s">
        <v>77</v>
      </c>
      <c r="D3" s="13" t="str">
        <f>HYPERLINK("https://www.marklines.com/en/global/1809","Magna Steyr Fahrzeugtechnik AG &amp; Co KG, Graz Plant")</f>
        <v>Magna Steyr Fahrzeugtechnik AG &amp; Co KG, Graz Plant</v>
      </c>
      <c r="E3" s="12" t="s">
        <v>57</v>
      </c>
      <c r="F3" s="12" t="s">
        <v>17</v>
      </c>
      <c r="G3" s="12" t="s">
        <v>58</v>
      </c>
      <c r="H3" s="12"/>
      <c r="I3" s="14">
        <v>45289</v>
      </c>
      <c r="J3" s="12" t="s">
        <v>1785</v>
      </c>
    </row>
    <row r="4" spans="1:10" s="15" customFormat="1" x14ac:dyDescent="0.15">
      <c r="A4" s="11">
        <v>45289</v>
      </c>
      <c r="B4" s="12" t="s">
        <v>13</v>
      </c>
      <c r="C4" s="12" t="s">
        <v>13</v>
      </c>
      <c r="D4" s="13" t="str">
        <f>HYPERLINK("https://www.marklines.com/en/global/9602","OOO Motorinvest, Lipetsk Plant (formerly Changan Automobile, Lipetsk Plant)")</f>
        <v>OOO Motorinvest, Lipetsk Plant (formerly Changan Automobile, Lipetsk Plant)</v>
      </c>
      <c r="E4" s="12" t="s">
        <v>92</v>
      </c>
      <c r="F4" s="12" t="s">
        <v>18</v>
      </c>
      <c r="G4" s="12" t="s">
        <v>14</v>
      </c>
      <c r="H4" s="12"/>
      <c r="I4" s="14">
        <v>45288</v>
      </c>
      <c r="J4" s="12" t="s">
        <v>1786</v>
      </c>
    </row>
    <row r="5" spans="1:10" s="15" customFormat="1" x14ac:dyDescent="0.15">
      <c r="A5" s="11">
        <v>45289</v>
      </c>
      <c r="B5" s="12" t="s">
        <v>33</v>
      </c>
      <c r="C5" s="12" t="s">
        <v>63</v>
      </c>
      <c r="D5" s="13" t="str">
        <f>HYPERLINK("https://www.marklines.com/en/global/8739","Audi Mexico S.A. de C.V., San José Chiapa Plant")</f>
        <v>Audi Mexico S.A. de C.V., San José Chiapa Plant</v>
      </c>
      <c r="E5" s="12" t="s">
        <v>207</v>
      </c>
      <c r="F5" s="12" t="s">
        <v>16</v>
      </c>
      <c r="G5" s="12" t="s">
        <v>91</v>
      </c>
      <c r="H5" s="12"/>
      <c r="I5" s="14">
        <v>45286</v>
      </c>
      <c r="J5" s="12" t="s">
        <v>1787</v>
      </c>
    </row>
    <row r="6" spans="1:10" s="15" customFormat="1" x14ac:dyDescent="0.15">
      <c r="A6" s="11">
        <v>45289</v>
      </c>
      <c r="B6" s="12" t="s">
        <v>22</v>
      </c>
      <c r="C6" s="12" t="s">
        <v>22</v>
      </c>
      <c r="D6" s="13" t="str">
        <f>HYPERLINK("https://www.marklines.com/en/global/1065","Indus Motor Company Ltd. (IMC), Karachi Plant")</f>
        <v>Indus Motor Company Ltd. (IMC), Karachi Plant</v>
      </c>
      <c r="E6" s="12" t="s">
        <v>580</v>
      </c>
      <c r="F6" s="12" t="s">
        <v>25</v>
      </c>
      <c r="G6" s="12" t="s">
        <v>82</v>
      </c>
      <c r="H6" s="12"/>
      <c r="I6" s="14">
        <v>45280</v>
      </c>
      <c r="J6" s="12" t="s">
        <v>1788</v>
      </c>
    </row>
    <row r="7" spans="1:10" s="15" customFormat="1" x14ac:dyDescent="0.15">
      <c r="A7" s="11">
        <v>45288</v>
      </c>
      <c r="B7" s="12" t="s">
        <v>45</v>
      </c>
      <c r="C7" s="12" t="s">
        <v>606</v>
      </c>
      <c r="D7" s="13" t="str">
        <f>HYPERLINK("https://www.marklines.com/en/global/1323","Stellantis, FCA Italy, Cassino Plant")</f>
        <v>Stellantis, FCA Italy, Cassino Plant</v>
      </c>
      <c r="E7" s="12" t="s">
        <v>608</v>
      </c>
      <c r="F7" s="12" t="s">
        <v>17</v>
      </c>
      <c r="G7" s="12" t="s">
        <v>46</v>
      </c>
      <c r="H7" s="12"/>
      <c r="I7" s="14">
        <v>45287</v>
      </c>
      <c r="J7" s="12" t="s">
        <v>1789</v>
      </c>
    </row>
    <row r="8" spans="1:10" s="15" customFormat="1" x14ac:dyDescent="0.15">
      <c r="A8" s="11">
        <v>45288</v>
      </c>
      <c r="B8" s="12" t="s">
        <v>45</v>
      </c>
      <c r="C8" s="12" t="s">
        <v>609</v>
      </c>
      <c r="D8" s="13" t="str">
        <f>HYPERLINK("https://www.marklines.com/en/global/1323","Stellantis, FCA Italy, Cassino Plant")</f>
        <v>Stellantis, FCA Italy, Cassino Plant</v>
      </c>
      <c r="E8" s="12" t="s">
        <v>608</v>
      </c>
      <c r="F8" s="12" t="s">
        <v>17</v>
      </c>
      <c r="G8" s="12" t="s">
        <v>46</v>
      </c>
      <c r="H8" s="12"/>
      <c r="I8" s="14">
        <v>45287</v>
      </c>
      <c r="J8" s="12" t="s">
        <v>1789</v>
      </c>
    </row>
    <row r="9" spans="1:10" s="15" customFormat="1" x14ac:dyDescent="0.15">
      <c r="A9" s="11">
        <v>45288</v>
      </c>
      <c r="B9" s="12" t="s">
        <v>254</v>
      </c>
      <c r="C9" s="12" t="s">
        <v>254</v>
      </c>
      <c r="D9" s="13" t="str">
        <f>HYPERLINK("https://www.marklines.com/en/global/9812","Tesla (Shanghai) Co., Ltd.")</f>
        <v>Tesla (Shanghai) Co., Ltd.</v>
      </c>
      <c r="E9" s="12" t="s">
        <v>1790</v>
      </c>
      <c r="F9" s="12" t="s">
        <v>20</v>
      </c>
      <c r="G9" s="12" t="s">
        <v>27</v>
      </c>
      <c r="H9" s="12" t="s">
        <v>314</v>
      </c>
      <c r="I9" s="14">
        <v>45287</v>
      </c>
      <c r="J9" s="12" t="s">
        <v>1791</v>
      </c>
    </row>
    <row r="10" spans="1:10" s="15" customFormat="1" x14ac:dyDescent="0.15">
      <c r="A10" s="11">
        <v>45288</v>
      </c>
      <c r="B10" s="12" t="s">
        <v>36</v>
      </c>
      <c r="C10" s="12" t="s">
        <v>265</v>
      </c>
      <c r="D10" s="13" t="str">
        <f>HYPERLINK("https://www.marklines.com/en/global/3533","Great Wall Motor Company Limited (GWM)")</f>
        <v>Great Wall Motor Company Limited (GWM)</v>
      </c>
      <c r="E10" s="12" t="s">
        <v>266</v>
      </c>
      <c r="F10" s="12" t="s">
        <v>20</v>
      </c>
      <c r="G10" s="12" t="s">
        <v>27</v>
      </c>
      <c r="H10" s="12" t="s">
        <v>267</v>
      </c>
      <c r="I10" s="14">
        <v>45285</v>
      </c>
      <c r="J10" s="12" t="s">
        <v>1792</v>
      </c>
    </row>
    <row r="11" spans="1:10" s="15" customFormat="1" x14ac:dyDescent="0.15">
      <c r="A11" s="11">
        <v>45288</v>
      </c>
      <c r="B11" s="12" t="s">
        <v>366</v>
      </c>
      <c r="C11" s="12" t="s">
        <v>1793</v>
      </c>
      <c r="D11" s="13" t="str">
        <f>HYPERLINK("https://www.marklines.com/en/global/9529","Hycan Automobile Technology Co., Ltd. (formerly Hycan Intelligent Technology Co., Ltd.)")</f>
        <v>Hycan Automobile Technology Co., Ltd. (formerly Hycan Intelligent Technology Co., Ltd.)</v>
      </c>
      <c r="E11" s="12" t="s">
        <v>1794</v>
      </c>
      <c r="F11" s="12" t="s">
        <v>20</v>
      </c>
      <c r="G11" s="12" t="s">
        <v>27</v>
      </c>
      <c r="H11" s="12" t="s">
        <v>357</v>
      </c>
      <c r="I11" s="14">
        <v>45284</v>
      </c>
      <c r="J11" s="12" t="s">
        <v>1795</v>
      </c>
    </row>
    <row r="12" spans="1:10" s="15" customFormat="1" x14ac:dyDescent="0.15">
      <c r="A12" s="11">
        <v>45288</v>
      </c>
      <c r="B12" s="12" t="s">
        <v>366</v>
      </c>
      <c r="C12" s="12" t="s">
        <v>1793</v>
      </c>
      <c r="D12" s="13" t="str">
        <f>HYPERLINK("https://www.marklines.com/en/global/3851","GAC Motor (Hangzhou) Co., Ltd.")</f>
        <v>GAC Motor (Hangzhou) Co., Ltd.</v>
      </c>
      <c r="E12" s="12" t="s">
        <v>1796</v>
      </c>
      <c r="F12" s="12" t="s">
        <v>20</v>
      </c>
      <c r="G12" s="12" t="s">
        <v>27</v>
      </c>
      <c r="H12" s="12" t="s">
        <v>342</v>
      </c>
      <c r="I12" s="14">
        <v>45284</v>
      </c>
      <c r="J12" s="12" t="s">
        <v>1795</v>
      </c>
    </row>
    <row r="13" spans="1:10" s="15" customFormat="1" x14ac:dyDescent="0.15">
      <c r="A13" s="11">
        <v>45288</v>
      </c>
      <c r="B13" s="12" t="s">
        <v>1020</v>
      </c>
      <c r="C13" s="12" t="s">
        <v>1021</v>
      </c>
      <c r="D13" s="13" t="str">
        <f>HYPERLINK("https://www.marklines.com/en/global/3941","Xiamen King Long United Automotive Industry Co., Ltd. ")</f>
        <v xml:space="preserve">Xiamen King Long United Automotive Industry Co., Ltd. </v>
      </c>
      <c r="E13" s="12" t="s">
        <v>1797</v>
      </c>
      <c r="F13" s="12" t="s">
        <v>20</v>
      </c>
      <c r="G13" s="12" t="s">
        <v>27</v>
      </c>
      <c r="H13" s="12" t="s">
        <v>411</v>
      </c>
      <c r="I13" s="14">
        <v>45284</v>
      </c>
      <c r="J13" s="12" t="s">
        <v>1798</v>
      </c>
    </row>
    <row r="14" spans="1:10" s="15" customFormat="1" x14ac:dyDescent="0.15">
      <c r="A14" s="11">
        <v>45288</v>
      </c>
      <c r="B14" s="12" t="s">
        <v>45</v>
      </c>
      <c r="C14" s="12" t="s">
        <v>49</v>
      </c>
      <c r="D14" s="13" t="str">
        <f>HYPERLINK("https://www.marklines.com/en/global/1881","Stellantis, Fiat Serbia, Kragujevac Plant")</f>
        <v>Stellantis, Fiat Serbia, Kragujevac Plant</v>
      </c>
      <c r="E14" s="12" t="s">
        <v>1548</v>
      </c>
      <c r="F14" s="12" t="s">
        <v>18</v>
      </c>
      <c r="G14" s="12" t="s">
        <v>1549</v>
      </c>
      <c r="H14" s="12"/>
      <c r="I14" s="14">
        <v>45282</v>
      </c>
      <c r="J14" s="12" t="s">
        <v>1799</v>
      </c>
    </row>
    <row r="15" spans="1:10" s="15" customFormat="1" x14ac:dyDescent="0.15">
      <c r="A15" s="11">
        <v>45288</v>
      </c>
      <c r="B15" s="12" t="s">
        <v>45</v>
      </c>
      <c r="C15" s="12" t="s">
        <v>49</v>
      </c>
      <c r="D15" s="13" t="str">
        <f>HYPERLINK("https://www.marklines.com/en/global/1327","Stellantis, FCA Italy, Mirafiori (Turin) Plant")</f>
        <v>Stellantis, FCA Italy, Mirafiori (Turin) Plant</v>
      </c>
      <c r="E15" s="12" t="s">
        <v>612</v>
      </c>
      <c r="F15" s="12" t="s">
        <v>17</v>
      </c>
      <c r="G15" s="12" t="s">
        <v>46</v>
      </c>
      <c r="H15" s="12"/>
      <c r="I15" s="14">
        <v>45282</v>
      </c>
      <c r="J15" s="12" t="s">
        <v>1799</v>
      </c>
    </row>
    <row r="16" spans="1:10" s="15" customFormat="1" x14ac:dyDescent="0.15">
      <c r="A16" s="11">
        <v>45288</v>
      </c>
      <c r="B16" s="12" t="s">
        <v>45</v>
      </c>
      <c r="C16" s="12" t="s">
        <v>609</v>
      </c>
      <c r="D16" s="13" t="str">
        <f>HYPERLINK("https://www.marklines.com/en/global/1327","Stellantis, FCA Italy, Mirafiori (Turin) Plant")</f>
        <v>Stellantis, FCA Italy, Mirafiori (Turin) Plant</v>
      </c>
      <c r="E16" s="12" t="s">
        <v>612</v>
      </c>
      <c r="F16" s="12" t="s">
        <v>17</v>
      </c>
      <c r="G16" s="12" t="s">
        <v>46</v>
      </c>
      <c r="H16" s="12"/>
      <c r="I16" s="14">
        <v>45282</v>
      </c>
      <c r="J16" s="12" t="s">
        <v>1799</v>
      </c>
    </row>
    <row r="17" spans="1:10" s="15" customFormat="1" x14ac:dyDescent="0.15">
      <c r="A17" s="11">
        <v>45288</v>
      </c>
      <c r="B17" s="12" t="s">
        <v>495</v>
      </c>
      <c r="C17" s="12" t="s">
        <v>495</v>
      </c>
      <c r="D17" s="13" t="str">
        <f>HYPERLINK("https://www.marklines.com/en/global/3449","China Changan Automobile Group Co., Ltd. ")</f>
        <v xml:space="preserve">China Changan Automobile Group Co., Ltd. </v>
      </c>
      <c r="E17" s="12" t="s">
        <v>496</v>
      </c>
      <c r="F17" s="12" t="s">
        <v>20</v>
      </c>
      <c r="G17" s="12" t="s">
        <v>27</v>
      </c>
      <c r="H17" s="12" t="s">
        <v>456</v>
      </c>
      <c r="I17" s="14">
        <v>45282</v>
      </c>
      <c r="J17" s="12" t="s">
        <v>1800</v>
      </c>
    </row>
    <row r="18" spans="1:10" s="15" customFormat="1" x14ac:dyDescent="0.15">
      <c r="A18" s="11">
        <v>45288</v>
      </c>
      <c r="B18" s="12" t="s">
        <v>400</v>
      </c>
      <c r="C18" s="12" t="s">
        <v>416</v>
      </c>
      <c r="D18" s="13" t="str">
        <f>HYPERLINK("https://www.marklines.com/en/global/9345","Geely Sichuan Commercial Vehicle Co., Ltd.")</f>
        <v>Geely Sichuan Commercial Vehicle Co., Ltd.</v>
      </c>
      <c r="E18" s="12" t="s">
        <v>493</v>
      </c>
      <c r="F18" s="12" t="s">
        <v>20</v>
      </c>
      <c r="G18" s="12" t="s">
        <v>27</v>
      </c>
      <c r="H18" s="12" t="s">
        <v>429</v>
      </c>
      <c r="I18" s="14">
        <v>45281</v>
      </c>
      <c r="J18" s="12" t="s">
        <v>1801</v>
      </c>
    </row>
    <row r="19" spans="1:10" s="15" customFormat="1" x14ac:dyDescent="0.15">
      <c r="A19" s="11">
        <v>45288</v>
      </c>
      <c r="B19" s="12" t="s">
        <v>400</v>
      </c>
      <c r="C19" s="12" t="s">
        <v>416</v>
      </c>
      <c r="D19" s="13" t="str">
        <f>HYPERLINK("https://www.marklines.com/en/global/10788","Hunan Farizon New Energy Commercial Vehicle Co., Ltd.")</f>
        <v>Hunan Farizon New Energy Commercial Vehicle Co., Ltd.</v>
      </c>
      <c r="E19" s="12" t="s">
        <v>1802</v>
      </c>
      <c r="F19" s="12" t="s">
        <v>20</v>
      </c>
      <c r="G19" s="12" t="s">
        <v>27</v>
      </c>
      <c r="H19" s="12" t="s">
        <v>359</v>
      </c>
      <c r="I19" s="14">
        <v>45281</v>
      </c>
      <c r="J19" s="12" t="s">
        <v>1801</v>
      </c>
    </row>
    <row r="20" spans="1:10" s="15" customFormat="1" x14ac:dyDescent="0.15">
      <c r="A20" s="11">
        <v>45288</v>
      </c>
      <c r="B20" s="12" t="s">
        <v>24</v>
      </c>
      <c r="C20" s="12" t="s">
        <v>24</v>
      </c>
      <c r="D20" s="13" t="str">
        <f>HYPERLINK("https://www.marklines.com/en/global/3909","Jiangling Motors Co., Ltd. Xiaolan Branch")</f>
        <v>Jiangling Motors Co., Ltd. Xiaolan Branch</v>
      </c>
      <c r="E20" s="12" t="s">
        <v>954</v>
      </c>
      <c r="F20" s="12" t="s">
        <v>20</v>
      </c>
      <c r="G20" s="12" t="s">
        <v>27</v>
      </c>
      <c r="H20" s="12" t="s">
        <v>418</v>
      </c>
      <c r="I20" s="14">
        <v>45280</v>
      </c>
      <c r="J20" s="12" t="s">
        <v>1803</v>
      </c>
    </row>
    <row r="21" spans="1:10" s="15" customFormat="1" x14ac:dyDescent="0.15">
      <c r="A21" s="11">
        <v>45288</v>
      </c>
      <c r="B21" s="12" t="s">
        <v>37</v>
      </c>
      <c r="C21" s="12" t="s">
        <v>37</v>
      </c>
      <c r="D21" s="13" t="str">
        <f>HYPERLINK("https://www.marklines.com/en/global/10742","Rivian, Georgia plant")</f>
        <v>Rivian, Georgia plant</v>
      </c>
      <c r="E21" s="12" t="s">
        <v>853</v>
      </c>
      <c r="F21" s="12" t="s">
        <v>16</v>
      </c>
      <c r="G21" s="12" t="s">
        <v>11</v>
      </c>
      <c r="H21" s="12" t="s">
        <v>271</v>
      </c>
      <c r="I21" s="14">
        <v>45279</v>
      </c>
      <c r="J21" s="12" t="s">
        <v>1804</v>
      </c>
    </row>
    <row r="22" spans="1:10" s="15" customFormat="1" x14ac:dyDescent="0.15">
      <c r="A22" s="11">
        <v>45287</v>
      </c>
      <c r="B22" s="12" t="s">
        <v>22</v>
      </c>
      <c r="C22" s="12" t="s">
        <v>1684</v>
      </c>
      <c r="D22" s="13" t="str">
        <f>HYPERLINK("https://www.marklines.com/en/global/539","Daihatsu Motor, Head (Ikeda) Plant")</f>
        <v>Daihatsu Motor, Head (Ikeda) Plant</v>
      </c>
      <c r="E22" s="12" t="s">
        <v>1685</v>
      </c>
      <c r="F22" s="12" t="s">
        <v>20</v>
      </c>
      <c r="G22" s="12" t="s">
        <v>23</v>
      </c>
      <c r="H22" s="12" t="s">
        <v>1686</v>
      </c>
      <c r="I22" s="14">
        <v>45286</v>
      </c>
      <c r="J22" s="12" t="s">
        <v>1805</v>
      </c>
    </row>
    <row r="23" spans="1:10" s="15" customFormat="1" x14ac:dyDescent="0.15">
      <c r="A23" s="11">
        <v>45287</v>
      </c>
      <c r="B23" s="12" t="s">
        <v>22</v>
      </c>
      <c r="C23" s="12" t="s">
        <v>1684</v>
      </c>
      <c r="D23" s="13" t="str">
        <f>HYPERLINK("https://www.marklines.com/en/global/547","Daihatsu Motor Kyushu, Oita (Nakatsu) Plant")</f>
        <v>Daihatsu Motor Kyushu, Oita (Nakatsu) Plant</v>
      </c>
      <c r="E23" s="12" t="s">
        <v>1692</v>
      </c>
      <c r="F23" s="12" t="s">
        <v>20</v>
      </c>
      <c r="G23" s="12" t="s">
        <v>23</v>
      </c>
      <c r="H23" s="12" t="s">
        <v>1693</v>
      </c>
      <c r="I23" s="14">
        <v>45285</v>
      </c>
      <c r="J23" s="12" t="s">
        <v>1806</v>
      </c>
    </row>
    <row r="24" spans="1:10" s="15" customFormat="1" x14ac:dyDescent="0.15">
      <c r="A24" s="11">
        <v>45287</v>
      </c>
      <c r="B24" s="12" t="s">
        <v>22</v>
      </c>
      <c r="C24" s="12" t="s">
        <v>1684</v>
      </c>
      <c r="D24" s="13" t="str">
        <f>HYPERLINK("https://www.marklines.com/en/global/541","Daihatsu Motor, Kyoto (Oyamazaki) Plant")</f>
        <v>Daihatsu Motor, Kyoto (Oyamazaki) Plant</v>
      </c>
      <c r="E24" s="12" t="s">
        <v>1688</v>
      </c>
      <c r="F24" s="12" t="s">
        <v>20</v>
      </c>
      <c r="G24" s="12" t="s">
        <v>23</v>
      </c>
      <c r="H24" s="12" t="s">
        <v>1689</v>
      </c>
      <c r="I24" s="14">
        <v>45285</v>
      </c>
      <c r="J24" s="12" t="s">
        <v>1806</v>
      </c>
    </row>
    <row r="25" spans="1:10" s="15" customFormat="1" x14ac:dyDescent="0.15">
      <c r="A25" s="11">
        <v>45287</v>
      </c>
      <c r="B25" s="12" t="s">
        <v>22</v>
      </c>
      <c r="C25" s="12" t="s">
        <v>1684</v>
      </c>
      <c r="D25" s="13" t="str">
        <f>HYPERLINK("https://www.marklines.com/en/global/543","Daihatsu Motor, Shiga (Ryuo) Plant")</f>
        <v>Daihatsu Motor, Shiga (Ryuo) Plant</v>
      </c>
      <c r="E25" s="12" t="s">
        <v>1690</v>
      </c>
      <c r="F25" s="12" t="s">
        <v>20</v>
      </c>
      <c r="G25" s="12" t="s">
        <v>23</v>
      </c>
      <c r="H25" s="12" t="s">
        <v>1691</v>
      </c>
      <c r="I25" s="14">
        <v>45285</v>
      </c>
      <c r="J25" s="12" t="s">
        <v>1806</v>
      </c>
    </row>
    <row r="26" spans="1:10" s="15" customFormat="1" x14ac:dyDescent="0.15">
      <c r="A26" s="11">
        <v>45287</v>
      </c>
      <c r="B26" s="12" t="s">
        <v>22</v>
      </c>
      <c r="C26" s="12" t="s">
        <v>1684</v>
      </c>
      <c r="D26" s="13" t="str">
        <f>HYPERLINK("https://www.marklines.com/en/global/539","Daihatsu Motor, Head (Ikeda) Plant")</f>
        <v>Daihatsu Motor, Head (Ikeda) Plant</v>
      </c>
      <c r="E26" s="12" t="s">
        <v>1685</v>
      </c>
      <c r="F26" s="12" t="s">
        <v>20</v>
      </c>
      <c r="G26" s="12" t="s">
        <v>23</v>
      </c>
      <c r="H26" s="12" t="s">
        <v>1686</v>
      </c>
      <c r="I26" s="14">
        <v>45285</v>
      </c>
      <c r="J26" s="12" t="s">
        <v>1806</v>
      </c>
    </row>
    <row r="27" spans="1:10" s="15" customFormat="1" x14ac:dyDescent="0.15">
      <c r="A27" s="11">
        <v>45287</v>
      </c>
      <c r="B27" s="12" t="s">
        <v>56</v>
      </c>
      <c r="C27" s="12" t="s">
        <v>56</v>
      </c>
      <c r="D27" s="13" t="str">
        <f>HYPERLINK("https://www.marklines.com/en/global/10406","AESC Technology (Jiangsu) Co., Ltd. (formerly Envision Power Technology (Jiangsu) Co., Ltd.)")</f>
        <v>AESC Technology (Jiangsu) Co., Ltd. (formerly Envision Power Technology (Jiangsu) Co., Ltd.)</v>
      </c>
      <c r="E27" s="12" t="s">
        <v>1807</v>
      </c>
      <c r="F27" s="12" t="s">
        <v>20</v>
      </c>
      <c r="G27" s="12" t="s">
        <v>27</v>
      </c>
      <c r="H27" s="12" t="s">
        <v>278</v>
      </c>
      <c r="I27" s="14">
        <v>45285</v>
      </c>
      <c r="J27" s="12" t="s">
        <v>1808</v>
      </c>
    </row>
    <row r="28" spans="1:10" s="15" customFormat="1" x14ac:dyDescent="0.15">
      <c r="A28" s="11">
        <v>45287</v>
      </c>
      <c r="B28" s="12" t="s">
        <v>421</v>
      </c>
      <c r="C28" s="12" t="s">
        <v>421</v>
      </c>
      <c r="D28" s="13" t="str">
        <f>HYPERLINK("https://www.marklines.com/en/global/3349","FAW Jiefang Automotive Co., Ltd.")</f>
        <v>FAW Jiefang Automotive Co., Ltd.</v>
      </c>
      <c r="E28" s="12" t="s">
        <v>718</v>
      </c>
      <c r="F28" s="12" t="s">
        <v>20</v>
      </c>
      <c r="G28" s="12" t="s">
        <v>27</v>
      </c>
      <c r="H28" s="12" t="s">
        <v>414</v>
      </c>
      <c r="I28" s="14">
        <v>45285</v>
      </c>
      <c r="J28" s="12" t="s">
        <v>1808</v>
      </c>
    </row>
    <row r="29" spans="1:10" s="15" customFormat="1" x14ac:dyDescent="0.15">
      <c r="A29" s="11">
        <v>45287</v>
      </c>
      <c r="B29" s="12" t="s">
        <v>495</v>
      </c>
      <c r="C29" s="12" t="s">
        <v>495</v>
      </c>
      <c r="D29" s="13" t="str">
        <f>HYPERLINK("https://www.marklines.com/en/global/3539","Hebei Changan Automobile Co., Ltd. ")</f>
        <v xml:space="preserve">Hebei Changan Automobile Co., Ltd. </v>
      </c>
      <c r="E29" s="12" t="s">
        <v>656</v>
      </c>
      <c r="F29" s="12" t="s">
        <v>20</v>
      </c>
      <c r="G29" s="12" t="s">
        <v>27</v>
      </c>
      <c r="H29" s="12" t="s">
        <v>267</v>
      </c>
      <c r="I29" s="14">
        <v>45283</v>
      </c>
      <c r="J29" s="12" t="s">
        <v>1809</v>
      </c>
    </row>
    <row r="30" spans="1:10" s="15" customFormat="1" x14ac:dyDescent="0.15">
      <c r="A30" s="11">
        <v>45287</v>
      </c>
      <c r="B30" s="12" t="s">
        <v>276</v>
      </c>
      <c r="C30" s="12" t="s">
        <v>276</v>
      </c>
      <c r="D30" s="13" t="str">
        <f>HYPERLINK("https://www.marklines.com/en/global/9503","Shanghai NIO Automobile Co., Ltd.")</f>
        <v>Shanghai NIO Automobile Co., Ltd.</v>
      </c>
      <c r="E30" s="12" t="s">
        <v>646</v>
      </c>
      <c r="F30" s="12" t="s">
        <v>20</v>
      </c>
      <c r="G30" s="12" t="s">
        <v>27</v>
      </c>
      <c r="H30" s="12" t="s">
        <v>314</v>
      </c>
      <c r="I30" s="14">
        <v>45283</v>
      </c>
      <c r="J30" s="12" t="s">
        <v>1810</v>
      </c>
    </row>
    <row r="31" spans="1:10" s="15" customFormat="1" x14ac:dyDescent="0.15">
      <c r="A31" s="11">
        <v>45287</v>
      </c>
      <c r="B31" s="12" t="s">
        <v>400</v>
      </c>
      <c r="C31" s="12" t="s">
        <v>416</v>
      </c>
      <c r="D31" s="13" t="str">
        <f>HYPERLINK("https://www.marklines.com/en/global/3893","Anhui Hualing Automobile Co., Ltd.")</f>
        <v>Anhui Hualing Automobile Co., Ltd.</v>
      </c>
      <c r="E31" s="12" t="s">
        <v>1740</v>
      </c>
      <c r="F31" s="12" t="s">
        <v>20</v>
      </c>
      <c r="G31" s="12" t="s">
        <v>27</v>
      </c>
      <c r="H31" s="12" t="s">
        <v>303</v>
      </c>
      <c r="I31" s="14">
        <v>45282</v>
      </c>
      <c r="J31" s="12" t="s">
        <v>1811</v>
      </c>
    </row>
    <row r="32" spans="1:10" s="15" customFormat="1" x14ac:dyDescent="0.15">
      <c r="A32" s="11">
        <v>45287</v>
      </c>
      <c r="B32" s="12" t="s">
        <v>43</v>
      </c>
      <c r="C32" s="12" t="s">
        <v>43</v>
      </c>
      <c r="D32" s="13" t="str">
        <f>HYPERLINK("https://www.marklines.com/en/global/4239","Hyundai Truck &amp; Bus (China) Co., Ltd.  (formerly Sichuan Hyundai Motor Co., Ltd.)")</f>
        <v>Hyundai Truck &amp; Bus (China) Co., Ltd.  (formerly Sichuan Hyundai Motor Co., Ltd.)</v>
      </c>
      <c r="E32" s="12" t="s">
        <v>1017</v>
      </c>
      <c r="F32" s="12" t="s">
        <v>20</v>
      </c>
      <c r="G32" s="12" t="s">
        <v>27</v>
      </c>
      <c r="H32" s="12" t="s">
        <v>429</v>
      </c>
      <c r="I32" s="14">
        <v>45282</v>
      </c>
      <c r="J32" s="12" t="s">
        <v>1812</v>
      </c>
    </row>
    <row r="33" spans="1:10" s="15" customFormat="1" x14ac:dyDescent="0.15">
      <c r="A33" s="11">
        <v>45287</v>
      </c>
      <c r="B33" s="12" t="s">
        <v>43</v>
      </c>
      <c r="C33" s="12" t="s">
        <v>43</v>
      </c>
      <c r="D33" s="13" t="str">
        <f>HYPERLINK("https://www.marklines.com/en/global/10358","Hyundai Motor Hydrogen Fuel Cell System (Guangzhou) Co., Ltd. (HTWO Guangzhou)")</f>
        <v>Hyundai Motor Hydrogen Fuel Cell System (Guangzhou) Co., Ltd. (HTWO Guangzhou)</v>
      </c>
      <c r="E33" s="12" t="s">
        <v>394</v>
      </c>
      <c r="F33" s="12" t="s">
        <v>20</v>
      </c>
      <c r="G33" s="12" t="s">
        <v>27</v>
      </c>
      <c r="H33" s="12" t="s">
        <v>357</v>
      </c>
      <c r="I33" s="14">
        <v>45282</v>
      </c>
      <c r="J33" s="12" t="s">
        <v>1812</v>
      </c>
    </row>
    <row r="34" spans="1:10" s="15" customFormat="1" x14ac:dyDescent="0.15">
      <c r="A34" s="11">
        <v>45287</v>
      </c>
      <c r="B34" s="12" t="s">
        <v>254</v>
      </c>
      <c r="C34" s="12" t="s">
        <v>254</v>
      </c>
      <c r="D34" s="13" t="str">
        <f>HYPERLINK("https://www.marklines.com/en/global/9812","Tesla (Shanghai) Co., Ltd.")</f>
        <v>Tesla (Shanghai) Co., Ltd.</v>
      </c>
      <c r="E34" s="12" t="s">
        <v>1790</v>
      </c>
      <c r="F34" s="12" t="s">
        <v>20</v>
      </c>
      <c r="G34" s="12" t="s">
        <v>27</v>
      </c>
      <c r="H34" s="12" t="s">
        <v>314</v>
      </c>
      <c r="I34" s="14">
        <v>45282</v>
      </c>
      <c r="J34" s="12" t="s">
        <v>1813</v>
      </c>
    </row>
    <row r="35" spans="1:10" s="15" customFormat="1" x14ac:dyDescent="0.15">
      <c r="A35" s="11">
        <v>45287</v>
      </c>
      <c r="B35" s="12" t="s">
        <v>24</v>
      </c>
      <c r="C35" s="12" t="s">
        <v>24</v>
      </c>
      <c r="D35" s="13" t="str">
        <f>HYPERLINK("https://www.marklines.com/en/global/1419","Ford Otomotiv Sanayi A.Ş. (Ford Otosan), Gölcük Plant (Kocaeli Plant)")</f>
        <v>Ford Otomotiv Sanayi A.Ş. (Ford Otosan), Gölcük Plant (Kocaeli Plant)</v>
      </c>
      <c r="E35" s="12" t="s">
        <v>311</v>
      </c>
      <c r="F35" s="12" t="s">
        <v>106</v>
      </c>
      <c r="G35" s="12" t="s">
        <v>107</v>
      </c>
      <c r="H35" s="12"/>
      <c r="I35" s="14">
        <v>45282</v>
      </c>
      <c r="J35" s="12" t="s">
        <v>1814</v>
      </c>
    </row>
    <row r="36" spans="1:10" s="15" customFormat="1" x14ac:dyDescent="0.15">
      <c r="A36" s="11">
        <v>45287</v>
      </c>
      <c r="B36" s="12" t="s">
        <v>1815</v>
      </c>
      <c r="C36" s="12" t="s">
        <v>1815</v>
      </c>
      <c r="D36" s="13" t="str">
        <f>HYPERLINK("https://www.marklines.com/en/global/10703","Mullen Automotive, Advanced Manufacturing Engineering Center (AMEC)")</f>
        <v>Mullen Automotive, Advanced Manufacturing Engineering Center (AMEC)</v>
      </c>
      <c r="E36" s="12" t="s">
        <v>1816</v>
      </c>
      <c r="F36" s="12" t="s">
        <v>16</v>
      </c>
      <c r="G36" s="12" t="s">
        <v>11</v>
      </c>
      <c r="H36" s="12" t="s">
        <v>883</v>
      </c>
      <c r="I36" s="14">
        <v>45282</v>
      </c>
      <c r="J36" s="12" t="s">
        <v>1817</v>
      </c>
    </row>
    <row r="37" spans="1:10" s="15" customFormat="1" x14ac:dyDescent="0.15">
      <c r="A37" s="11">
        <v>45287</v>
      </c>
      <c r="B37" s="12" t="s">
        <v>400</v>
      </c>
      <c r="C37" s="12" t="s">
        <v>900</v>
      </c>
      <c r="D37" s="13" t="str">
        <f>HYPERLINK("https://www.marklines.com/en/global/2727","Volvo Car Corporation (Volvo Personvagnar AB)")</f>
        <v>Volvo Car Corporation (Volvo Personvagnar AB)</v>
      </c>
      <c r="E37" s="12" t="s">
        <v>444</v>
      </c>
      <c r="F37" s="12" t="s">
        <v>17</v>
      </c>
      <c r="G37" s="12" t="s">
        <v>50</v>
      </c>
      <c r="H37" s="12"/>
      <c r="I37" s="14">
        <v>45275</v>
      </c>
      <c r="J37" s="12" t="s">
        <v>1818</v>
      </c>
    </row>
    <row r="38" spans="1:10" s="15" customFormat="1" x14ac:dyDescent="0.15">
      <c r="A38" s="11">
        <v>45287</v>
      </c>
      <c r="B38" s="12" t="s">
        <v>400</v>
      </c>
      <c r="C38" s="12" t="s">
        <v>900</v>
      </c>
      <c r="D38" s="13" t="str">
        <f>HYPERLINK("https://www.marklines.com/en/global/4303","Volvo Car Chengdu Manufacturing Plant")</f>
        <v>Volvo Car Chengdu Manufacturing Plant</v>
      </c>
      <c r="E38" s="12" t="s">
        <v>1819</v>
      </c>
      <c r="F38" s="12" t="s">
        <v>20</v>
      </c>
      <c r="G38" s="12" t="s">
        <v>27</v>
      </c>
      <c r="H38" s="12" t="s">
        <v>429</v>
      </c>
      <c r="I38" s="14">
        <v>45275</v>
      </c>
      <c r="J38" s="12" t="s">
        <v>1818</v>
      </c>
    </row>
    <row r="39" spans="1:10" s="15" customFormat="1" x14ac:dyDescent="0.15">
      <c r="A39" s="11">
        <v>45287</v>
      </c>
      <c r="B39" s="12" t="s">
        <v>366</v>
      </c>
      <c r="C39" s="12" t="s">
        <v>622</v>
      </c>
      <c r="D39" s="13" t="str">
        <f>HYPERLINK("https://www.marklines.com/en/global/10787","AION Automobile Manufacturing Thailand Co., Ltd., Rayong Plant")</f>
        <v>AION Automobile Manufacturing Thailand Co., Ltd., Rayong Plant</v>
      </c>
      <c r="E39" s="12" t="s">
        <v>1820</v>
      </c>
      <c r="F39" s="12" t="s">
        <v>34</v>
      </c>
      <c r="G39" s="12" t="s">
        <v>71</v>
      </c>
      <c r="H39" s="12" t="s">
        <v>72</v>
      </c>
      <c r="I39" s="14">
        <v>45259</v>
      </c>
      <c r="J39" s="12" t="s">
        <v>1821</v>
      </c>
    </row>
    <row r="40" spans="1:10" s="15" customFormat="1" x14ac:dyDescent="0.15">
      <c r="A40" s="11">
        <v>45287</v>
      </c>
      <c r="B40" s="12" t="s">
        <v>104</v>
      </c>
      <c r="C40" s="12" t="s">
        <v>104</v>
      </c>
      <c r="D40" s="13" t="str">
        <f>HYPERLINK("https://www.marklines.com/en/global/2013","Isuzu Motors Company (Thailand) Ltd.")</f>
        <v>Isuzu Motors Company (Thailand) Ltd.</v>
      </c>
      <c r="E40" s="12" t="s">
        <v>396</v>
      </c>
      <c r="F40" s="12" t="s">
        <v>34</v>
      </c>
      <c r="G40" s="12" t="s">
        <v>71</v>
      </c>
      <c r="H40" s="12" t="s">
        <v>397</v>
      </c>
      <c r="I40" s="14">
        <v>45257</v>
      </c>
      <c r="J40" s="12" t="s">
        <v>1822</v>
      </c>
    </row>
    <row r="41" spans="1:10" s="15" customFormat="1" x14ac:dyDescent="0.15">
      <c r="A41" s="11">
        <v>45287</v>
      </c>
      <c r="B41" s="12" t="s">
        <v>104</v>
      </c>
      <c r="C41" s="12" t="s">
        <v>104</v>
      </c>
      <c r="D41" s="13" t="str">
        <f>HYPERLINK("https://www.marklines.com/en/global/2015","Isuzu Motors Company (Thailand), Samutprakan (Samrong) Plant")</f>
        <v>Isuzu Motors Company (Thailand), Samutprakan (Samrong) Plant</v>
      </c>
      <c r="E41" s="12" t="s">
        <v>683</v>
      </c>
      <c r="F41" s="12" t="s">
        <v>34</v>
      </c>
      <c r="G41" s="12" t="s">
        <v>71</v>
      </c>
      <c r="H41" s="12" t="s">
        <v>397</v>
      </c>
      <c r="I41" s="14">
        <v>45257</v>
      </c>
      <c r="J41" s="12" t="s">
        <v>1822</v>
      </c>
    </row>
    <row r="42" spans="1:10" s="15" customFormat="1" x14ac:dyDescent="0.15">
      <c r="A42" s="11">
        <v>45287</v>
      </c>
      <c r="B42" s="12" t="s">
        <v>104</v>
      </c>
      <c r="C42" s="12" t="s">
        <v>104</v>
      </c>
      <c r="D42" s="13" t="str">
        <f>HYPERLINK("https://www.marklines.com/en/global/2017","Isuzu Motors Company (Thailand), Chachoengsao (Gateway) Plant")</f>
        <v>Isuzu Motors Company (Thailand), Chachoengsao (Gateway) Plant</v>
      </c>
      <c r="E42" s="12" t="s">
        <v>684</v>
      </c>
      <c r="F42" s="12" t="s">
        <v>34</v>
      </c>
      <c r="G42" s="12" t="s">
        <v>71</v>
      </c>
      <c r="H42" s="12" t="s">
        <v>100</v>
      </c>
      <c r="I42" s="14">
        <v>45257</v>
      </c>
      <c r="J42" s="12" t="s">
        <v>1822</v>
      </c>
    </row>
    <row r="43" spans="1:10" s="15" customFormat="1" x14ac:dyDescent="0.15">
      <c r="A43" s="11">
        <v>45286</v>
      </c>
      <c r="B43" s="12" t="s">
        <v>1702</v>
      </c>
      <c r="C43" s="12" t="s">
        <v>1702</v>
      </c>
      <c r="D43" s="13" t="str">
        <f>HYPERLINK("https://www.marklines.com/en/global/9078","Perodua Global Manufacturing Sdn Bhd. (PGMSB), Rawang Plant")</f>
        <v>Perodua Global Manufacturing Sdn Bhd. (PGMSB), Rawang Plant</v>
      </c>
      <c r="E43" s="12" t="s">
        <v>1703</v>
      </c>
      <c r="F43" s="12" t="s">
        <v>34</v>
      </c>
      <c r="G43" s="12" t="s">
        <v>538</v>
      </c>
      <c r="H43" s="12"/>
      <c r="I43" s="14">
        <v>45286</v>
      </c>
      <c r="J43" s="12" t="s">
        <v>1823</v>
      </c>
    </row>
    <row r="44" spans="1:10" s="15" customFormat="1" x14ac:dyDescent="0.15">
      <c r="A44" s="11">
        <v>45286</v>
      </c>
      <c r="B44" s="12" t="s">
        <v>1702</v>
      </c>
      <c r="C44" s="12" t="s">
        <v>1702</v>
      </c>
      <c r="D44" s="13" t="str">
        <f>HYPERLINK("https://www.marklines.com/en/global/987","Perodua Manufacturing Sdn. Bhd. (PMSB), Rawang Plant")</f>
        <v>Perodua Manufacturing Sdn. Bhd. (PMSB), Rawang Plant</v>
      </c>
      <c r="E44" s="12" t="s">
        <v>1704</v>
      </c>
      <c r="F44" s="12" t="s">
        <v>34</v>
      </c>
      <c r="G44" s="12" t="s">
        <v>538</v>
      </c>
      <c r="H44" s="12"/>
      <c r="I44" s="14">
        <v>45286</v>
      </c>
      <c r="J44" s="12" t="s">
        <v>1823</v>
      </c>
    </row>
    <row r="45" spans="1:10" s="15" customFormat="1" x14ac:dyDescent="0.15">
      <c r="A45" s="11">
        <v>45286</v>
      </c>
      <c r="B45" s="12" t="s">
        <v>43</v>
      </c>
      <c r="C45" s="12" t="s">
        <v>43</v>
      </c>
      <c r="D45" s="13" t="str">
        <f>HYPERLINK("https://www.marklines.com/en/global/9303","Hyundai Thanh Cong Vietnam (HTC), Ninh Binh Plant")</f>
        <v>Hyundai Thanh Cong Vietnam (HTC), Ninh Binh Plant</v>
      </c>
      <c r="E45" s="12" t="s">
        <v>1824</v>
      </c>
      <c r="F45" s="12" t="s">
        <v>34</v>
      </c>
      <c r="G45" s="12" t="s">
        <v>110</v>
      </c>
      <c r="H45" s="12"/>
      <c r="I45" s="14">
        <v>45285</v>
      </c>
      <c r="J45" s="12" t="s">
        <v>1825</v>
      </c>
    </row>
    <row r="46" spans="1:10" s="15" customFormat="1" x14ac:dyDescent="0.15">
      <c r="A46" s="11">
        <v>45286</v>
      </c>
      <c r="B46" s="12" t="s">
        <v>243</v>
      </c>
      <c r="C46" s="12" t="s">
        <v>243</v>
      </c>
      <c r="D46" s="13" t="str">
        <f>HYPERLINK("https://www.marklines.com/en/global/10509","Verkor Gigafactory, Dunkirk Plant (tentative name)")</f>
        <v>Verkor Gigafactory, Dunkirk Plant (tentative name)</v>
      </c>
      <c r="E46" s="12" t="s">
        <v>956</v>
      </c>
      <c r="F46" s="12" t="s">
        <v>17</v>
      </c>
      <c r="G46" s="12" t="s">
        <v>32</v>
      </c>
      <c r="H46" s="12"/>
      <c r="I46" s="14">
        <v>45283</v>
      </c>
      <c r="J46" s="12" t="s">
        <v>1826</v>
      </c>
    </row>
    <row r="47" spans="1:10" s="15" customFormat="1" x14ac:dyDescent="0.15">
      <c r="A47" s="11">
        <v>45286</v>
      </c>
      <c r="B47" s="12" t="s">
        <v>65</v>
      </c>
      <c r="C47" s="12" t="s">
        <v>480</v>
      </c>
      <c r="D47" s="13" t="str">
        <f>HYPERLINK("https://www.marklines.com/en/global/1329","Stellantis, FCA Italy, Giambattista Vico (Pomigliano d'Arco) Plant")</f>
        <v>Stellantis, FCA Italy, Giambattista Vico (Pomigliano d'Arco) Plant</v>
      </c>
      <c r="E47" s="12" t="s">
        <v>604</v>
      </c>
      <c r="F47" s="12" t="s">
        <v>17</v>
      </c>
      <c r="G47" s="12" t="s">
        <v>46</v>
      </c>
      <c r="H47" s="12"/>
      <c r="I47" s="14">
        <v>45282</v>
      </c>
      <c r="J47" s="12" t="s">
        <v>1827</v>
      </c>
    </row>
    <row r="48" spans="1:10" s="15" customFormat="1" x14ac:dyDescent="0.15">
      <c r="A48" s="11">
        <v>45286</v>
      </c>
      <c r="B48" s="12" t="s">
        <v>45</v>
      </c>
      <c r="C48" s="12" t="s">
        <v>49</v>
      </c>
      <c r="D48" s="13" t="str">
        <f>HYPERLINK("https://www.marklines.com/en/global/1329","Stellantis, FCA Italy, Giambattista Vico (Pomigliano d'Arco) Plant")</f>
        <v>Stellantis, FCA Italy, Giambattista Vico (Pomigliano d'Arco) Plant</v>
      </c>
      <c r="E48" s="12" t="s">
        <v>604</v>
      </c>
      <c r="F48" s="12" t="s">
        <v>17</v>
      </c>
      <c r="G48" s="12" t="s">
        <v>46</v>
      </c>
      <c r="H48" s="12"/>
      <c r="I48" s="14">
        <v>45282</v>
      </c>
      <c r="J48" s="12" t="s">
        <v>1827</v>
      </c>
    </row>
    <row r="49" spans="1:10" s="15" customFormat="1" x14ac:dyDescent="0.15">
      <c r="A49" s="11">
        <v>45286</v>
      </c>
      <c r="B49" s="12" t="s">
        <v>45</v>
      </c>
      <c r="C49" s="12" t="s">
        <v>606</v>
      </c>
      <c r="D49" s="13" t="str">
        <f>HYPERLINK("https://www.marklines.com/en/global/1329","Stellantis, FCA Italy, Giambattista Vico (Pomigliano d'Arco) Plant")</f>
        <v>Stellantis, FCA Italy, Giambattista Vico (Pomigliano d'Arco) Plant</v>
      </c>
      <c r="E49" s="12" t="s">
        <v>604</v>
      </c>
      <c r="F49" s="12" t="s">
        <v>17</v>
      </c>
      <c r="G49" s="12" t="s">
        <v>46</v>
      </c>
      <c r="H49" s="12"/>
      <c r="I49" s="14">
        <v>45282</v>
      </c>
      <c r="J49" s="12" t="s">
        <v>1827</v>
      </c>
    </row>
    <row r="50" spans="1:10" s="15" customFormat="1" x14ac:dyDescent="0.15">
      <c r="A50" s="11">
        <v>45286</v>
      </c>
      <c r="B50" s="12" t="s">
        <v>301</v>
      </c>
      <c r="C50" s="12" t="s">
        <v>301</v>
      </c>
      <c r="D50" s="13" t="str">
        <f>HYPERLINK("https://www.marklines.com/en/global/9273","Yibin Kaiyi Automobile Co., Ltd. (Formerly Wuhu Cowin Automobile Co., Ltd.)")</f>
        <v>Yibin Kaiyi Automobile Co., Ltd. (Formerly Wuhu Cowin Automobile Co., Ltd.)</v>
      </c>
      <c r="E50" s="12" t="s">
        <v>302</v>
      </c>
      <c r="F50" s="12" t="s">
        <v>20</v>
      </c>
      <c r="G50" s="12" t="s">
        <v>27</v>
      </c>
      <c r="H50" s="12" t="s">
        <v>303</v>
      </c>
      <c r="I50" s="14">
        <v>45281</v>
      </c>
      <c r="J50" s="12" t="s">
        <v>1828</v>
      </c>
    </row>
    <row r="51" spans="1:10" s="15" customFormat="1" x14ac:dyDescent="0.15">
      <c r="A51" s="11">
        <v>45286</v>
      </c>
      <c r="B51" s="12" t="s">
        <v>22</v>
      </c>
      <c r="C51" s="12" t="s">
        <v>22</v>
      </c>
      <c r="D51" s="13" t="str">
        <f>HYPERLINK("https://www.marklines.com/en/global/2085","Toyota Motor Thailand Co., Ltd. (TMT)")</f>
        <v>Toyota Motor Thailand Co., Ltd. (TMT)</v>
      </c>
      <c r="E51" s="12" t="s">
        <v>1829</v>
      </c>
      <c r="F51" s="12" t="s">
        <v>34</v>
      </c>
      <c r="G51" s="12" t="s">
        <v>71</v>
      </c>
      <c r="H51" s="12" t="s">
        <v>397</v>
      </c>
      <c r="I51" s="14">
        <v>45281</v>
      </c>
      <c r="J51" s="12" t="s">
        <v>1830</v>
      </c>
    </row>
    <row r="52" spans="1:10" s="15" customFormat="1" x14ac:dyDescent="0.15">
      <c r="A52" s="11">
        <v>45286</v>
      </c>
      <c r="B52" s="12" t="s">
        <v>321</v>
      </c>
      <c r="C52" s="12" t="s">
        <v>454</v>
      </c>
      <c r="D52" s="13" t="str">
        <f>HYPERLINK("https://www.marklines.com/en/global/3425","Beiqi Foton Motor Co., Ltd.")</f>
        <v>Beiqi Foton Motor Co., Ltd.</v>
      </c>
      <c r="E52" s="12" t="s">
        <v>455</v>
      </c>
      <c r="F52" s="12" t="s">
        <v>20</v>
      </c>
      <c r="G52" s="12" t="s">
        <v>27</v>
      </c>
      <c r="H52" s="12" t="s">
        <v>456</v>
      </c>
      <c r="I52" s="14">
        <v>45280</v>
      </c>
      <c r="J52" s="12" t="s">
        <v>1831</v>
      </c>
    </row>
    <row r="53" spans="1:10" s="15" customFormat="1" x14ac:dyDescent="0.15">
      <c r="A53" s="11">
        <v>45286</v>
      </c>
      <c r="B53" s="12" t="s">
        <v>321</v>
      </c>
      <c r="C53" s="12" t="s">
        <v>454</v>
      </c>
      <c r="D53" s="13" t="str">
        <f>HYPERLINK("https://www.marklines.com/en/global/8901","Beiqi Foton Motor Co., Ltd., Beijing New Energy Bus Branch")</f>
        <v>Beiqi Foton Motor Co., Ltd., Beijing New Energy Bus Branch</v>
      </c>
      <c r="E53" s="12" t="s">
        <v>1832</v>
      </c>
      <c r="F53" s="12" t="s">
        <v>20</v>
      </c>
      <c r="G53" s="12" t="s">
        <v>27</v>
      </c>
      <c r="H53" s="12" t="s">
        <v>456</v>
      </c>
      <c r="I53" s="14">
        <v>45280</v>
      </c>
      <c r="J53" s="12" t="s">
        <v>1831</v>
      </c>
    </row>
    <row r="54" spans="1:10" s="15" customFormat="1" x14ac:dyDescent="0.15">
      <c r="A54" s="11">
        <v>45286</v>
      </c>
      <c r="B54" s="12" t="s">
        <v>321</v>
      </c>
      <c r="C54" s="12" t="s">
        <v>454</v>
      </c>
      <c r="D54" s="13" t="str">
        <f>HYPERLINK("https://www.marklines.com/en/global/3721","Beiqi Foton Motor Co., Ltd. Shandong MPV Plant")</f>
        <v>Beiqi Foton Motor Co., Ltd. Shandong MPV Plant</v>
      </c>
      <c r="E54" s="12" t="s">
        <v>1833</v>
      </c>
      <c r="F54" s="12" t="s">
        <v>20</v>
      </c>
      <c r="G54" s="12" t="s">
        <v>27</v>
      </c>
      <c r="H54" s="12" t="s">
        <v>354</v>
      </c>
      <c r="I54" s="14">
        <v>45280</v>
      </c>
      <c r="J54" s="12" t="s">
        <v>1831</v>
      </c>
    </row>
    <row r="55" spans="1:10" s="15" customFormat="1" x14ac:dyDescent="0.15">
      <c r="A55" s="11">
        <v>45286</v>
      </c>
      <c r="B55" s="12" t="s">
        <v>1834</v>
      </c>
      <c r="C55" s="12" t="s">
        <v>1834</v>
      </c>
      <c r="D55" s="13" t="str">
        <f>HYPERLINK("https://www.marklines.com/en/global/3573","Haima Automobile Co.,Ltd.")</f>
        <v>Haima Automobile Co.,Ltd.</v>
      </c>
      <c r="E55" s="12" t="s">
        <v>1835</v>
      </c>
      <c r="F55" s="12" t="s">
        <v>20</v>
      </c>
      <c r="G55" s="12" t="s">
        <v>27</v>
      </c>
      <c r="H55" s="12" t="s">
        <v>1836</v>
      </c>
      <c r="I55" s="14">
        <v>45279</v>
      </c>
      <c r="J55" s="12" t="s">
        <v>1837</v>
      </c>
    </row>
    <row r="56" spans="1:10" s="15" customFormat="1" x14ac:dyDescent="0.15">
      <c r="A56" s="11">
        <v>45286</v>
      </c>
      <c r="B56" s="12" t="s">
        <v>1834</v>
      </c>
      <c r="C56" s="12" t="s">
        <v>1834</v>
      </c>
      <c r="D56" s="13" t="str">
        <f>HYPERLINK("https://www.marklines.com/en/global/3961","Haima Motor Co., Ltd.")</f>
        <v>Haima Motor Co., Ltd.</v>
      </c>
      <c r="E56" s="12" t="s">
        <v>1838</v>
      </c>
      <c r="F56" s="12" t="s">
        <v>20</v>
      </c>
      <c r="G56" s="12" t="s">
        <v>27</v>
      </c>
      <c r="H56" s="12" t="s">
        <v>404</v>
      </c>
      <c r="I56" s="14">
        <v>45279</v>
      </c>
      <c r="J56" s="12" t="s">
        <v>1837</v>
      </c>
    </row>
    <row r="57" spans="1:10" s="15" customFormat="1" x14ac:dyDescent="0.15">
      <c r="A57" s="11">
        <v>45286</v>
      </c>
      <c r="B57" s="12" t="s">
        <v>1834</v>
      </c>
      <c r="C57" s="12" t="s">
        <v>1834</v>
      </c>
      <c r="D57" s="13" t="str">
        <f>HYPERLINK("https://www.marklines.com/en/global/3575","Hainan Haima Automobile Co., Ltd.")</f>
        <v>Hainan Haima Automobile Co., Ltd.</v>
      </c>
      <c r="E57" s="12" t="s">
        <v>1839</v>
      </c>
      <c r="F57" s="12" t="s">
        <v>20</v>
      </c>
      <c r="G57" s="12" t="s">
        <v>27</v>
      </c>
      <c r="H57" s="12" t="s">
        <v>1836</v>
      </c>
      <c r="I57" s="14">
        <v>45279</v>
      </c>
      <c r="J57" s="12" t="s">
        <v>1837</v>
      </c>
    </row>
    <row r="58" spans="1:10" s="15" customFormat="1" x14ac:dyDescent="0.15">
      <c r="A58" s="11">
        <v>45286</v>
      </c>
      <c r="B58" s="12" t="s">
        <v>437</v>
      </c>
      <c r="C58" s="12" t="s">
        <v>437</v>
      </c>
      <c r="D58" s="13" t="str">
        <f>HYPERLINK("https://www.marklines.com/en/global/9872","Chery Holding Group Co., Ltd. (formerly Chery Holding Co., Ltd.)")</f>
        <v>Chery Holding Group Co., Ltd. (formerly Chery Holding Co., Ltd.)</v>
      </c>
      <c r="E58" s="12" t="s">
        <v>635</v>
      </c>
      <c r="F58" s="12" t="s">
        <v>20</v>
      </c>
      <c r="G58" s="12" t="s">
        <v>27</v>
      </c>
      <c r="H58" s="12" t="s">
        <v>303</v>
      </c>
      <c r="I58" s="14">
        <v>45274</v>
      </c>
      <c r="J58" s="12" t="s">
        <v>1840</v>
      </c>
    </row>
    <row r="59" spans="1:10" s="15" customFormat="1" x14ac:dyDescent="0.15">
      <c r="A59" s="11">
        <v>45285</v>
      </c>
      <c r="B59" s="12" t="s">
        <v>52</v>
      </c>
      <c r="C59" s="12" t="s">
        <v>53</v>
      </c>
      <c r="D59" s="13" t="str">
        <f>HYPERLINK("https://www.marklines.com/en/global/675","AvtoVAZ, Togliatti Plant")</f>
        <v>AvtoVAZ, Togliatti Plant</v>
      </c>
      <c r="E59" s="12" t="s">
        <v>54</v>
      </c>
      <c r="F59" s="12" t="s">
        <v>18</v>
      </c>
      <c r="G59" s="12" t="s">
        <v>14</v>
      </c>
      <c r="H59" s="12"/>
      <c r="I59" s="14">
        <v>45285</v>
      </c>
      <c r="J59" s="12" t="s">
        <v>1841</v>
      </c>
    </row>
    <row r="60" spans="1:10" s="15" customFormat="1" x14ac:dyDescent="0.15">
      <c r="A60" s="11">
        <v>45285</v>
      </c>
      <c r="B60" s="12" t="s">
        <v>52</v>
      </c>
      <c r="C60" s="12" t="s">
        <v>53</v>
      </c>
      <c r="D60" s="13" t="str">
        <f>HYPERLINK("https://www.marklines.com/en/global/729","LLC ""LADA Izhevsk"", LADA Izhevsk Automotive Plant (formerly OJSC Izh-Avto, Izhevsk Automobilny Zavod) ")</f>
        <v xml:space="preserve">LLC "LADA Izhevsk", LADA Izhevsk Automotive Plant (formerly OJSC Izh-Avto, Izhevsk Automobilny Zavod) </v>
      </c>
      <c r="E60" s="12" t="s">
        <v>105</v>
      </c>
      <c r="F60" s="12" t="s">
        <v>18</v>
      </c>
      <c r="G60" s="12" t="s">
        <v>14</v>
      </c>
      <c r="H60" s="12"/>
      <c r="I60" s="14">
        <v>45285</v>
      </c>
      <c r="J60" s="12" t="s">
        <v>1841</v>
      </c>
    </row>
    <row r="61" spans="1:10" s="15" customFormat="1" x14ac:dyDescent="0.15">
      <c r="A61" s="11">
        <v>45285</v>
      </c>
      <c r="B61" s="12" t="s">
        <v>52</v>
      </c>
      <c r="C61" s="12" t="s">
        <v>53</v>
      </c>
      <c r="D61" s="13" t="str">
        <f>HYPERLINK("https://www.marklines.com/en/global/749","LLC Lada, St. Petersburg (former Nissan Manufacturing Rus OOO, Kamenka (St. Petersburg) Plant)")</f>
        <v>LLC Lada, St. Petersburg (former Nissan Manufacturing Rus OOO, Kamenka (St. Petersburg) Plant)</v>
      </c>
      <c r="E61" s="12" t="s">
        <v>1006</v>
      </c>
      <c r="F61" s="12" t="s">
        <v>18</v>
      </c>
      <c r="G61" s="12" t="s">
        <v>14</v>
      </c>
      <c r="H61" s="12"/>
      <c r="I61" s="14">
        <v>45285</v>
      </c>
      <c r="J61" s="12" t="s">
        <v>1841</v>
      </c>
    </row>
    <row r="62" spans="1:10" s="15" customFormat="1" x14ac:dyDescent="0.15">
      <c r="A62" s="11">
        <v>45285</v>
      </c>
      <c r="B62" s="12" t="s">
        <v>43</v>
      </c>
      <c r="C62" s="12" t="s">
        <v>43</v>
      </c>
      <c r="D62" s="13" t="str">
        <f>HYPERLINK("https://www.marklines.com/en/global/709","Hyundai Motor Manufacturing Russia (HMMR), Kamenka (St. Petersburg)  Plant")</f>
        <v>Hyundai Motor Manufacturing Russia (HMMR), Kamenka (St. Petersburg)  Plant</v>
      </c>
      <c r="E62" s="12" t="s">
        <v>959</v>
      </c>
      <c r="F62" s="12" t="s">
        <v>18</v>
      </c>
      <c r="G62" s="12" t="s">
        <v>14</v>
      </c>
      <c r="H62" s="12"/>
      <c r="I62" s="14">
        <v>45285</v>
      </c>
      <c r="J62" s="12" t="s">
        <v>1842</v>
      </c>
    </row>
    <row r="63" spans="1:10" s="15" customFormat="1" x14ac:dyDescent="0.15">
      <c r="A63" s="11">
        <v>45285</v>
      </c>
      <c r="B63" s="12" t="s">
        <v>13</v>
      </c>
      <c r="C63" s="12" t="s">
        <v>13</v>
      </c>
      <c r="D63" s="13" t="str">
        <f>HYPERLINK("https://www.marklines.com/en/global/709","Hyundai Motor Manufacturing Russia (HMMR), Kamenka (St. Petersburg)  Plant")</f>
        <v>Hyundai Motor Manufacturing Russia (HMMR), Kamenka (St. Petersburg)  Plant</v>
      </c>
      <c r="E63" s="12" t="s">
        <v>959</v>
      </c>
      <c r="F63" s="12" t="s">
        <v>18</v>
      </c>
      <c r="G63" s="12" t="s">
        <v>14</v>
      </c>
      <c r="H63" s="12"/>
      <c r="I63" s="14">
        <v>45285</v>
      </c>
      <c r="J63" s="12" t="s">
        <v>1842</v>
      </c>
    </row>
    <row r="64" spans="1:10" s="15" customFormat="1" x14ac:dyDescent="0.15">
      <c r="A64" s="11">
        <v>45285</v>
      </c>
      <c r="B64" s="12" t="s">
        <v>690</v>
      </c>
      <c r="C64" s="12" t="s">
        <v>690</v>
      </c>
      <c r="D64" s="13" t="str">
        <f>HYPERLINK("https://www.marklines.com/en/global/10385","Sokolnichesky Carriage Repair and Construction Plant (SVARZ)")</f>
        <v>Sokolnichesky Carriage Repair and Construction Plant (SVARZ)</v>
      </c>
      <c r="E64" s="12" t="s">
        <v>1664</v>
      </c>
      <c r="F64" s="12" t="s">
        <v>18</v>
      </c>
      <c r="G64" s="12" t="s">
        <v>14</v>
      </c>
      <c r="H64" s="12"/>
      <c r="I64" s="14">
        <v>45282</v>
      </c>
      <c r="J64" s="12" t="s">
        <v>1843</v>
      </c>
    </row>
    <row r="65" spans="1:10" s="15" customFormat="1" x14ac:dyDescent="0.15">
      <c r="A65" s="11">
        <v>45285</v>
      </c>
      <c r="B65" s="12" t="s">
        <v>316</v>
      </c>
      <c r="C65" s="12" t="s">
        <v>316</v>
      </c>
      <c r="D65" s="13" t="str">
        <f>HYPERLINK("https://www.marklines.com/en/global/10785","BYD Auto Factory, Szeged Plant (tentative name)")</f>
        <v>BYD Auto Factory, Szeged Plant (tentative name)</v>
      </c>
      <c r="E65" s="12" t="s">
        <v>1844</v>
      </c>
      <c r="F65" s="12" t="s">
        <v>18</v>
      </c>
      <c r="G65" s="12" t="s">
        <v>132</v>
      </c>
      <c r="H65" s="12"/>
      <c r="I65" s="14">
        <v>45282</v>
      </c>
      <c r="J65" s="12" t="s">
        <v>1845</v>
      </c>
    </row>
    <row r="66" spans="1:10" s="15" customFormat="1" x14ac:dyDescent="0.15">
      <c r="A66" s="11">
        <v>45285</v>
      </c>
      <c r="B66" s="12" t="s">
        <v>45</v>
      </c>
      <c r="C66" s="12" t="s">
        <v>45</v>
      </c>
      <c r="D66" s="13" t="str">
        <f>HYPERLINK("https://www.marklines.com/en/global/1931","Stellantis, Opel Espana de Automoviles, S.A., Zaragoza (Figueruelas) Plant")</f>
        <v>Stellantis, Opel Espana de Automoviles, S.A., Zaragoza (Figueruelas) Plant</v>
      </c>
      <c r="E66" s="12" t="s">
        <v>284</v>
      </c>
      <c r="F66" s="12" t="s">
        <v>17</v>
      </c>
      <c r="G66" s="12" t="s">
        <v>62</v>
      </c>
      <c r="H66" s="12"/>
      <c r="I66" s="14">
        <v>45282</v>
      </c>
      <c r="J66" s="12" t="s">
        <v>1846</v>
      </c>
    </row>
    <row r="67" spans="1:10" s="15" customFormat="1" x14ac:dyDescent="0.15">
      <c r="A67" s="11">
        <v>45285</v>
      </c>
      <c r="B67" s="12" t="s">
        <v>45</v>
      </c>
      <c r="C67" s="12" t="s">
        <v>45</v>
      </c>
      <c r="D67" s="13" t="str">
        <f>HYPERLINK("https://www.marklines.com/en/global/1939","Stellantis, Peugeot Citroen Automoviles Espana S.A., Vigo Plant")</f>
        <v>Stellantis, Peugeot Citroen Automoviles Espana S.A., Vigo Plant</v>
      </c>
      <c r="E67" s="12" t="s">
        <v>287</v>
      </c>
      <c r="F67" s="12" t="s">
        <v>17</v>
      </c>
      <c r="G67" s="12" t="s">
        <v>62</v>
      </c>
      <c r="H67" s="12"/>
      <c r="I67" s="14">
        <v>45282</v>
      </c>
      <c r="J67" s="12" t="s">
        <v>1846</v>
      </c>
    </row>
    <row r="68" spans="1:10" s="15" customFormat="1" x14ac:dyDescent="0.15">
      <c r="A68" s="11">
        <v>45285</v>
      </c>
      <c r="B68" s="12" t="s">
        <v>45</v>
      </c>
      <c r="C68" s="12" t="s">
        <v>45</v>
      </c>
      <c r="D68" s="13" t="str">
        <f>HYPERLINK("https://www.marklines.com/en/global/1935","Stellantis, Peugeot Citroen Automoviles Espana S.A., Villaverde (Madrid) Plant")</f>
        <v>Stellantis, Peugeot Citroen Automoviles Espana S.A., Villaverde (Madrid) Plant</v>
      </c>
      <c r="E68" s="12" t="s">
        <v>286</v>
      </c>
      <c r="F68" s="12" t="s">
        <v>17</v>
      </c>
      <c r="G68" s="12" t="s">
        <v>62</v>
      </c>
      <c r="H68" s="12"/>
      <c r="I68" s="14">
        <v>45282</v>
      </c>
      <c r="J68" s="12" t="s">
        <v>1846</v>
      </c>
    </row>
    <row r="69" spans="1:10" s="15" customFormat="1" x14ac:dyDescent="0.15">
      <c r="A69" s="11">
        <v>45285</v>
      </c>
      <c r="B69" s="12" t="s">
        <v>22</v>
      </c>
      <c r="C69" s="12" t="s">
        <v>22</v>
      </c>
      <c r="D69" s="13" t="str">
        <f>HYPERLINK("https://www.marklines.com/en/global/9453","Assembly Services Sdn. Bhd. (ASSB), Bukit Raja Plant")</f>
        <v>Assembly Services Sdn. Bhd. (ASSB), Bukit Raja Plant</v>
      </c>
      <c r="E69" s="12" t="s">
        <v>1847</v>
      </c>
      <c r="F69" s="12" t="s">
        <v>34</v>
      </c>
      <c r="G69" s="12" t="s">
        <v>538</v>
      </c>
      <c r="H69" s="12"/>
      <c r="I69" s="14">
        <v>45282</v>
      </c>
      <c r="J69" s="12" t="s">
        <v>1848</v>
      </c>
    </row>
    <row r="70" spans="1:10" s="15" customFormat="1" x14ac:dyDescent="0.15">
      <c r="A70" s="11">
        <v>45285</v>
      </c>
      <c r="B70" s="12" t="s">
        <v>22</v>
      </c>
      <c r="C70" s="12" t="s">
        <v>22</v>
      </c>
      <c r="D70" s="13" t="str">
        <f>HYPERLINK("https://www.marklines.com/en/global/987","Perodua Manufacturing Sdn. Bhd. (PMSB), Rawang Plant")</f>
        <v>Perodua Manufacturing Sdn. Bhd. (PMSB), Rawang Plant</v>
      </c>
      <c r="E70" s="12" t="s">
        <v>1704</v>
      </c>
      <c r="F70" s="12" t="s">
        <v>34</v>
      </c>
      <c r="G70" s="12" t="s">
        <v>538</v>
      </c>
      <c r="H70" s="12"/>
      <c r="I70" s="14">
        <v>45282</v>
      </c>
      <c r="J70" s="12" t="s">
        <v>1848</v>
      </c>
    </row>
    <row r="71" spans="1:10" s="15" customFormat="1" x14ac:dyDescent="0.15">
      <c r="A71" s="11">
        <v>45285</v>
      </c>
      <c r="B71" s="12" t="s">
        <v>22</v>
      </c>
      <c r="C71" s="12" t="s">
        <v>22</v>
      </c>
      <c r="D71" s="13" t="str">
        <f>HYPERLINK("https://www.marklines.com/en/global/1617","Toyota Motor Vietnam Co., Ltd., Me Linh, Vinh Phuc Plant")</f>
        <v>Toyota Motor Vietnam Co., Ltd., Me Linh, Vinh Phuc Plant</v>
      </c>
      <c r="E71" s="12" t="s">
        <v>1849</v>
      </c>
      <c r="F71" s="12" t="s">
        <v>34</v>
      </c>
      <c r="G71" s="12" t="s">
        <v>110</v>
      </c>
      <c r="H71" s="12"/>
      <c r="I71" s="14">
        <v>45281</v>
      </c>
      <c r="J71" s="12" t="s">
        <v>1850</v>
      </c>
    </row>
    <row r="72" spans="1:10" s="15" customFormat="1" x14ac:dyDescent="0.15">
      <c r="A72" s="11">
        <v>45285</v>
      </c>
      <c r="B72" s="12" t="s">
        <v>22</v>
      </c>
      <c r="C72" s="12" t="s">
        <v>22</v>
      </c>
      <c r="D72" s="13" t="str">
        <f>HYPERLINK("https://www.marklines.com/en/global/267","PT. Astra Daihatsu Motor (ADM), Sunter (Jakarta) Plant")</f>
        <v>PT. Astra Daihatsu Motor (ADM), Sunter (Jakarta) Plant</v>
      </c>
      <c r="E72" s="12" t="s">
        <v>1851</v>
      </c>
      <c r="F72" s="12" t="s">
        <v>34</v>
      </c>
      <c r="G72" s="12" t="s">
        <v>87</v>
      </c>
      <c r="H72" s="12"/>
      <c r="I72" s="14">
        <v>45281</v>
      </c>
      <c r="J72" s="12" t="s">
        <v>1852</v>
      </c>
    </row>
    <row r="73" spans="1:10" s="15" customFormat="1" x14ac:dyDescent="0.15">
      <c r="A73" s="11">
        <v>45285</v>
      </c>
      <c r="B73" s="12" t="s">
        <v>22</v>
      </c>
      <c r="C73" s="12" t="s">
        <v>22</v>
      </c>
      <c r="D73" s="13" t="str">
        <f>HYPERLINK("https://www.marklines.com/en/global/4301","PT. Astra Daihatsu Motor (ADM), Karawang Assembly Plant")</f>
        <v>PT. Astra Daihatsu Motor (ADM), Karawang Assembly Plant</v>
      </c>
      <c r="E73" s="12" t="s">
        <v>1853</v>
      </c>
      <c r="F73" s="12" t="s">
        <v>34</v>
      </c>
      <c r="G73" s="12" t="s">
        <v>87</v>
      </c>
      <c r="H73" s="12"/>
      <c r="I73" s="14">
        <v>45281</v>
      </c>
      <c r="J73" s="12" t="s">
        <v>1852</v>
      </c>
    </row>
    <row r="74" spans="1:10" s="15" customFormat="1" x14ac:dyDescent="0.15">
      <c r="A74" s="11">
        <v>45285</v>
      </c>
      <c r="B74" s="12" t="s">
        <v>22</v>
      </c>
      <c r="C74" s="12" t="s">
        <v>22</v>
      </c>
      <c r="D74" s="13" t="str">
        <f>HYPERLINK("https://www.marklines.com/en/global/363","PT. Toyota Motor Manufacturing Indonesia (TMMIN), Karawang Plant")</f>
        <v>PT. Toyota Motor Manufacturing Indonesia (TMMIN), Karawang Plant</v>
      </c>
      <c r="E74" s="12" t="s">
        <v>1854</v>
      </c>
      <c r="F74" s="12" t="s">
        <v>34</v>
      </c>
      <c r="G74" s="12" t="s">
        <v>87</v>
      </c>
      <c r="H74" s="12"/>
      <c r="I74" s="14">
        <v>45281</v>
      </c>
      <c r="J74" s="12" t="s">
        <v>1852</v>
      </c>
    </row>
    <row r="75" spans="1:10" s="15" customFormat="1" x14ac:dyDescent="0.15">
      <c r="A75" s="11">
        <v>45285</v>
      </c>
      <c r="B75" s="12" t="s">
        <v>13</v>
      </c>
      <c r="C75" s="12" t="s">
        <v>1855</v>
      </c>
      <c r="D75" s="13" t="str">
        <f>HYPERLINK("https://www.marklines.com/en/global/1386","CaetanoBus S.A., Vila Nova de Gaia Plant")</f>
        <v>CaetanoBus S.A., Vila Nova de Gaia Plant</v>
      </c>
      <c r="E75" s="12" t="s">
        <v>1856</v>
      </c>
      <c r="F75" s="12" t="s">
        <v>17</v>
      </c>
      <c r="G75" s="12" t="s">
        <v>335</v>
      </c>
      <c r="H75" s="12"/>
      <c r="I75" s="14">
        <v>45281</v>
      </c>
      <c r="J75" s="12" t="s">
        <v>1857</v>
      </c>
    </row>
    <row r="76" spans="1:10" s="15" customFormat="1" x14ac:dyDescent="0.15">
      <c r="A76" s="11">
        <v>45285</v>
      </c>
      <c r="B76" s="12" t="s">
        <v>400</v>
      </c>
      <c r="C76" s="12" t="s">
        <v>416</v>
      </c>
      <c r="D76" s="13" t="str">
        <f>HYPERLINK("https://www.marklines.com/en/global/9345","Geely Sichuan Commercial Vehicle Co., Ltd.")</f>
        <v>Geely Sichuan Commercial Vehicle Co., Ltd.</v>
      </c>
      <c r="E76" s="12" t="s">
        <v>493</v>
      </c>
      <c r="F76" s="12" t="s">
        <v>20</v>
      </c>
      <c r="G76" s="12" t="s">
        <v>27</v>
      </c>
      <c r="H76" s="12" t="s">
        <v>429</v>
      </c>
      <c r="I76" s="14">
        <v>45275</v>
      </c>
      <c r="J76" s="12" t="s">
        <v>1858</v>
      </c>
    </row>
    <row r="77" spans="1:10" s="15" customFormat="1" x14ac:dyDescent="0.15">
      <c r="A77" s="11">
        <v>45285</v>
      </c>
      <c r="B77" s="12" t="s">
        <v>400</v>
      </c>
      <c r="C77" s="12" t="s">
        <v>416</v>
      </c>
      <c r="D77" s="13" t="str">
        <f>HYPERLINK("https://www.marklines.com/en/global/10784","Tianjin Farizon New Energy Commercial Vehicle Co., Ltd.")</f>
        <v>Tianjin Farizon New Energy Commercial Vehicle Co., Ltd.</v>
      </c>
      <c r="E77" s="12" t="s">
        <v>1859</v>
      </c>
      <c r="F77" s="12" t="s">
        <v>20</v>
      </c>
      <c r="G77" s="12" t="s">
        <v>27</v>
      </c>
      <c r="H77" s="12" t="s">
        <v>1177</v>
      </c>
      <c r="I77" s="14">
        <v>45275</v>
      </c>
      <c r="J77" s="12" t="s">
        <v>1858</v>
      </c>
    </row>
    <row r="78" spans="1:10" s="15" customFormat="1" x14ac:dyDescent="0.15">
      <c r="A78" s="11">
        <v>45282</v>
      </c>
      <c r="B78" s="12" t="s">
        <v>22</v>
      </c>
      <c r="C78" s="12" t="s">
        <v>1684</v>
      </c>
      <c r="D78" s="13" t="str">
        <f>HYPERLINK("https://www.marklines.com/en/global/539","Daihatsu Motor, Head (Ikeda) Plant")</f>
        <v>Daihatsu Motor, Head (Ikeda) Plant</v>
      </c>
      <c r="E78" s="12" t="s">
        <v>1685</v>
      </c>
      <c r="F78" s="12" t="s">
        <v>20</v>
      </c>
      <c r="G78" s="12" t="s">
        <v>23</v>
      </c>
      <c r="H78" s="12" t="s">
        <v>1686</v>
      </c>
      <c r="I78" s="14">
        <v>45282</v>
      </c>
      <c r="J78" s="12" t="s">
        <v>1687</v>
      </c>
    </row>
    <row r="79" spans="1:10" s="15" customFormat="1" x14ac:dyDescent="0.15">
      <c r="A79" s="11">
        <v>45282</v>
      </c>
      <c r="B79" s="12" t="s">
        <v>22</v>
      </c>
      <c r="C79" s="12" t="s">
        <v>1684</v>
      </c>
      <c r="D79" s="13" t="str">
        <f>HYPERLINK("https://www.marklines.com/en/global/541","Daihatsu Motor, Kyoto (Oyamazaki) Plant")</f>
        <v>Daihatsu Motor, Kyoto (Oyamazaki) Plant</v>
      </c>
      <c r="E79" s="12" t="s">
        <v>1688</v>
      </c>
      <c r="F79" s="12" t="s">
        <v>20</v>
      </c>
      <c r="G79" s="12" t="s">
        <v>23</v>
      </c>
      <c r="H79" s="12" t="s">
        <v>1689</v>
      </c>
      <c r="I79" s="14">
        <v>45282</v>
      </c>
      <c r="J79" s="12" t="s">
        <v>1687</v>
      </c>
    </row>
    <row r="80" spans="1:10" s="15" customFormat="1" x14ac:dyDescent="0.15">
      <c r="A80" s="11">
        <v>45282</v>
      </c>
      <c r="B80" s="12" t="s">
        <v>22</v>
      </c>
      <c r="C80" s="12" t="s">
        <v>1684</v>
      </c>
      <c r="D80" s="13" t="str">
        <f>HYPERLINK("https://www.marklines.com/en/global/543","Daihatsu Motor, Shiga (Ryuo) Plant")</f>
        <v>Daihatsu Motor, Shiga (Ryuo) Plant</v>
      </c>
      <c r="E80" s="12" t="s">
        <v>1690</v>
      </c>
      <c r="F80" s="12" t="s">
        <v>20</v>
      </c>
      <c r="G80" s="12" t="s">
        <v>23</v>
      </c>
      <c r="H80" s="12" t="s">
        <v>1691</v>
      </c>
      <c r="I80" s="14">
        <v>45282</v>
      </c>
      <c r="J80" s="12" t="s">
        <v>1687</v>
      </c>
    </row>
    <row r="81" spans="1:10" s="15" customFormat="1" x14ac:dyDescent="0.15">
      <c r="A81" s="11">
        <v>45282</v>
      </c>
      <c r="B81" s="12" t="s">
        <v>22</v>
      </c>
      <c r="C81" s="12" t="s">
        <v>1684</v>
      </c>
      <c r="D81" s="13" t="str">
        <f>HYPERLINK("https://www.marklines.com/en/global/547","Daihatsu Motor Kyushu, Oita (Nakatsu) Plant")</f>
        <v>Daihatsu Motor Kyushu, Oita (Nakatsu) Plant</v>
      </c>
      <c r="E81" s="12" t="s">
        <v>1692</v>
      </c>
      <c r="F81" s="12" t="s">
        <v>20</v>
      </c>
      <c r="G81" s="12" t="s">
        <v>23</v>
      </c>
      <c r="H81" s="12" t="s">
        <v>1693</v>
      </c>
      <c r="I81" s="14">
        <v>45282</v>
      </c>
      <c r="J81" s="12" t="s">
        <v>1687</v>
      </c>
    </row>
    <row r="82" spans="1:10" s="15" customFormat="1" x14ac:dyDescent="0.15">
      <c r="A82" s="11">
        <v>45282</v>
      </c>
      <c r="B82" s="12" t="s">
        <v>437</v>
      </c>
      <c r="C82" s="12" t="s">
        <v>540</v>
      </c>
      <c r="D82" s="13" t="str">
        <f>HYPERLINK("https://www.marklines.com/en/global/3879","Chery Automobile Co., Ltd. ")</f>
        <v xml:space="preserve">Chery Automobile Co., Ltd. </v>
      </c>
      <c r="E82" s="12" t="s">
        <v>848</v>
      </c>
      <c r="F82" s="12" t="s">
        <v>20</v>
      </c>
      <c r="G82" s="12" t="s">
        <v>27</v>
      </c>
      <c r="H82" s="12" t="s">
        <v>303</v>
      </c>
      <c r="I82" s="14">
        <v>45281</v>
      </c>
      <c r="J82" s="12" t="s">
        <v>1694</v>
      </c>
    </row>
    <row r="83" spans="1:10" s="15" customFormat="1" x14ac:dyDescent="0.15">
      <c r="A83" s="11">
        <v>45282</v>
      </c>
      <c r="B83" s="12" t="s">
        <v>437</v>
      </c>
      <c r="C83" s="12" t="s">
        <v>1437</v>
      </c>
      <c r="D83" s="13" t="str">
        <f>HYPERLINK("https://www.marklines.com/en/global/3879","Chery Automobile Co., Ltd. ")</f>
        <v xml:space="preserve">Chery Automobile Co., Ltd. </v>
      </c>
      <c r="E83" s="12" t="s">
        <v>848</v>
      </c>
      <c r="F83" s="12" t="s">
        <v>20</v>
      </c>
      <c r="G83" s="12" t="s">
        <v>27</v>
      </c>
      <c r="H83" s="12" t="s">
        <v>303</v>
      </c>
      <c r="I83" s="14">
        <v>45281</v>
      </c>
      <c r="J83" s="12" t="s">
        <v>1694</v>
      </c>
    </row>
    <row r="84" spans="1:10" s="15" customFormat="1" x14ac:dyDescent="0.15">
      <c r="A84" s="11">
        <v>45282</v>
      </c>
      <c r="B84" s="12" t="s">
        <v>65</v>
      </c>
      <c r="C84" s="12" t="s">
        <v>66</v>
      </c>
      <c r="D84" s="13" t="str">
        <f>HYPERLINK("https://www.marklines.com/en/global/2663","Stellantis, FCA US, Belvidere Assembly Plant and Belvidere Satellite Stamping Plant")</f>
        <v>Stellantis, FCA US, Belvidere Assembly Plant and Belvidere Satellite Stamping Plant</v>
      </c>
      <c r="E84" s="12" t="s">
        <v>877</v>
      </c>
      <c r="F84" s="12" t="s">
        <v>16</v>
      </c>
      <c r="G84" s="12" t="s">
        <v>11</v>
      </c>
      <c r="H84" s="12" t="s">
        <v>39</v>
      </c>
      <c r="I84" s="14">
        <v>45281</v>
      </c>
      <c r="J84" s="12" t="s">
        <v>1695</v>
      </c>
    </row>
    <row r="85" spans="1:10" s="15" customFormat="1" x14ac:dyDescent="0.15">
      <c r="A85" s="11">
        <v>45282</v>
      </c>
      <c r="B85" s="12" t="s">
        <v>104</v>
      </c>
      <c r="C85" s="12" t="s">
        <v>1372</v>
      </c>
      <c r="D85" s="13" t="str">
        <f>HYPERLINK("https://www.marklines.com/en/global/581","Mitsubishi Fuso Truck and Bus, Kawasaki Plant")</f>
        <v>Mitsubishi Fuso Truck and Bus, Kawasaki Plant</v>
      </c>
      <c r="E85" s="12" t="s">
        <v>75</v>
      </c>
      <c r="F85" s="12" t="s">
        <v>20</v>
      </c>
      <c r="G85" s="12" t="s">
        <v>23</v>
      </c>
      <c r="H85" s="12" t="s">
        <v>64</v>
      </c>
      <c r="I85" s="14">
        <v>45280</v>
      </c>
      <c r="J85" s="12" t="s">
        <v>1696</v>
      </c>
    </row>
    <row r="86" spans="1:10" s="15" customFormat="1" x14ac:dyDescent="0.15">
      <c r="A86" s="11">
        <v>45282</v>
      </c>
      <c r="B86" s="12" t="s">
        <v>104</v>
      </c>
      <c r="C86" s="12" t="s">
        <v>1372</v>
      </c>
      <c r="D86" s="13" t="str">
        <f>HYPERLINK("https://www.marklines.com/en/global/553","Isuzu Motors, Fujisawa Plant")</f>
        <v>Isuzu Motors, Fujisawa Plant</v>
      </c>
      <c r="E86" s="12" t="s">
        <v>134</v>
      </c>
      <c r="F86" s="12" t="s">
        <v>20</v>
      </c>
      <c r="G86" s="12" t="s">
        <v>23</v>
      </c>
      <c r="H86" s="12" t="s">
        <v>64</v>
      </c>
      <c r="I86" s="14">
        <v>45280</v>
      </c>
      <c r="J86" s="12" t="s">
        <v>1696</v>
      </c>
    </row>
    <row r="87" spans="1:10" s="15" customFormat="1" x14ac:dyDescent="0.15">
      <c r="A87" s="11">
        <v>45282</v>
      </c>
      <c r="B87" s="12" t="s">
        <v>36</v>
      </c>
      <c r="C87" s="12" t="s">
        <v>36</v>
      </c>
      <c r="D87" s="13" t="str">
        <f>HYPERLINK("https://www.marklines.com/en/global/10739","SVOLT Energy Thailand, Chon Buri plant")</f>
        <v>SVOLT Energy Thailand, Chon Buri plant</v>
      </c>
      <c r="E87" s="12" t="s">
        <v>1697</v>
      </c>
      <c r="F87" s="12" t="s">
        <v>34</v>
      </c>
      <c r="G87" s="12" t="s">
        <v>71</v>
      </c>
      <c r="H87" s="12" t="s">
        <v>1698</v>
      </c>
      <c r="I87" s="14">
        <v>45280</v>
      </c>
      <c r="J87" s="12" t="s">
        <v>1699</v>
      </c>
    </row>
    <row r="88" spans="1:10" s="15" customFormat="1" x14ac:dyDescent="0.15">
      <c r="A88" s="11">
        <v>45282</v>
      </c>
      <c r="B88" s="12" t="s">
        <v>65</v>
      </c>
      <c r="C88" s="12" t="s">
        <v>348</v>
      </c>
      <c r="D88" s="13" t="str">
        <f>HYPERLINK("https://www.marklines.com/en/global/2671","Stellantis, FCA Canada, Brampton Assembly Plant and Brampton Satellite Stamping Plant")</f>
        <v>Stellantis, FCA Canada, Brampton Assembly Plant and Brampton Satellite Stamping Plant</v>
      </c>
      <c r="E88" s="12" t="s">
        <v>476</v>
      </c>
      <c r="F88" s="12" t="s">
        <v>16</v>
      </c>
      <c r="G88" s="12" t="s">
        <v>446</v>
      </c>
      <c r="H88" s="12"/>
      <c r="I88" s="14">
        <v>45280</v>
      </c>
      <c r="J88" s="12" t="s">
        <v>1700</v>
      </c>
    </row>
    <row r="89" spans="1:10" s="15" customFormat="1" x14ac:dyDescent="0.15">
      <c r="A89" s="11">
        <v>45282</v>
      </c>
      <c r="B89" s="12" t="s">
        <v>65</v>
      </c>
      <c r="C89" s="12" t="s">
        <v>348</v>
      </c>
      <c r="D89" s="13" t="str">
        <f>HYPERLINK("https://www.marklines.com/en/global/2675","Stellantis, FCA Canada, Windsor Assembly Plant")</f>
        <v>Stellantis, FCA Canada, Windsor Assembly Plant</v>
      </c>
      <c r="E89" s="12" t="s">
        <v>479</v>
      </c>
      <c r="F89" s="12" t="s">
        <v>16</v>
      </c>
      <c r="G89" s="12" t="s">
        <v>446</v>
      </c>
      <c r="H89" s="12"/>
      <c r="I89" s="14">
        <v>45280</v>
      </c>
      <c r="J89" s="12" t="s">
        <v>1700</v>
      </c>
    </row>
    <row r="90" spans="1:10" s="15" customFormat="1" x14ac:dyDescent="0.15">
      <c r="A90" s="11">
        <v>45282</v>
      </c>
      <c r="B90" s="12" t="s">
        <v>65</v>
      </c>
      <c r="C90" s="12" t="s">
        <v>480</v>
      </c>
      <c r="D90" s="13" t="str">
        <f>HYPERLINK("https://www.marklines.com/en/global/2671","Stellantis, FCA Canada, Brampton Assembly Plant and Brampton Satellite Stamping Plant")</f>
        <v>Stellantis, FCA Canada, Brampton Assembly Plant and Brampton Satellite Stamping Plant</v>
      </c>
      <c r="E90" s="12" t="s">
        <v>476</v>
      </c>
      <c r="F90" s="12" t="s">
        <v>16</v>
      </c>
      <c r="G90" s="12" t="s">
        <v>446</v>
      </c>
      <c r="H90" s="12"/>
      <c r="I90" s="14">
        <v>45280</v>
      </c>
      <c r="J90" s="12" t="s">
        <v>1700</v>
      </c>
    </row>
    <row r="91" spans="1:10" s="15" customFormat="1" x14ac:dyDescent="0.15">
      <c r="A91" s="11">
        <v>45282</v>
      </c>
      <c r="B91" s="12" t="s">
        <v>65</v>
      </c>
      <c r="C91" s="12" t="s">
        <v>480</v>
      </c>
      <c r="D91" s="13" t="str">
        <f>HYPERLINK("https://www.marklines.com/en/global/2675","Stellantis, FCA Canada, Windsor Assembly Plant")</f>
        <v>Stellantis, FCA Canada, Windsor Assembly Plant</v>
      </c>
      <c r="E91" s="12" t="s">
        <v>479</v>
      </c>
      <c r="F91" s="12" t="s">
        <v>16</v>
      </c>
      <c r="G91" s="12" t="s">
        <v>446</v>
      </c>
      <c r="H91" s="12"/>
      <c r="I91" s="14">
        <v>45280</v>
      </c>
      <c r="J91" s="12" t="s">
        <v>1700</v>
      </c>
    </row>
    <row r="92" spans="1:10" s="15" customFormat="1" x14ac:dyDescent="0.15">
      <c r="A92" s="11">
        <v>45282</v>
      </c>
      <c r="B92" s="12" t="s">
        <v>22</v>
      </c>
      <c r="C92" s="12" t="s">
        <v>1684</v>
      </c>
      <c r="D92" s="13" t="str">
        <f>HYPERLINK("https://www.marklines.com/en/global/539","Daihatsu Motor, Head (Ikeda) Plant")</f>
        <v>Daihatsu Motor, Head (Ikeda) Plant</v>
      </c>
      <c r="E92" s="12" t="s">
        <v>1685</v>
      </c>
      <c r="F92" s="12" t="s">
        <v>20</v>
      </c>
      <c r="G92" s="12" t="s">
        <v>23</v>
      </c>
      <c r="H92" s="12" t="s">
        <v>1686</v>
      </c>
      <c r="I92" s="14">
        <v>45280</v>
      </c>
      <c r="J92" s="12" t="s">
        <v>1701</v>
      </c>
    </row>
    <row r="93" spans="1:10" s="15" customFormat="1" x14ac:dyDescent="0.15">
      <c r="A93" s="11">
        <v>45282</v>
      </c>
      <c r="B93" s="12" t="s">
        <v>22</v>
      </c>
      <c r="C93" s="12" t="s">
        <v>1684</v>
      </c>
      <c r="D93" s="13" t="str">
        <f>HYPERLINK("https://www.marklines.com/en/global/541","Daihatsu Motor, Kyoto (Oyamazaki) Plant")</f>
        <v>Daihatsu Motor, Kyoto (Oyamazaki) Plant</v>
      </c>
      <c r="E93" s="12" t="s">
        <v>1688</v>
      </c>
      <c r="F93" s="12" t="s">
        <v>20</v>
      </c>
      <c r="G93" s="12" t="s">
        <v>23</v>
      </c>
      <c r="H93" s="12" t="s">
        <v>1689</v>
      </c>
      <c r="I93" s="14">
        <v>45280</v>
      </c>
      <c r="J93" s="12" t="s">
        <v>1701</v>
      </c>
    </row>
    <row r="94" spans="1:10" s="15" customFormat="1" x14ac:dyDescent="0.15">
      <c r="A94" s="11">
        <v>45282</v>
      </c>
      <c r="B94" s="12" t="s">
        <v>22</v>
      </c>
      <c r="C94" s="12" t="s">
        <v>1684</v>
      </c>
      <c r="D94" s="13" t="str">
        <f>HYPERLINK("https://www.marklines.com/en/global/543","Daihatsu Motor, Shiga (Ryuo) Plant")</f>
        <v>Daihatsu Motor, Shiga (Ryuo) Plant</v>
      </c>
      <c r="E94" s="12" t="s">
        <v>1690</v>
      </c>
      <c r="F94" s="12" t="s">
        <v>20</v>
      </c>
      <c r="G94" s="12" t="s">
        <v>23</v>
      </c>
      <c r="H94" s="12" t="s">
        <v>1691</v>
      </c>
      <c r="I94" s="14">
        <v>45280</v>
      </c>
      <c r="J94" s="12" t="s">
        <v>1701</v>
      </c>
    </row>
    <row r="95" spans="1:10" s="15" customFormat="1" x14ac:dyDescent="0.15">
      <c r="A95" s="11">
        <v>45282</v>
      </c>
      <c r="B95" s="12" t="s">
        <v>22</v>
      </c>
      <c r="C95" s="12" t="s">
        <v>1684</v>
      </c>
      <c r="D95" s="13" t="str">
        <f>HYPERLINK("https://www.marklines.com/en/global/547","Daihatsu Motor Kyushu, Oita (Nakatsu) Plant")</f>
        <v>Daihatsu Motor Kyushu, Oita (Nakatsu) Plant</v>
      </c>
      <c r="E95" s="12" t="s">
        <v>1692</v>
      </c>
      <c r="F95" s="12" t="s">
        <v>20</v>
      </c>
      <c r="G95" s="12" t="s">
        <v>23</v>
      </c>
      <c r="H95" s="12" t="s">
        <v>1693</v>
      </c>
      <c r="I95" s="14">
        <v>45280</v>
      </c>
      <c r="J95" s="12" t="s">
        <v>1701</v>
      </c>
    </row>
    <row r="96" spans="1:10" s="15" customFormat="1" x14ac:dyDescent="0.15">
      <c r="A96" s="11">
        <v>45282</v>
      </c>
      <c r="B96" s="12" t="s">
        <v>1702</v>
      </c>
      <c r="C96" s="12" t="s">
        <v>1702</v>
      </c>
      <c r="D96" s="13" t="str">
        <f>HYPERLINK("https://www.marklines.com/en/global/9078","Perodua Global Manufacturing Sdn Bhd. (PGMSB), Rawang Plant")</f>
        <v>Perodua Global Manufacturing Sdn Bhd. (PGMSB), Rawang Plant</v>
      </c>
      <c r="E96" s="12" t="s">
        <v>1703</v>
      </c>
      <c r="F96" s="12" t="s">
        <v>34</v>
      </c>
      <c r="G96" s="12" t="s">
        <v>538</v>
      </c>
      <c r="H96" s="12"/>
      <c r="I96" s="14">
        <v>45280</v>
      </c>
      <c r="J96" s="12" t="s">
        <v>1701</v>
      </c>
    </row>
    <row r="97" spans="1:10" s="15" customFormat="1" x14ac:dyDescent="0.15">
      <c r="A97" s="11">
        <v>45282</v>
      </c>
      <c r="B97" s="12" t="s">
        <v>1702</v>
      </c>
      <c r="C97" s="12" t="s">
        <v>1702</v>
      </c>
      <c r="D97" s="13" t="str">
        <f>HYPERLINK("https://www.marklines.com/en/global/987","Perodua Manufacturing Sdn. Bhd. (PMSB), Rawang Plant")</f>
        <v>Perodua Manufacturing Sdn. Bhd. (PMSB), Rawang Plant</v>
      </c>
      <c r="E97" s="12" t="s">
        <v>1704</v>
      </c>
      <c r="F97" s="12" t="s">
        <v>34</v>
      </c>
      <c r="G97" s="12" t="s">
        <v>538</v>
      </c>
      <c r="H97" s="12"/>
      <c r="I97" s="14">
        <v>45280</v>
      </c>
      <c r="J97" s="12" t="s">
        <v>1701</v>
      </c>
    </row>
    <row r="98" spans="1:10" s="15" customFormat="1" x14ac:dyDescent="0.15">
      <c r="A98" s="11">
        <v>45282</v>
      </c>
      <c r="B98" s="12" t="s">
        <v>22</v>
      </c>
      <c r="C98" s="12" t="s">
        <v>673</v>
      </c>
      <c r="D98" s="13" t="str">
        <f>HYPERLINK("https://www.marklines.com/en/global/393","Toyota Motor Kyushu, Miyata Plant")</f>
        <v>Toyota Motor Kyushu, Miyata Plant</v>
      </c>
      <c r="E98" s="12" t="s">
        <v>1705</v>
      </c>
      <c r="F98" s="12" t="s">
        <v>20</v>
      </c>
      <c r="G98" s="12" t="s">
        <v>23</v>
      </c>
      <c r="H98" s="12" t="s">
        <v>1195</v>
      </c>
      <c r="I98" s="14">
        <v>45279</v>
      </c>
      <c r="J98" s="12" t="s">
        <v>1706</v>
      </c>
    </row>
    <row r="99" spans="1:10" s="15" customFormat="1" x14ac:dyDescent="0.15">
      <c r="A99" s="11">
        <v>45282</v>
      </c>
      <c r="B99" s="12" t="s">
        <v>22</v>
      </c>
      <c r="C99" s="12" t="s">
        <v>22</v>
      </c>
      <c r="D99" s="13" t="str">
        <f>HYPERLINK("https://www.marklines.com/en/global/379","Toyota Motor, Tsutsumi Plant")</f>
        <v>Toyota Motor, Tsutsumi Plant</v>
      </c>
      <c r="E99" s="12" t="s">
        <v>562</v>
      </c>
      <c r="F99" s="12" t="s">
        <v>20</v>
      </c>
      <c r="G99" s="12" t="s">
        <v>23</v>
      </c>
      <c r="H99" s="12" t="s">
        <v>61</v>
      </c>
      <c r="I99" s="14">
        <v>45279</v>
      </c>
      <c r="J99" s="12" t="s">
        <v>1707</v>
      </c>
    </row>
    <row r="100" spans="1:10" s="15" customFormat="1" x14ac:dyDescent="0.15">
      <c r="A100" s="11">
        <v>45282</v>
      </c>
      <c r="B100" s="12" t="s">
        <v>13</v>
      </c>
      <c r="C100" s="12" t="s">
        <v>1445</v>
      </c>
      <c r="D100" s="13" t="str">
        <f>HYPERLINK("https://www.marklines.com/en/global/10638","Tangshan Sky-well New Energy Automobile Co., Ltd.")</f>
        <v>Tangshan Sky-well New Energy Automobile Co., Ltd.</v>
      </c>
      <c r="E100" s="12" t="s">
        <v>1708</v>
      </c>
      <c r="F100" s="12" t="s">
        <v>20</v>
      </c>
      <c r="G100" s="12" t="s">
        <v>27</v>
      </c>
      <c r="H100" s="12" t="s">
        <v>267</v>
      </c>
      <c r="I100" s="14">
        <v>45279</v>
      </c>
      <c r="J100" s="12" t="s">
        <v>1709</v>
      </c>
    </row>
    <row r="101" spans="1:10" s="15" customFormat="1" x14ac:dyDescent="0.15">
      <c r="A101" s="11">
        <v>45282</v>
      </c>
      <c r="B101" s="12" t="s">
        <v>13</v>
      </c>
      <c r="C101" s="12" t="s">
        <v>1445</v>
      </c>
      <c r="D101" s="13" t="str">
        <f>HYPERLINK("https://www.marklines.com/en/global/3749","Nanjing Golden Dragon Bus Co., Ltd.")</f>
        <v>Nanjing Golden Dragon Bus Co., Ltd.</v>
      </c>
      <c r="E101" s="12" t="s">
        <v>1446</v>
      </c>
      <c r="F101" s="12" t="s">
        <v>20</v>
      </c>
      <c r="G101" s="12" t="s">
        <v>27</v>
      </c>
      <c r="H101" s="12" t="s">
        <v>278</v>
      </c>
      <c r="I101" s="14">
        <v>45279</v>
      </c>
      <c r="J101" s="12" t="s">
        <v>1709</v>
      </c>
    </row>
    <row r="102" spans="1:10" s="15" customFormat="1" x14ac:dyDescent="0.15">
      <c r="A102" s="11">
        <v>45282</v>
      </c>
      <c r="B102" s="12" t="s">
        <v>13</v>
      </c>
      <c r="C102" s="12" t="s">
        <v>1445</v>
      </c>
      <c r="D102" s="13" t="str">
        <f>HYPERLINK("https://www.marklines.com/en/global/10327","Jiangsu Skywell Automobile Co., Ltd.")</f>
        <v>Jiangsu Skywell Automobile Co., Ltd.</v>
      </c>
      <c r="E102" s="12" t="s">
        <v>1710</v>
      </c>
      <c r="F102" s="12" t="s">
        <v>20</v>
      </c>
      <c r="G102" s="12" t="s">
        <v>27</v>
      </c>
      <c r="H102" s="12" t="s">
        <v>278</v>
      </c>
      <c r="I102" s="14">
        <v>45279</v>
      </c>
      <c r="J102" s="12" t="s">
        <v>1709</v>
      </c>
    </row>
    <row r="103" spans="1:10" s="15" customFormat="1" x14ac:dyDescent="0.15">
      <c r="A103" s="11">
        <v>45282</v>
      </c>
      <c r="B103" s="12" t="s">
        <v>56</v>
      </c>
      <c r="C103" s="12" t="s">
        <v>56</v>
      </c>
      <c r="D103" s="13" t="str">
        <f>HYPERLINK("https://www.marklines.com/en/global/4001","Fengshen Xiangyang Automobile Co., Ltd. (formerly Dongfeng Nissan Passenger Vehicle Company (Xiangyang Plant))")</f>
        <v>Fengshen Xiangyang Automobile Co., Ltd. (formerly Dongfeng Nissan Passenger Vehicle Company (Xiangyang Plant))</v>
      </c>
      <c r="E103" s="12" t="s">
        <v>1229</v>
      </c>
      <c r="F103" s="12" t="s">
        <v>20</v>
      </c>
      <c r="G103" s="12" t="s">
        <v>27</v>
      </c>
      <c r="H103" s="12" t="s">
        <v>554</v>
      </c>
      <c r="I103" s="14">
        <v>45276</v>
      </c>
      <c r="J103" s="12" t="s">
        <v>1711</v>
      </c>
    </row>
    <row r="104" spans="1:10" s="15" customFormat="1" x14ac:dyDescent="0.15">
      <c r="A104" s="11">
        <v>45282</v>
      </c>
      <c r="B104" s="12" t="s">
        <v>43</v>
      </c>
      <c r="C104" s="12" t="s">
        <v>43</v>
      </c>
      <c r="D104" s="13" t="str">
        <f>HYPERLINK("https://www.marklines.com/en/global/51","Sanyang Motor, Hsinchu Plant")</f>
        <v>Sanyang Motor, Hsinchu Plant</v>
      </c>
      <c r="E104" s="12" t="s">
        <v>1712</v>
      </c>
      <c r="F104" s="12" t="s">
        <v>20</v>
      </c>
      <c r="G104" s="12" t="s">
        <v>115</v>
      </c>
      <c r="H104" s="12"/>
      <c r="I104" s="14">
        <v>45273</v>
      </c>
      <c r="J104" s="12" t="s">
        <v>1713</v>
      </c>
    </row>
    <row r="105" spans="1:10" s="15" customFormat="1" x14ac:dyDescent="0.15">
      <c r="A105" s="11">
        <v>45281</v>
      </c>
      <c r="B105" s="12" t="s">
        <v>437</v>
      </c>
      <c r="C105" s="12" t="s">
        <v>1437</v>
      </c>
      <c r="D105" s="13" t="str">
        <f>HYPERLINK("https://www.marklines.com/en/global/3879","Chery Automobile Co., Ltd. ")</f>
        <v xml:space="preserve">Chery Automobile Co., Ltd. </v>
      </c>
      <c r="E105" s="12" t="s">
        <v>848</v>
      </c>
      <c r="F105" s="12" t="s">
        <v>20</v>
      </c>
      <c r="G105" s="12" t="s">
        <v>27</v>
      </c>
      <c r="H105" s="12" t="s">
        <v>303</v>
      </c>
      <c r="I105" s="14">
        <v>45280</v>
      </c>
      <c r="J105" s="12" t="s">
        <v>1714</v>
      </c>
    </row>
    <row r="106" spans="1:10" s="15" customFormat="1" x14ac:dyDescent="0.15">
      <c r="A106" s="11">
        <v>45281</v>
      </c>
      <c r="B106" s="12" t="s">
        <v>12</v>
      </c>
      <c r="C106" s="12" t="s">
        <v>19</v>
      </c>
      <c r="D106" s="13" t="str">
        <f>HYPERLINK("https://www.marklines.com/en/global/2459","General Motors, Factory ZERO (Detroit-Hamtramck Plant) ")</f>
        <v xml:space="preserve">General Motors, Factory ZERO (Detroit-Hamtramck Plant) </v>
      </c>
      <c r="E106" s="12" t="s">
        <v>528</v>
      </c>
      <c r="F106" s="12" t="s">
        <v>16</v>
      </c>
      <c r="G106" s="12" t="s">
        <v>11</v>
      </c>
      <c r="H106" s="12" t="s">
        <v>40</v>
      </c>
      <c r="I106" s="14">
        <v>45280</v>
      </c>
      <c r="J106" s="12" t="s">
        <v>1715</v>
      </c>
    </row>
    <row r="107" spans="1:10" s="15" customFormat="1" x14ac:dyDescent="0.15">
      <c r="A107" s="11">
        <v>45281</v>
      </c>
      <c r="B107" s="12" t="s">
        <v>12</v>
      </c>
      <c r="C107" s="12" t="s">
        <v>529</v>
      </c>
      <c r="D107" s="13" t="str">
        <f>HYPERLINK("https://www.marklines.com/en/global/2459","General Motors, Factory ZERO (Detroit-Hamtramck Plant) ")</f>
        <v xml:space="preserve">General Motors, Factory ZERO (Detroit-Hamtramck Plant) </v>
      </c>
      <c r="E107" s="12" t="s">
        <v>528</v>
      </c>
      <c r="F107" s="12" t="s">
        <v>16</v>
      </c>
      <c r="G107" s="12" t="s">
        <v>11</v>
      </c>
      <c r="H107" s="12" t="s">
        <v>40</v>
      </c>
      <c r="I107" s="14">
        <v>45280</v>
      </c>
      <c r="J107" s="12" t="s">
        <v>1715</v>
      </c>
    </row>
    <row r="108" spans="1:10" s="15" customFormat="1" x14ac:dyDescent="0.15">
      <c r="A108" s="11">
        <v>45281</v>
      </c>
      <c r="B108" s="12" t="s">
        <v>12</v>
      </c>
      <c r="C108" s="12" t="s">
        <v>530</v>
      </c>
      <c r="D108" s="13" t="str">
        <f>HYPERLINK("https://www.marklines.com/en/global/2459","General Motors, Factory ZERO (Detroit-Hamtramck Plant) ")</f>
        <v xml:space="preserve">General Motors, Factory ZERO (Detroit-Hamtramck Plant) </v>
      </c>
      <c r="E108" s="12" t="s">
        <v>528</v>
      </c>
      <c r="F108" s="12" t="s">
        <v>16</v>
      </c>
      <c r="G108" s="12" t="s">
        <v>11</v>
      </c>
      <c r="H108" s="12" t="s">
        <v>40</v>
      </c>
      <c r="I108" s="14">
        <v>45280</v>
      </c>
      <c r="J108" s="12" t="s">
        <v>1715</v>
      </c>
    </row>
    <row r="109" spans="1:10" s="15" customFormat="1" x14ac:dyDescent="0.15">
      <c r="A109" s="11">
        <v>45281</v>
      </c>
      <c r="B109" s="12" t="s">
        <v>24</v>
      </c>
      <c r="C109" s="12" t="s">
        <v>24</v>
      </c>
      <c r="D109" s="13" t="str">
        <f>HYPERLINK("https://www.marklines.com/en/global/1155","Ford India, Chennai (Maraimalai Nagar) Plant")</f>
        <v>Ford India, Chennai (Maraimalai Nagar) Plant</v>
      </c>
      <c r="E109" s="12" t="s">
        <v>1716</v>
      </c>
      <c r="F109" s="12" t="s">
        <v>25</v>
      </c>
      <c r="G109" s="12" t="s">
        <v>26</v>
      </c>
      <c r="H109" s="12" t="s">
        <v>219</v>
      </c>
      <c r="I109" s="14">
        <v>45279</v>
      </c>
      <c r="J109" s="12" t="s">
        <v>1717</v>
      </c>
    </row>
    <row r="110" spans="1:10" s="15" customFormat="1" x14ac:dyDescent="0.15">
      <c r="A110" s="11">
        <v>45281</v>
      </c>
      <c r="B110" s="12" t="s">
        <v>421</v>
      </c>
      <c r="C110" s="12" t="s">
        <v>421</v>
      </c>
      <c r="D110" s="13" t="str">
        <f>HYPERLINK("https://www.marklines.com/en/global/3333","China FAW Group Co., Ltd.  (Formerly China FAW Group Corporation)")</f>
        <v>China FAW Group Co., Ltd.  (Formerly China FAW Group Corporation)</v>
      </c>
      <c r="E110" s="12" t="s">
        <v>1527</v>
      </c>
      <c r="F110" s="12" t="s">
        <v>20</v>
      </c>
      <c r="G110" s="12" t="s">
        <v>27</v>
      </c>
      <c r="H110" s="12" t="s">
        <v>414</v>
      </c>
      <c r="I110" s="14">
        <v>45278</v>
      </c>
      <c r="J110" s="12" t="s">
        <v>1718</v>
      </c>
    </row>
    <row r="111" spans="1:10" s="15" customFormat="1" x14ac:dyDescent="0.15">
      <c r="A111" s="11">
        <v>45281</v>
      </c>
      <c r="B111" s="12" t="s">
        <v>400</v>
      </c>
      <c r="C111" s="12" t="s">
        <v>400</v>
      </c>
      <c r="D111" s="13" t="str">
        <f>HYPERLINK("https://www.marklines.com/en/global/3807","Zhejiang Geely Holding Group Co., Ltd.")</f>
        <v>Zhejiang Geely Holding Group Co., Ltd.</v>
      </c>
      <c r="E111" s="12" t="s">
        <v>401</v>
      </c>
      <c r="F111" s="12" t="s">
        <v>20</v>
      </c>
      <c r="G111" s="12" t="s">
        <v>27</v>
      </c>
      <c r="H111" s="12" t="s">
        <v>342</v>
      </c>
      <c r="I111" s="14">
        <v>45278</v>
      </c>
      <c r="J111" s="12" t="s">
        <v>1719</v>
      </c>
    </row>
    <row r="112" spans="1:10" s="15" customFormat="1" x14ac:dyDescent="0.15">
      <c r="A112" s="11">
        <v>45281</v>
      </c>
      <c r="B112" s="12" t="s">
        <v>254</v>
      </c>
      <c r="C112" s="12" t="s">
        <v>254</v>
      </c>
      <c r="D112" s="13" t="str">
        <f>HYPERLINK("https://www.marklines.com/en/global/4512","Tesla Gigafactory Nevada")</f>
        <v>Tesla Gigafactory Nevada</v>
      </c>
      <c r="E112" s="12" t="s">
        <v>1720</v>
      </c>
      <c r="F112" s="12" t="s">
        <v>16</v>
      </c>
      <c r="G112" s="12" t="s">
        <v>11</v>
      </c>
      <c r="H112" s="12" t="s">
        <v>1721</v>
      </c>
      <c r="I112" s="14">
        <v>45278</v>
      </c>
      <c r="J112" s="12" t="s">
        <v>1722</v>
      </c>
    </row>
    <row r="113" spans="1:10" s="15" customFormat="1" x14ac:dyDescent="0.15">
      <c r="A113" s="11">
        <v>45281</v>
      </c>
      <c r="B113" s="12" t="s">
        <v>56</v>
      </c>
      <c r="C113" s="12" t="s">
        <v>56</v>
      </c>
      <c r="D113" s="13" t="str">
        <f>HYPERLINK("https://www.marklines.com/en/global/3475","Nissan (China) Investment Co., Ltd. ")</f>
        <v xml:space="preserve">Nissan (China) Investment Co., Ltd. </v>
      </c>
      <c r="E113" s="12" t="s">
        <v>1231</v>
      </c>
      <c r="F113" s="12" t="s">
        <v>20</v>
      </c>
      <c r="G113" s="12" t="s">
        <v>27</v>
      </c>
      <c r="H113" s="12" t="s">
        <v>456</v>
      </c>
      <c r="I113" s="14">
        <v>45277</v>
      </c>
      <c r="J113" s="12" t="s">
        <v>1723</v>
      </c>
    </row>
    <row r="114" spans="1:10" s="15" customFormat="1" x14ac:dyDescent="0.15">
      <c r="A114" s="11">
        <v>45281</v>
      </c>
      <c r="B114" s="12" t="s">
        <v>33</v>
      </c>
      <c r="C114" s="12" t="s">
        <v>131</v>
      </c>
      <c r="D114" s="13" t="str">
        <f>HYPERLINK("https://www.marklines.com/en/global/2191","Porsche AG, Leipzig Plant")</f>
        <v>Porsche AG, Leipzig Plant</v>
      </c>
      <c r="E114" s="12" t="s">
        <v>1306</v>
      </c>
      <c r="F114" s="12" t="s">
        <v>17</v>
      </c>
      <c r="G114" s="12" t="s">
        <v>21</v>
      </c>
      <c r="H114" s="12"/>
      <c r="I114" s="14">
        <v>45275</v>
      </c>
      <c r="J114" s="12" t="s">
        <v>1724</v>
      </c>
    </row>
    <row r="115" spans="1:10" s="15" customFormat="1" x14ac:dyDescent="0.15">
      <c r="A115" s="11">
        <v>45281</v>
      </c>
      <c r="B115" s="12" t="s">
        <v>33</v>
      </c>
      <c r="C115" s="12" t="s">
        <v>63</v>
      </c>
      <c r="D115" s="13" t="str">
        <f>HYPERLINK("https://www.marklines.com/en/global/8739","Audi Mexico S.A. de C.V., San José Chiapa Plant")</f>
        <v>Audi Mexico S.A. de C.V., San José Chiapa Plant</v>
      </c>
      <c r="E115" s="12" t="s">
        <v>207</v>
      </c>
      <c r="F115" s="12" t="s">
        <v>16</v>
      </c>
      <c r="G115" s="12" t="s">
        <v>91</v>
      </c>
      <c r="H115" s="12"/>
      <c r="I115" s="14">
        <v>45275</v>
      </c>
      <c r="J115" s="12" t="s">
        <v>1725</v>
      </c>
    </row>
    <row r="116" spans="1:10" s="15" customFormat="1" x14ac:dyDescent="0.15">
      <c r="A116" s="11">
        <v>45280</v>
      </c>
      <c r="B116" s="12" t="s">
        <v>24</v>
      </c>
      <c r="C116" s="12" t="s">
        <v>24</v>
      </c>
      <c r="D116" s="13" t="str">
        <f>HYPERLINK("https://www.marklines.com/en/global/1901","Ford Motor Spain, Valencia (Almussafes) Plant")</f>
        <v>Ford Motor Spain, Valencia (Almussafes) Plant</v>
      </c>
      <c r="E116" s="12" t="s">
        <v>832</v>
      </c>
      <c r="F116" s="12" t="s">
        <v>17</v>
      </c>
      <c r="G116" s="12" t="s">
        <v>62</v>
      </c>
      <c r="H116" s="12"/>
      <c r="I116" s="14">
        <v>45280</v>
      </c>
      <c r="J116" s="12" t="s">
        <v>1726</v>
      </c>
    </row>
    <row r="117" spans="1:10" s="15" customFormat="1" x14ac:dyDescent="0.15">
      <c r="A117" s="11">
        <v>45280</v>
      </c>
      <c r="B117" s="12" t="s">
        <v>45</v>
      </c>
      <c r="C117" s="12" t="s">
        <v>45</v>
      </c>
      <c r="D117" s="13" t="str">
        <f>HYPERLINK("https://www.marklines.com/en/global/1935","Stellantis, Peugeot Citroen Automoviles Espana S.A., Villaverde (Madrid) Plant")</f>
        <v>Stellantis, Peugeot Citroen Automoviles Espana S.A., Villaverde (Madrid) Plant</v>
      </c>
      <c r="E117" s="12" t="s">
        <v>286</v>
      </c>
      <c r="F117" s="12" t="s">
        <v>17</v>
      </c>
      <c r="G117" s="12" t="s">
        <v>62</v>
      </c>
      <c r="H117" s="12"/>
      <c r="I117" s="14">
        <v>45279</v>
      </c>
      <c r="J117" s="12" t="s">
        <v>1727</v>
      </c>
    </row>
    <row r="118" spans="1:10" s="15" customFormat="1" x14ac:dyDescent="0.15">
      <c r="A118" s="11">
        <v>45280</v>
      </c>
      <c r="B118" s="12" t="s">
        <v>45</v>
      </c>
      <c r="C118" s="12" t="s">
        <v>45</v>
      </c>
      <c r="D118" s="13" t="str">
        <f>HYPERLINK("https://www.marklines.com/en/global/1939","Stellantis, Peugeot Citroen Automoviles Espana S.A., Vigo Plant")</f>
        <v>Stellantis, Peugeot Citroen Automoviles Espana S.A., Vigo Plant</v>
      </c>
      <c r="E118" s="12" t="s">
        <v>287</v>
      </c>
      <c r="F118" s="12" t="s">
        <v>17</v>
      </c>
      <c r="G118" s="12" t="s">
        <v>62</v>
      </c>
      <c r="H118" s="12"/>
      <c r="I118" s="14">
        <v>45279</v>
      </c>
      <c r="J118" s="12" t="s">
        <v>1727</v>
      </c>
    </row>
    <row r="119" spans="1:10" s="15" customFormat="1" x14ac:dyDescent="0.15">
      <c r="A119" s="11">
        <v>45280</v>
      </c>
      <c r="B119" s="12" t="s">
        <v>45</v>
      </c>
      <c r="C119" s="12" t="s">
        <v>45</v>
      </c>
      <c r="D119" s="13" t="str">
        <f>HYPERLINK("https://www.marklines.com/en/global/1931","Stellantis, Opel Espana de Automoviles, S.A., Zaragoza (Figueruelas) Plant")</f>
        <v>Stellantis, Opel Espana de Automoviles, S.A., Zaragoza (Figueruelas) Plant</v>
      </c>
      <c r="E119" s="12" t="s">
        <v>284</v>
      </c>
      <c r="F119" s="12" t="s">
        <v>17</v>
      </c>
      <c r="G119" s="12" t="s">
        <v>62</v>
      </c>
      <c r="H119" s="12"/>
      <c r="I119" s="14">
        <v>45279</v>
      </c>
      <c r="J119" s="12" t="s">
        <v>1727</v>
      </c>
    </row>
    <row r="120" spans="1:10" s="15" customFormat="1" x14ac:dyDescent="0.15">
      <c r="A120" s="11">
        <v>45280</v>
      </c>
      <c r="B120" s="12" t="s">
        <v>13</v>
      </c>
      <c r="C120" s="12" t="s">
        <v>13</v>
      </c>
      <c r="D120" s="13" t="str">
        <f>HYPERLINK("https://www.marklines.com/en/global/753","LLC PCMA Rus (Peugeot Citroen Mitsubishi Automotiv Rus), Kaluga Plant")</f>
        <v>LLC PCMA Rus (Peugeot Citroen Mitsubishi Automotiv Rus), Kaluga Plant</v>
      </c>
      <c r="E120" s="12" t="s">
        <v>1728</v>
      </c>
      <c r="F120" s="12" t="s">
        <v>18</v>
      </c>
      <c r="G120" s="12" t="s">
        <v>14</v>
      </c>
      <c r="H120" s="12"/>
      <c r="I120" s="14">
        <v>45279</v>
      </c>
      <c r="J120" s="12" t="s">
        <v>1729</v>
      </c>
    </row>
    <row r="121" spans="1:10" s="15" customFormat="1" x14ac:dyDescent="0.15">
      <c r="A121" s="11">
        <v>45280</v>
      </c>
      <c r="B121" s="12" t="s">
        <v>56</v>
      </c>
      <c r="C121" s="12" t="s">
        <v>56</v>
      </c>
      <c r="D121" s="13" t="str">
        <f>HYPERLINK("https://www.marklines.com/en/global/10074","Renault Nissan Technology &amp; Business Centre India Private Limited (RNTBCI) (Chengalpet,  Kancheepuram)")</f>
        <v>Renault Nissan Technology &amp; Business Centre India Private Limited (RNTBCI) (Chengalpet,  Kancheepuram)</v>
      </c>
      <c r="E121" s="12" t="s">
        <v>1730</v>
      </c>
      <c r="F121" s="12" t="s">
        <v>25</v>
      </c>
      <c r="G121" s="12" t="s">
        <v>26</v>
      </c>
      <c r="H121" s="12" t="s">
        <v>219</v>
      </c>
      <c r="I121" s="14">
        <v>45279</v>
      </c>
      <c r="J121" s="12" t="s">
        <v>1731</v>
      </c>
    </row>
    <row r="122" spans="1:10" s="15" customFormat="1" x14ac:dyDescent="0.15">
      <c r="A122" s="11">
        <v>45280</v>
      </c>
      <c r="B122" s="12" t="s">
        <v>45</v>
      </c>
      <c r="C122" s="12" t="s">
        <v>45</v>
      </c>
      <c r="D122" s="13" t="str">
        <f>HYPERLINK("https://www.marklines.com/en/global/1443","Turk Otomobil Fabrikasi A.S. (Tofas), Bursa Plant")</f>
        <v>Turk Otomobil Fabrikasi A.S. (Tofas), Bursa Plant</v>
      </c>
      <c r="E122" s="12" t="s">
        <v>1732</v>
      </c>
      <c r="F122" s="12" t="s">
        <v>106</v>
      </c>
      <c r="G122" s="12" t="s">
        <v>107</v>
      </c>
      <c r="H122" s="12"/>
      <c r="I122" s="14">
        <v>45279</v>
      </c>
      <c r="J122" s="12" t="s">
        <v>1733</v>
      </c>
    </row>
    <row r="123" spans="1:10" s="15" customFormat="1" x14ac:dyDescent="0.15">
      <c r="A123" s="11">
        <v>45280</v>
      </c>
      <c r="B123" s="12" t="s">
        <v>22</v>
      </c>
      <c r="C123" s="12" t="s">
        <v>673</v>
      </c>
      <c r="D123" s="13" t="str">
        <f>HYPERLINK("https://www.marklines.com/en/global/373","Toyota Motor, Motomachi Plant")</f>
        <v>Toyota Motor, Motomachi Plant</v>
      </c>
      <c r="E123" s="12" t="s">
        <v>566</v>
      </c>
      <c r="F123" s="12" t="s">
        <v>20</v>
      </c>
      <c r="G123" s="12" t="s">
        <v>23</v>
      </c>
      <c r="H123" s="12" t="s">
        <v>61</v>
      </c>
      <c r="I123" s="14">
        <v>45279</v>
      </c>
      <c r="J123" s="12" t="s">
        <v>1734</v>
      </c>
    </row>
    <row r="124" spans="1:10" s="15" customFormat="1" x14ac:dyDescent="0.15">
      <c r="A124" s="11">
        <v>45280</v>
      </c>
      <c r="B124" s="12" t="s">
        <v>45</v>
      </c>
      <c r="C124" s="12" t="s">
        <v>45</v>
      </c>
      <c r="D124" s="13" t="str">
        <f>HYPERLINK("https://www.marklines.com/en/global/10577","NextStar Energy, Windsor Battery Plant")</f>
        <v>NextStar Energy, Windsor Battery Plant</v>
      </c>
      <c r="E124" s="12" t="s">
        <v>481</v>
      </c>
      <c r="F124" s="12" t="s">
        <v>16</v>
      </c>
      <c r="G124" s="12" t="s">
        <v>446</v>
      </c>
      <c r="H124" s="12"/>
      <c r="I124" s="14">
        <v>45279</v>
      </c>
      <c r="J124" s="12" t="s">
        <v>1735</v>
      </c>
    </row>
    <row r="125" spans="1:10" s="15" customFormat="1" x14ac:dyDescent="0.15">
      <c r="A125" s="11">
        <v>45280</v>
      </c>
      <c r="B125" s="12" t="s">
        <v>45</v>
      </c>
      <c r="C125" s="12" t="s">
        <v>45</v>
      </c>
      <c r="D125" s="13" t="str">
        <f>HYPERLINK("https://www.marklines.com/en/global/1343","Stellantis, Fiat Powertrain Technologies, Termoli Plant / Automotive Cell Company (ACC), Termoli Plant")</f>
        <v>Stellantis, Fiat Powertrain Technologies, Termoli Plant / Automotive Cell Company (ACC), Termoli Plant</v>
      </c>
      <c r="E125" s="12" t="s">
        <v>222</v>
      </c>
      <c r="F125" s="12" t="s">
        <v>17</v>
      </c>
      <c r="G125" s="12" t="s">
        <v>46</v>
      </c>
      <c r="H125" s="12"/>
      <c r="I125" s="14">
        <v>45278</v>
      </c>
      <c r="J125" s="12" t="s">
        <v>1736</v>
      </c>
    </row>
    <row r="126" spans="1:10" s="15" customFormat="1" x14ac:dyDescent="0.15">
      <c r="A126" s="11">
        <v>45280</v>
      </c>
      <c r="B126" s="12" t="s">
        <v>33</v>
      </c>
      <c r="C126" s="12" t="s">
        <v>80</v>
      </c>
      <c r="D126" s="13" t="str">
        <f>HYPERLINK("https://www.marklines.com/en/global/1743","Škoda Auto, Vrchlabí Plant")</f>
        <v>Škoda Auto, Vrchlabí Plant</v>
      </c>
      <c r="E126" s="12" t="s">
        <v>176</v>
      </c>
      <c r="F126" s="12" t="s">
        <v>18</v>
      </c>
      <c r="G126" s="12" t="s">
        <v>81</v>
      </c>
      <c r="H126" s="12"/>
      <c r="I126" s="14">
        <v>45278</v>
      </c>
      <c r="J126" s="12" t="s">
        <v>1737</v>
      </c>
    </row>
    <row r="127" spans="1:10" s="15" customFormat="1" x14ac:dyDescent="0.15">
      <c r="A127" s="11">
        <v>45280</v>
      </c>
      <c r="B127" s="12" t="s">
        <v>254</v>
      </c>
      <c r="C127" s="12" t="s">
        <v>254</v>
      </c>
      <c r="D127" s="13" t="str">
        <f>HYPERLINK("https://www.marklines.com/en/global/10671","Tesla Gigafactory Mexico")</f>
        <v>Tesla Gigafactory Mexico</v>
      </c>
      <c r="E127" s="12" t="s">
        <v>450</v>
      </c>
      <c r="F127" s="12" t="s">
        <v>16</v>
      </c>
      <c r="G127" s="12" t="s">
        <v>91</v>
      </c>
      <c r="H127" s="12"/>
      <c r="I127" s="14">
        <v>45278</v>
      </c>
      <c r="J127" s="12" t="s">
        <v>1738</v>
      </c>
    </row>
    <row r="128" spans="1:10" s="15" customFormat="1" x14ac:dyDescent="0.15">
      <c r="A128" s="11">
        <v>45280</v>
      </c>
      <c r="B128" s="12" t="s">
        <v>400</v>
      </c>
      <c r="C128" s="12" t="s">
        <v>416</v>
      </c>
      <c r="D128" s="13" t="str">
        <f>HYPERLINK("https://www.marklines.com/en/global/9345","Geely Sichuan Commercial Vehicle Co., Ltd.")</f>
        <v>Geely Sichuan Commercial Vehicle Co., Ltd.</v>
      </c>
      <c r="E128" s="12" t="s">
        <v>493</v>
      </c>
      <c r="F128" s="12" t="s">
        <v>20</v>
      </c>
      <c r="G128" s="12" t="s">
        <v>27</v>
      </c>
      <c r="H128" s="12" t="s">
        <v>429</v>
      </c>
      <c r="I128" s="14">
        <v>45276</v>
      </c>
      <c r="J128" s="12" t="s">
        <v>1739</v>
      </c>
    </row>
    <row r="129" spans="1:10" s="15" customFormat="1" x14ac:dyDescent="0.15">
      <c r="A129" s="11">
        <v>45280</v>
      </c>
      <c r="B129" s="12" t="s">
        <v>400</v>
      </c>
      <c r="C129" s="12" t="s">
        <v>416</v>
      </c>
      <c r="D129" s="13" t="str">
        <f>HYPERLINK("https://www.marklines.com/en/global/3893","Anhui Hualing Automobile Co., Ltd.")</f>
        <v>Anhui Hualing Automobile Co., Ltd.</v>
      </c>
      <c r="E129" s="12" t="s">
        <v>1740</v>
      </c>
      <c r="F129" s="12" t="s">
        <v>20</v>
      </c>
      <c r="G129" s="12" t="s">
        <v>27</v>
      </c>
      <c r="H129" s="12" t="s">
        <v>303</v>
      </c>
      <c r="I129" s="14">
        <v>45276</v>
      </c>
      <c r="J129" s="12" t="s">
        <v>1739</v>
      </c>
    </row>
    <row r="130" spans="1:10" s="15" customFormat="1" x14ac:dyDescent="0.15">
      <c r="A130" s="11">
        <v>45280</v>
      </c>
      <c r="B130" s="12" t="s">
        <v>400</v>
      </c>
      <c r="C130" s="12" t="s">
        <v>416</v>
      </c>
      <c r="D130" s="13" t="str">
        <f>HYPERLINK("https://www.marklines.com/en/global/10361","Jiangxi Geely New Energy Commercial Vehicles Co., Ltd.")</f>
        <v>Jiangxi Geely New Energy Commercial Vehicles Co., Ltd.</v>
      </c>
      <c r="E130" s="12" t="s">
        <v>417</v>
      </c>
      <c r="F130" s="12" t="s">
        <v>20</v>
      </c>
      <c r="G130" s="12" t="s">
        <v>27</v>
      </c>
      <c r="H130" s="12" t="s">
        <v>418</v>
      </c>
      <c r="I130" s="14">
        <v>45276</v>
      </c>
      <c r="J130" s="12" t="s">
        <v>1739</v>
      </c>
    </row>
    <row r="131" spans="1:10" s="15" customFormat="1" x14ac:dyDescent="0.15">
      <c r="A131" s="11">
        <v>45280</v>
      </c>
      <c r="B131" s="12" t="s">
        <v>400</v>
      </c>
      <c r="C131" s="12" t="s">
        <v>1461</v>
      </c>
      <c r="D131" s="13" t="str">
        <f>HYPERLINK("https://www.marklines.com/en/global/9811","Zhejiang Geely Automobile Co., Ltd. Hangzhou Branch")</f>
        <v>Zhejiang Geely Automobile Co., Ltd. Hangzhou Branch</v>
      </c>
      <c r="E131" s="12" t="s">
        <v>1462</v>
      </c>
      <c r="F131" s="12" t="s">
        <v>20</v>
      </c>
      <c r="G131" s="12" t="s">
        <v>27</v>
      </c>
      <c r="H131" s="12" t="s">
        <v>342</v>
      </c>
      <c r="I131" s="14">
        <v>45276</v>
      </c>
      <c r="J131" s="12" t="s">
        <v>1741</v>
      </c>
    </row>
    <row r="132" spans="1:10" s="15" customFormat="1" x14ac:dyDescent="0.15">
      <c r="A132" s="11">
        <v>45280</v>
      </c>
      <c r="B132" s="12" t="s">
        <v>45</v>
      </c>
      <c r="C132" s="12" t="s">
        <v>45</v>
      </c>
      <c r="D132" s="13" t="str">
        <f>HYPERLINK("https://www.marklines.com/en/global/1931","Stellantis, Opel Espana de Automoviles, S.A., Zaragoza (Figueruelas) Plant")</f>
        <v>Stellantis, Opel Espana de Automoviles, S.A., Zaragoza (Figueruelas) Plant</v>
      </c>
      <c r="E132" s="12" t="s">
        <v>284</v>
      </c>
      <c r="F132" s="12" t="s">
        <v>17</v>
      </c>
      <c r="G132" s="12" t="s">
        <v>62</v>
      </c>
      <c r="H132" s="12"/>
      <c r="I132" s="14">
        <v>45275</v>
      </c>
      <c r="J132" s="12" t="s">
        <v>1742</v>
      </c>
    </row>
    <row r="133" spans="1:10" s="15" customFormat="1" x14ac:dyDescent="0.15">
      <c r="A133" s="11">
        <v>45280</v>
      </c>
      <c r="B133" s="12" t="s">
        <v>33</v>
      </c>
      <c r="C133" s="12" t="s">
        <v>332</v>
      </c>
      <c r="D133" s="13" t="str">
        <f>HYPERLINK("https://www.marklines.com/en/global/10548","CARIAD SE (Wolfsburg)")</f>
        <v>CARIAD SE (Wolfsburg)</v>
      </c>
      <c r="E133" s="12" t="s">
        <v>1743</v>
      </c>
      <c r="F133" s="12" t="s">
        <v>17</v>
      </c>
      <c r="G133" s="12" t="s">
        <v>21</v>
      </c>
      <c r="H133" s="12"/>
      <c r="I133" s="14">
        <v>45275</v>
      </c>
      <c r="J133" s="12" t="s">
        <v>1744</v>
      </c>
    </row>
    <row r="134" spans="1:10" s="15" customFormat="1" x14ac:dyDescent="0.15">
      <c r="A134" s="11">
        <v>45280</v>
      </c>
      <c r="B134" s="12" t="s">
        <v>22</v>
      </c>
      <c r="C134" s="12" t="s">
        <v>22</v>
      </c>
      <c r="D134" s="13" t="str">
        <f>HYPERLINK("https://www.marklines.com/en/global/249","Toyota Motor Philippines (TMP), Santa Rosa, Laguna Plant")</f>
        <v>Toyota Motor Philippines (TMP), Santa Rosa, Laguna Plant</v>
      </c>
      <c r="E134" s="12" t="s">
        <v>1745</v>
      </c>
      <c r="F134" s="12" t="s">
        <v>34</v>
      </c>
      <c r="G134" s="12" t="s">
        <v>1746</v>
      </c>
      <c r="H134" s="12"/>
      <c r="I134" s="14">
        <v>45275</v>
      </c>
      <c r="J134" s="12" t="s">
        <v>1747</v>
      </c>
    </row>
    <row r="135" spans="1:10" s="15" customFormat="1" x14ac:dyDescent="0.15">
      <c r="A135" s="11">
        <v>45280</v>
      </c>
      <c r="B135" s="12" t="s">
        <v>33</v>
      </c>
      <c r="C135" s="12" t="s">
        <v>44</v>
      </c>
      <c r="D135" s="13" t="str">
        <f>HYPERLINK("https://www.marklines.com/en/global/4119","FAW-Volkswagen Automotive Co., Ltd. Foshan Branch")</f>
        <v>FAW-Volkswagen Automotive Co., Ltd. Foshan Branch</v>
      </c>
      <c r="E135" s="12" t="s">
        <v>1031</v>
      </c>
      <c r="F135" s="12" t="s">
        <v>20</v>
      </c>
      <c r="G135" s="12" t="s">
        <v>27</v>
      </c>
      <c r="H135" s="12" t="s">
        <v>357</v>
      </c>
      <c r="I135" s="14">
        <v>45275</v>
      </c>
      <c r="J135" s="12" t="s">
        <v>1748</v>
      </c>
    </row>
    <row r="136" spans="1:10" s="15" customFormat="1" x14ac:dyDescent="0.15">
      <c r="A136" s="11">
        <v>45280</v>
      </c>
      <c r="B136" s="12" t="s">
        <v>316</v>
      </c>
      <c r="C136" s="12" t="s">
        <v>316</v>
      </c>
      <c r="D136" s="13" t="str">
        <f>HYPERLINK("https://www.marklines.com/en/global/10526","BYD Automobile Industry Co., Ltd., Hefei Branch")</f>
        <v>BYD Automobile Industry Co., Ltd., Hefei Branch</v>
      </c>
      <c r="E136" s="12" t="s">
        <v>1749</v>
      </c>
      <c r="F136" s="12" t="s">
        <v>20</v>
      </c>
      <c r="G136" s="12" t="s">
        <v>27</v>
      </c>
      <c r="H136" s="12" t="s">
        <v>303</v>
      </c>
      <c r="I136" s="14">
        <v>45275</v>
      </c>
      <c r="J136" s="12" t="s">
        <v>1750</v>
      </c>
    </row>
    <row r="137" spans="1:10" s="15" customFormat="1" x14ac:dyDescent="0.15">
      <c r="A137" s="11">
        <v>45280</v>
      </c>
      <c r="B137" s="12" t="s">
        <v>316</v>
      </c>
      <c r="C137" s="12" t="s">
        <v>316</v>
      </c>
      <c r="D137" s="13" t="str">
        <f>HYPERLINK("https://www.marklines.com/en/global/4043","BYD Automobile Industry Co., Ltd., Changsha Branch")</f>
        <v>BYD Automobile Industry Co., Ltd., Changsha Branch</v>
      </c>
      <c r="E137" s="12" t="s">
        <v>358</v>
      </c>
      <c r="F137" s="12" t="s">
        <v>20</v>
      </c>
      <c r="G137" s="12" t="s">
        <v>27</v>
      </c>
      <c r="H137" s="12" t="s">
        <v>359</v>
      </c>
      <c r="I137" s="14">
        <v>45275</v>
      </c>
      <c r="J137" s="12" t="s">
        <v>1750</v>
      </c>
    </row>
    <row r="138" spans="1:10" s="15" customFormat="1" x14ac:dyDescent="0.15">
      <c r="A138" s="11">
        <v>45280</v>
      </c>
      <c r="B138" s="12" t="s">
        <v>316</v>
      </c>
      <c r="C138" s="12" t="s">
        <v>316</v>
      </c>
      <c r="D138" s="13" t="str">
        <f>HYPERLINK("https://www.marklines.com/en/global/4125","BYD Automobile Industry Co., Ltd., Shenzhen Plant")</f>
        <v>BYD Automobile Industry Co., Ltd., Shenzhen Plant</v>
      </c>
      <c r="E138" s="12" t="s">
        <v>356</v>
      </c>
      <c r="F138" s="12" t="s">
        <v>20</v>
      </c>
      <c r="G138" s="12" t="s">
        <v>27</v>
      </c>
      <c r="H138" s="12" t="s">
        <v>357</v>
      </c>
      <c r="I138" s="14">
        <v>45275</v>
      </c>
      <c r="J138" s="12" t="s">
        <v>1750</v>
      </c>
    </row>
    <row r="139" spans="1:10" s="15" customFormat="1" x14ac:dyDescent="0.15">
      <c r="A139" s="11">
        <v>45280</v>
      </c>
      <c r="B139" s="12" t="s">
        <v>15</v>
      </c>
      <c r="C139" s="12" t="s">
        <v>15</v>
      </c>
      <c r="D139" s="13" t="str">
        <f>HYPERLINK("https://www.marklines.com/en/global/439","Honda Motor, Saitama Factory Automobile Plant")</f>
        <v>Honda Motor, Saitama Factory Automobile Plant</v>
      </c>
      <c r="E139" s="12" t="s">
        <v>1355</v>
      </c>
      <c r="F139" s="12" t="s">
        <v>20</v>
      </c>
      <c r="G139" s="12" t="s">
        <v>23</v>
      </c>
      <c r="H139" s="12" t="s">
        <v>1356</v>
      </c>
      <c r="I139" s="14">
        <v>45274</v>
      </c>
      <c r="J139" s="12" t="s">
        <v>1751</v>
      </c>
    </row>
    <row r="140" spans="1:10" s="15" customFormat="1" x14ac:dyDescent="0.15">
      <c r="A140" s="11">
        <v>45280</v>
      </c>
      <c r="B140" s="12" t="s">
        <v>567</v>
      </c>
      <c r="C140" s="12" t="s">
        <v>567</v>
      </c>
      <c r="D140" s="13" t="str">
        <f>HYPERLINK("https://www.marklines.com/en/global/503","Mazda Motor, Hiroshima Plant")</f>
        <v>Mazda Motor, Hiroshima Plant</v>
      </c>
      <c r="E140" s="12" t="s">
        <v>568</v>
      </c>
      <c r="F140" s="12" t="s">
        <v>20</v>
      </c>
      <c r="G140" s="12" t="s">
        <v>23</v>
      </c>
      <c r="H140" s="12" t="s">
        <v>569</v>
      </c>
      <c r="I140" s="14">
        <v>45274</v>
      </c>
      <c r="J140" s="12" t="s">
        <v>1752</v>
      </c>
    </row>
    <row r="141" spans="1:10" s="15" customFormat="1" x14ac:dyDescent="0.15">
      <c r="A141" s="11">
        <v>45280</v>
      </c>
      <c r="B141" s="12" t="s">
        <v>567</v>
      </c>
      <c r="C141" s="12" t="s">
        <v>567</v>
      </c>
      <c r="D141" s="13" t="str">
        <f>HYPERLINK("https://www.marklines.com/en/global/505","Mazda Motor, Hofu Plant")</f>
        <v>Mazda Motor, Hofu Plant</v>
      </c>
      <c r="E141" s="12" t="s">
        <v>1143</v>
      </c>
      <c r="F141" s="12" t="s">
        <v>20</v>
      </c>
      <c r="G141" s="12" t="s">
        <v>23</v>
      </c>
      <c r="H141" s="12" t="s">
        <v>1144</v>
      </c>
      <c r="I141" s="14">
        <v>45274</v>
      </c>
      <c r="J141" s="12" t="s">
        <v>1752</v>
      </c>
    </row>
    <row r="142" spans="1:10" s="15" customFormat="1" x14ac:dyDescent="0.15">
      <c r="A142" s="11">
        <v>45280</v>
      </c>
      <c r="B142" s="12" t="s">
        <v>567</v>
      </c>
      <c r="C142" s="12" t="s">
        <v>567</v>
      </c>
      <c r="D142" s="13" t="str">
        <f>HYPERLINK("https://www.marklines.com/en/global/507","Mazda Motor, Miyoshi Plant")</f>
        <v>Mazda Motor, Miyoshi Plant</v>
      </c>
      <c r="E142" s="12" t="s">
        <v>1753</v>
      </c>
      <c r="F142" s="12" t="s">
        <v>20</v>
      </c>
      <c r="G142" s="12" t="s">
        <v>23</v>
      </c>
      <c r="H142" s="12" t="s">
        <v>569</v>
      </c>
      <c r="I142" s="14">
        <v>45274</v>
      </c>
      <c r="J142" s="12" t="s">
        <v>1752</v>
      </c>
    </row>
    <row r="143" spans="1:10" s="15" customFormat="1" x14ac:dyDescent="0.15">
      <c r="A143" s="11">
        <v>45280</v>
      </c>
      <c r="B143" s="12" t="s">
        <v>56</v>
      </c>
      <c r="C143" s="12" t="s">
        <v>56</v>
      </c>
      <c r="D143" s="13" t="str">
        <f>HYPERLINK("https://www.marklines.com/en/global/10730","AESC US LLC, South Carolina Plant")</f>
        <v>AESC US LLC, South Carolina Plant</v>
      </c>
      <c r="E143" s="12" t="s">
        <v>542</v>
      </c>
      <c r="F143" s="12" t="s">
        <v>16</v>
      </c>
      <c r="G143" s="12" t="s">
        <v>11</v>
      </c>
      <c r="H143" s="12" t="s">
        <v>306</v>
      </c>
      <c r="I143" s="14">
        <v>45272</v>
      </c>
      <c r="J143" s="12" t="s">
        <v>1754</v>
      </c>
    </row>
    <row r="144" spans="1:10" s="15" customFormat="1" x14ac:dyDescent="0.15">
      <c r="A144" s="11">
        <v>45280</v>
      </c>
      <c r="B144" s="12" t="s">
        <v>15</v>
      </c>
      <c r="C144" s="12" t="s">
        <v>15</v>
      </c>
      <c r="D144" s="13" t="str">
        <f>HYPERLINK("https://www.marklines.com/en/global/9932","Hitachi Astemo Electric Motor Systems, Ltd.")</f>
        <v>Hitachi Astemo Electric Motor Systems, Ltd.</v>
      </c>
      <c r="E144" s="12" t="s">
        <v>166</v>
      </c>
      <c r="F144" s="12" t="s">
        <v>20</v>
      </c>
      <c r="G144" s="12" t="s">
        <v>23</v>
      </c>
      <c r="H144" s="12" t="s">
        <v>60</v>
      </c>
      <c r="I144" s="14">
        <v>45268</v>
      </c>
      <c r="J144" s="12" t="s">
        <v>1755</v>
      </c>
    </row>
    <row r="145" spans="1:10" s="15" customFormat="1" x14ac:dyDescent="0.15">
      <c r="A145" s="11">
        <v>45279</v>
      </c>
      <c r="B145" s="12" t="s">
        <v>400</v>
      </c>
      <c r="C145" s="12" t="s">
        <v>441</v>
      </c>
      <c r="D145" s="13" t="str">
        <f>HYPERLINK("https://www.marklines.com/en/global/2729","Volvo Cars, Torslanda, Goteborg Plant")</f>
        <v>Volvo Cars, Torslanda, Goteborg Plant</v>
      </c>
      <c r="E145" s="12" t="s">
        <v>442</v>
      </c>
      <c r="F145" s="12" t="s">
        <v>17</v>
      </c>
      <c r="G145" s="12" t="s">
        <v>50</v>
      </c>
      <c r="H145" s="12"/>
      <c r="I145" s="14">
        <v>45279</v>
      </c>
      <c r="J145" s="12" t="s">
        <v>1756</v>
      </c>
    </row>
    <row r="146" spans="1:10" s="15" customFormat="1" x14ac:dyDescent="0.15">
      <c r="A146" s="11">
        <v>45279</v>
      </c>
      <c r="B146" s="12" t="s">
        <v>400</v>
      </c>
      <c r="C146" s="12" t="s">
        <v>441</v>
      </c>
      <c r="D146" s="13" t="str">
        <f>HYPERLINK("https://www.marklines.com/en/global/9144","Daqing Volvo Car Manufacturing Co., Ltd.")</f>
        <v>Daqing Volvo Car Manufacturing Co., Ltd.</v>
      </c>
      <c r="E146" s="12" t="s">
        <v>1757</v>
      </c>
      <c r="F146" s="12" t="s">
        <v>20</v>
      </c>
      <c r="G146" s="12" t="s">
        <v>27</v>
      </c>
      <c r="H146" s="12" t="s">
        <v>1758</v>
      </c>
      <c r="I146" s="14">
        <v>45279</v>
      </c>
      <c r="J146" s="12" t="s">
        <v>1756</v>
      </c>
    </row>
    <row r="147" spans="1:10" s="15" customFormat="1" x14ac:dyDescent="0.15">
      <c r="A147" s="11">
        <v>45279</v>
      </c>
      <c r="B147" s="12" t="s">
        <v>43</v>
      </c>
      <c r="C147" s="12" t="s">
        <v>43</v>
      </c>
      <c r="D147" s="13" t="str">
        <f>HYPERLINK("https://www.marklines.com/en/global/709","Hyundai Motor Manufacturing Russia (HMMR), Kamenka (St. Petersburg)  Plant")</f>
        <v>Hyundai Motor Manufacturing Russia (HMMR), Kamenka (St. Petersburg)  Plant</v>
      </c>
      <c r="E147" s="12" t="s">
        <v>959</v>
      </c>
      <c r="F147" s="12" t="s">
        <v>18</v>
      </c>
      <c r="G147" s="12" t="s">
        <v>14</v>
      </c>
      <c r="H147" s="12"/>
      <c r="I147" s="14">
        <v>45279</v>
      </c>
      <c r="J147" s="12" t="s">
        <v>1759</v>
      </c>
    </row>
    <row r="148" spans="1:10" s="15" customFormat="1" x14ac:dyDescent="0.15">
      <c r="A148" s="11">
        <v>45279</v>
      </c>
      <c r="B148" s="12" t="s">
        <v>31</v>
      </c>
      <c r="C148" s="12" t="s">
        <v>31</v>
      </c>
      <c r="D148" s="13" t="str">
        <f>HYPERLINK("https://www.marklines.com/en/global/2207","BMW AG, Dingolfing Plant")</f>
        <v>BMW AG, Dingolfing Plant</v>
      </c>
      <c r="E148" s="12" t="s">
        <v>702</v>
      </c>
      <c r="F148" s="12" t="s">
        <v>17</v>
      </c>
      <c r="G148" s="12" t="s">
        <v>21</v>
      </c>
      <c r="H148" s="12"/>
      <c r="I148" s="14">
        <v>45278</v>
      </c>
      <c r="J148" s="12" t="s">
        <v>1760</v>
      </c>
    </row>
    <row r="149" spans="1:10" s="15" customFormat="1" x14ac:dyDescent="0.15">
      <c r="A149" s="11">
        <v>45279</v>
      </c>
      <c r="B149" s="12" t="s">
        <v>31</v>
      </c>
      <c r="C149" s="12" t="s">
        <v>31</v>
      </c>
      <c r="D149" s="13" t="str">
        <f>HYPERLINK("https://www.marklines.com/en/global/2209","BMW AG, Regensburg Plant")</f>
        <v>BMW AG, Regensburg Plant</v>
      </c>
      <c r="E149" s="12" t="s">
        <v>226</v>
      </c>
      <c r="F149" s="12" t="s">
        <v>17</v>
      </c>
      <c r="G149" s="12" t="s">
        <v>21</v>
      </c>
      <c r="H149" s="12"/>
      <c r="I149" s="14">
        <v>45278</v>
      </c>
      <c r="J149" s="12" t="s">
        <v>1760</v>
      </c>
    </row>
    <row r="150" spans="1:10" s="15" customFormat="1" x14ac:dyDescent="0.15">
      <c r="A150" s="11">
        <v>45279</v>
      </c>
      <c r="B150" s="12" t="s">
        <v>1761</v>
      </c>
      <c r="C150" s="12" t="s">
        <v>1761</v>
      </c>
      <c r="D150" s="13" t="str">
        <f>HYPERLINK("https://www.marklines.com/en/global/10779","KG Mobility-SNAM, Jubail Plant (tentative name)")</f>
        <v>KG Mobility-SNAM, Jubail Plant (tentative name)</v>
      </c>
      <c r="E150" s="12" t="s">
        <v>1762</v>
      </c>
      <c r="F150" s="12" t="s">
        <v>106</v>
      </c>
      <c r="G150" s="12" t="s">
        <v>536</v>
      </c>
      <c r="H150" s="12"/>
      <c r="I150" s="14">
        <v>45278</v>
      </c>
      <c r="J150" s="12" t="s">
        <v>1763</v>
      </c>
    </row>
    <row r="151" spans="1:10" s="15" customFormat="1" x14ac:dyDescent="0.15">
      <c r="A151" s="11">
        <v>45279</v>
      </c>
      <c r="B151" s="12" t="s">
        <v>12</v>
      </c>
      <c r="C151" s="12" t="s">
        <v>19</v>
      </c>
      <c r="D151" s="13" t="str">
        <f>HYPERLINK("https://www.marklines.com/en/global/2475","General Motors, Lansing Grand River Plant")</f>
        <v>General Motors, Lansing Grand River Plant</v>
      </c>
      <c r="E151" s="12" t="s">
        <v>1055</v>
      </c>
      <c r="F151" s="12" t="s">
        <v>16</v>
      </c>
      <c r="G151" s="12" t="s">
        <v>11</v>
      </c>
      <c r="H151" s="12" t="s">
        <v>40</v>
      </c>
      <c r="I151" s="14">
        <v>45277</v>
      </c>
      <c r="J151" s="12" t="s">
        <v>1764</v>
      </c>
    </row>
    <row r="152" spans="1:10" s="15" customFormat="1" x14ac:dyDescent="0.15">
      <c r="A152" s="11">
        <v>45279</v>
      </c>
      <c r="B152" s="12" t="s">
        <v>12</v>
      </c>
      <c r="C152" s="12" t="s">
        <v>529</v>
      </c>
      <c r="D152" s="13" t="str">
        <f>HYPERLINK("https://www.marklines.com/en/global/2475","General Motors, Lansing Grand River Plant")</f>
        <v>General Motors, Lansing Grand River Plant</v>
      </c>
      <c r="E152" s="12" t="s">
        <v>1055</v>
      </c>
      <c r="F152" s="12" t="s">
        <v>16</v>
      </c>
      <c r="G152" s="12" t="s">
        <v>11</v>
      </c>
      <c r="H152" s="12" t="s">
        <v>40</v>
      </c>
      <c r="I152" s="14">
        <v>45277</v>
      </c>
      <c r="J152" s="12" t="s">
        <v>1764</v>
      </c>
    </row>
    <row r="153" spans="1:10" s="15" customFormat="1" x14ac:dyDescent="0.15">
      <c r="A153" s="11">
        <v>45279</v>
      </c>
      <c r="B153" s="12" t="s">
        <v>531</v>
      </c>
      <c r="C153" s="12" t="s">
        <v>531</v>
      </c>
      <c r="D153" s="13" t="str">
        <f>HYPERLINK("https://www.marklines.com/en/global/10762","Lucid Advanced Manufacturing Plant (AMP-2) ")</f>
        <v xml:space="preserve">Lucid Advanced Manufacturing Plant (AMP-2) </v>
      </c>
      <c r="E153" s="12" t="s">
        <v>535</v>
      </c>
      <c r="F153" s="12" t="s">
        <v>106</v>
      </c>
      <c r="G153" s="12" t="s">
        <v>536</v>
      </c>
      <c r="H153" s="12"/>
      <c r="I153" s="14">
        <v>45275</v>
      </c>
      <c r="J153" s="12" t="s">
        <v>1765</v>
      </c>
    </row>
    <row r="154" spans="1:10" s="15" customFormat="1" x14ac:dyDescent="0.15">
      <c r="A154" s="11">
        <v>45279</v>
      </c>
      <c r="B154" s="12" t="s">
        <v>531</v>
      </c>
      <c r="C154" s="12" t="s">
        <v>531</v>
      </c>
      <c r="D154" s="13" t="str">
        <f>HYPERLINK("https://www.marklines.com/en/global/9873","Lucid Motors (Lucid Group, Inc.), Casa Grande plant (AMP-1)")</f>
        <v>Lucid Motors (Lucid Group, Inc.), Casa Grande plant (AMP-1)</v>
      </c>
      <c r="E154" s="12" t="s">
        <v>532</v>
      </c>
      <c r="F154" s="12" t="s">
        <v>16</v>
      </c>
      <c r="G154" s="12" t="s">
        <v>11</v>
      </c>
      <c r="H154" s="12" t="s">
        <v>533</v>
      </c>
      <c r="I154" s="14">
        <v>45275</v>
      </c>
      <c r="J154" s="12" t="s">
        <v>1765</v>
      </c>
    </row>
    <row r="155" spans="1:10" s="15" customFormat="1" x14ac:dyDescent="0.15">
      <c r="A155" s="11">
        <v>45279</v>
      </c>
      <c r="B155" s="12" t="s">
        <v>12</v>
      </c>
      <c r="C155" s="12" t="s">
        <v>19</v>
      </c>
      <c r="D155" s="13" t="str">
        <f>HYPERLINK("https://www.marklines.com/en/global/873","General Motors Mexico, San Luis Potosi Plant")</f>
        <v>General Motors Mexico, San Luis Potosi Plant</v>
      </c>
      <c r="E155" s="12" t="s">
        <v>1200</v>
      </c>
      <c r="F155" s="12" t="s">
        <v>16</v>
      </c>
      <c r="G155" s="12" t="s">
        <v>91</v>
      </c>
      <c r="H155" s="12"/>
      <c r="I155" s="14">
        <v>45275</v>
      </c>
      <c r="J155" s="12" t="s">
        <v>1766</v>
      </c>
    </row>
    <row r="156" spans="1:10" s="15" customFormat="1" x14ac:dyDescent="0.15">
      <c r="A156" s="11">
        <v>45279</v>
      </c>
      <c r="B156" s="12" t="s">
        <v>12</v>
      </c>
      <c r="C156" s="12" t="s">
        <v>530</v>
      </c>
      <c r="D156" s="13" t="str">
        <f>HYPERLINK("https://www.marklines.com/en/global/873","General Motors Mexico, San Luis Potosi Plant")</f>
        <v>General Motors Mexico, San Luis Potosi Plant</v>
      </c>
      <c r="E156" s="12" t="s">
        <v>1200</v>
      </c>
      <c r="F156" s="12" t="s">
        <v>16</v>
      </c>
      <c r="G156" s="12" t="s">
        <v>91</v>
      </c>
      <c r="H156" s="12"/>
      <c r="I156" s="14">
        <v>45275</v>
      </c>
      <c r="J156" s="12" t="s">
        <v>1766</v>
      </c>
    </row>
    <row r="157" spans="1:10" s="15" customFormat="1" x14ac:dyDescent="0.15">
      <c r="A157" s="11">
        <v>45279</v>
      </c>
      <c r="B157" s="12" t="s">
        <v>13</v>
      </c>
      <c r="C157" s="12" t="s">
        <v>1767</v>
      </c>
      <c r="D157" s="13" t="str">
        <f>HYPERLINK("https://www.marklines.com/en/global/10434","Irizar e-mobility, Aduna Plant")</f>
        <v>Irizar e-mobility, Aduna Plant</v>
      </c>
      <c r="E157" s="12" t="s">
        <v>1768</v>
      </c>
      <c r="F157" s="12" t="s">
        <v>17</v>
      </c>
      <c r="G157" s="12" t="s">
        <v>62</v>
      </c>
      <c r="H157" s="12"/>
      <c r="I157" s="14">
        <v>45274</v>
      </c>
      <c r="J157" s="12" t="s">
        <v>1769</v>
      </c>
    </row>
    <row r="158" spans="1:10" s="15" customFormat="1" x14ac:dyDescent="0.15">
      <c r="A158" s="11">
        <v>45279</v>
      </c>
      <c r="B158" s="12" t="s">
        <v>41</v>
      </c>
      <c r="C158" s="12" t="s">
        <v>42</v>
      </c>
      <c r="D158" s="13" t="str">
        <f>HYPERLINK("https://www.marklines.com/en/global/3427","Beijing Benz Automotive Co., Ltd. (BBAC)")</f>
        <v>Beijing Benz Automotive Co., Ltd. (BBAC)</v>
      </c>
      <c r="E158" s="12" t="s">
        <v>1458</v>
      </c>
      <c r="F158" s="12" t="s">
        <v>20</v>
      </c>
      <c r="G158" s="12" t="s">
        <v>27</v>
      </c>
      <c r="H158" s="12" t="s">
        <v>456</v>
      </c>
      <c r="I158" s="14">
        <v>45274</v>
      </c>
      <c r="J158" s="12" t="s">
        <v>1770</v>
      </c>
    </row>
    <row r="159" spans="1:10" s="15" customFormat="1" x14ac:dyDescent="0.15">
      <c r="A159" s="11">
        <v>45279</v>
      </c>
      <c r="B159" s="12" t="s">
        <v>12</v>
      </c>
      <c r="C159" s="12" t="s">
        <v>19</v>
      </c>
      <c r="D159" s="13" t="str">
        <f>HYPERLINK("https://www.marklines.com/en/global/2479","General Motors, Orion Assembly Plant")</f>
        <v>General Motors, Orion Assembly Plant</v>
      </c>
      <c r="E159" s="12" t="s">
        <v>526</v>
      </c>
      <c r="F159" s="12" t="s">
        <v>16</v>
      </c>
      <c r="G159" s="12" t="s">
        <v>11</v>
      </c>
      <c r="H159" s="12" t="s">
        <v>40</v>
      </c>
      <c r="I159" s="14">
        <v>45274</v>
      </c>
      <c r="J159" s="12" t="s">
        <v>1771</v>
      </c>
    </row>
    <row r="160" spans="1:10" s="15" customFormat="1" x14ac:dyDescent="0.15">
      <c r="A160" s="11">
        <v>45279</v>
      </c>
      <c r="B160" s="12" t="s">
        <v>12</v>
      </c>
      <c r="C160" s="12" t="s">
        <v>19</v>
      </c>
      <c r="D160" s="13" t="str">
        <f>HYPERLINK("https://www.marklines.com/en/global/2459","General Motors, Factory ZERO (Detroit-Hamtramck Plant) ")</f>
        <v xml:space="preserve">General Motors, Factory ZERO (Detroit-Hamtramck Plant) </v>
      </c>
      <c r="E160" s="12" t="s">
        <v>528</v>
      </c>
      <c r="F160" s="12" t="s">
        <v>16</v>
      </c>
      <c r="G160" s="12" t="s">
        <v>11</v>
      </c>
      <c r="H160" s="12" t="s">
        <v>40</v>
      </c>
      <c r="I160" s="14">
        <v>45274</v>
      </c>
      <c r="J160" s="12" t="s">
        <v>1771</v>
      </c>
    </row>
    <row r="161" spans="1:10" s="15" customFormat="1" x14ac:dyDescent="0.15">
      <c r="A161" s="11">
        <v>45279</v>
      </c>
      <c r="B161" s="12" t="s">
        <v>12</v>
      </c>
      <c r="C161" s="12" t="s">
        <v>529</v>
      </c>
      <c r="D161" s="13" t="str">
        <f>HYPERLINK("https://www.marklines.com/en/global/2459","General Motors, Factory ZERO (Detroit-Hamtramck Plant) ")</f>
        <v xml:space="preserve">General Motors, Factory ZERO (Detroit-Hamtramck Plant) </v>
      </c>
      <c r="E161" s="12" t="s">
        <v>528</v>
      </c>
      <c r="F161" s="12" t="s">
        <v>16</v>
      </c>
      <c r="G161" s="12" t="s">
        <v>11</v>
      </c>
      <c r="H161" s="12" t="s">
        <v>40</v>
      </c>
      <c r="I161" s="14">
        <v>45274</v>
      </c>
      <c r="J161" s="12" t="s">
        <v>1771</v>
      </c>
    </row>
    <row r="162" spans="1:10" s="15" customFormat="1" x14ac:dyDescent="0.15">
      <c r="A162" s="11">
        <v>45279</v>
      </c>
      <c r="B162" s="12" t="s">
        <v>12</v>
      </c>
      <c r="C162" s="12" t="s">
        <v>530</v>
      </c>
      <c r="D162" s="13" t="str">
        <f>HYPERLINK("https://www.marklines.com/en/global/2479","General Motors, Orion Assembly Plant")</f>
        <v>General Motors, Orion Assembly Plant</v>
      </c>
      <c r="E162" s="12" t="s">
        <v>526</v>
      </c>
      <c r="F162" s="12" t="s">
        <v>16</v>
      </c>
      <c r="G162" s="12" t="s">
        <v>11</v>
      </c>
      <c r="H162" s="12" t="s">
        <v>40</v>
      </c>
      <c r="I162" s="14">
        <v>45274</v>
      </c>
      <c r="J162" s="12" t="s">
        <v>1771</v>
      </c>
    </row>
    <row r="163" spans="1:10" s="15" customFormat="1" x14ac:dyDescent="0.15">
      <c r="A163" s="11">
        <v>45279</v>
      </c>
      <c r="B163" s="12" t="s">
        <v>12</v>
      </c>
      <c r="C163" s="12" t="s">
        <v>530</v>
      </c>
      <c r="D163" s="13" t="str">
        <f>HYPERLINK("https://www.marklines.com/en/global/2459","General Motors, Factory ZERO (Detroit-Hamtramck Plant) ")</f>
        <v xml:space="preserve">General Motors, Factory ZERO (Detroit-Hamtramck Plant) </v>
      </c>
      <c r="E163" s="12" t="s">
        <v>528</v>
      </c>
      <c r="F163" s="12" t="s">
        <v>16</v>
      </c>
      <c r="G163" s="12" t="s">
        <v>11</v>
      </c>
      <c r="H163" s="12" t="s">
        <v>40</v>
      </c>
      <c r="I163" s="14">
        <v>45274</v>
      </c>
      <c r="J163" s="12" t="s">
        <v>1771</v>
      </c>
    </row>
    <row r="164" spans="1:10" s="15" customFormat="1" x14ac:dyDescent="0.15">
      <c r="A164" s="11">
        <v>45279</v>
      </c>
      <c r="B164" s="12" t="s">
        <v>321</v>
      </c>
      <c r="C164" s="12" t="s">
        <v>321</v>
      </c>
      <c r="D164" s="13" t="str">
        <f>HYPERLINK("https://www.marklines.com/en/global/4111","BAIC Guangzhou Automotive Co., Ltd.")</f>
        <v>BAIC Guangzhou Automotive Co., Ltd.</v>
      </c>
      <c r="E164" s="12" t="s">
        <v>1772</v>
      </c>
      <c r="F164" s="12" t="s">
        <v>20</v>
      </c>
      <c r="G164" s="12" t="s">
        <v>27</v>
      </c>
      <c r="H164" s="12" t="s">
        <v>357</v>
      </c>
      <c r="I164" s="14">
        <v>45273</v>
      </c>
      <c r="J164" s="12" t="s">
        <v>1773</v>
      </c>
    </row>
    <row r="165" spans="1:10" s="15" customFormat="1" x14ac:dyDescent="0.15">
      <c r="A165" s="11">
        <v>45279</v>
      </c>
      <c r="B165" s="12" t="s">
        <v>321</v>
      </c>
      <c r="C165" s="12" t="s">
        <v>321</v>
      </c>
      <c r="D165" s="13" t="str">
        <f>HYPERLINK("https://www.marklines.com/en/global/4059","BAIC Motor Corporation Ltd. Zhuzhou Branch")</f>
        <v>BAIC Motor Corporation Ltd. Zhuzhou Branch</v>
      </c>
      <c r="E165" s="12" t="s">
        <v>1774</v>
      </c>
      <c r="F165" s="12" t="s">
        <v>20</v>
      </c>
      <c r="G165" s="12" t="s">
        <v>27</v>
      </c>
      <c r="H165" s="12" t="s">
        <v>359</v>
      </c>
      <c r="I165" s="14">
        <v>45273</v>
      </c>
      <c r="J165" s="12" t="s">
        <v>1773</v>
      </c>
    </row>
    <row r="166" spans="1:10" s="15" customFormat="1" x14ac:dyDescent="0.15">
      <c r="A166" s="11">
        <v>45278</v>
      </c>
      <c r="B166" s="12" t="s">
        <v>13</v>
      </c>
      <c r="C166" s="12" t="s">
        <v>13</v>
      </c>
      <c r="D166" s="13" t="str">
        <f>HYPERLINK("https://www.marklines.com/en/global/10751","Wisdom (Fujian) Motor co., Ltd. ")</f>
        <v xml:space="preserve">Wisdom (Fujian) Motor co., Ltd. </v>
      </c>
      <c r="E166" s="12" t="s">
        <v>1775</v>
      </c>
      <c r="F166" s="12" t="s">
        <v>20</v>
      </c>
      <c r="G166" s="12" t="s">
        <v>27</v>
      </c>
      <c r="H166" s="12" t="s">
        <v>411</v>
      </c>
      <c r="I166" s="14">
        <v>45278</v>
      </c>
      <c r="J166" s="12" t="s">
        <v>1776</v>
      </c>
    </row>
    <row r="167" spans="1:10" s="15" customFormat="1" x14ac:dyDescent="0.15">
      <c r="A167" s="11">
        <v>45278</v>
      </c>
      <c r="B167" s="12" t="s">
        <v>437</v>
      </c>
      <c r="C167" s="12" t="s">
        <v>437</v>
      </c>
      <c r="D167" s="13" t="str">
        <f>HYPERLINK("https://www.marklines.com/en/global/9390","Chery New Energy Automobile Co., Ltd. (Formerly Chery New Energy Technology Automotive Co., Ltd.)")</f>
        <v>Chery New Energy Automobile Co., Ltd. (Formerly Chery New Energy Technology Automotive Co., Ltd.)</v>
      </c>
      <c r="E167" s="12" t="s">
        <v>849</v>
      </c>
      <c r="F167" s="12" t="s">
        <v>20</v>
      </c>
      <c r="G167" s="12" t="s">
        <v>27</v>
      </c>
      <c r="H167" s="12" t="s">
        <v>303</v>
      </c>
      <c r="I167" s="14">
        <v>45275</v>
      </c>
      <c r="J167" s="12" t="s">
        <v>1777</v>
      </c>
    </row>
    <row r="168" spans="1:10" s="15" customFormat="1" x14ac:dyDescent="0.15">
      <c r="A168" s="11">
        <v>45278</v>
      </c>
      <c r="B168" s="12" t="s">
        <v>52</v>
      </c>
      <c r="C168" s="12" t="s">
        <v>53</v>
      </c>
      <c r="D168" s="13" t="str">
        <f>HYPERLINK("https://www.marklines.com/en/global/729","LLC ""LADA Izhevsk"", LADA Izhevsk Automotive Plant (formerly OJSC Izh-Avto, Izhevsk Automobilny Zavod) ")</f>
        <v xml:space="preserve">LLC "LADA Izhevsk", LADA Izhevsk Automotive Plant (formerly OJSC Izh-Avto, Izhevsk Automobilny Zavod) </v>
      </c>
      <c r="E168" s="12" t="s">
        <v>105</v>
      </c>
      <c r="F168" s="12" t="s">
        <v>18</v>
      </c>
      <c r="G168" s="12" t="s">
        <v>14</v>
      </c>
      <c r="H168" s="12"/>
      <c r="I168" s="14">
        <v>45275</v>
      </c>
      <c r="J168" s="12" t="s">
        <v>1778</v>
      </c>
    </row>
    <row r="169" spans="1:10" s="15" customFormat="1" x14ac:dyDescent="0.15">
      <c r="A169" s="11">
        <v>45278</v>
      </c>
      <c r="B169" s="12" t="s">
        <v>366</v>
      </c>
      <c r="C169" s="12" t="s">
        <v>366</v>
      </c>
      <c r="D169" s="13" t="str">
        <f>HYPERLINK("https://www.marklines.com/en/global/4073","Guangzhou Automobile Group Co., Ltd. (GAC)")</f>
        <v>Guangzhou Automobile Group Co., Ltd. (GAC)</v>
      </c>
      <c r="E169" s="12" t="s">
        <v>725</v>
      </c>
      <c r="F169" s="12" t="s">
        <v>20</v>
      </c>
      <c r="G169" s="12" t="s">
        <v>27</v>
      </c>
      <c r="H169" s="12" t="s">
        <v>357</v>
      </c>
      <c r="I169" s="14">
        <v>45273</v>
      </c>
      <c r="J169" s="12" t="s">
        <v>1779</v>
      </c>
    </row>
    <row r="170" spans="1:10" s="15" customFormat="1" x14ac:dyDescent="0.15">
      <c r="A170" s="11">
        <v>45276</v>
      </c>
      <c r="B170" s="12" t="s">
        <v>43</v>
      </c>
      <c r="C170" s="12" t="s">
        <v>269</v>
      </c>
      <c r="D170" s="13" t="str">
        <f>HYPERLINK("https://www.marklines.com/en/global/9270","Kia Motors Mexico, Pesqueria Plant")</f>
        <v>Kia Motors Mexico, Pesqueria Plant</v>
      </c>
      <c r="E170" s="12" t="s">
        <v>1780</v>
      </c>
      <c r="F170" s="12" t="s">
        <v>16</v>
      </c>
      <c r="G170" s="12" t="s">
        <v>91</v>
      </c>
      <c r="H170" s="12"/>
      <c r="I170" s="14">
        <v>45274</v>
      </c>
      <c r="J170" s="12" t="s">
        <v>1781</v>
      </c>
    </row>
    <row r="171" spans="1:10" s="15" customFormat="1" x14ac:dyDescent="0.15">
      <c r="A171" s="11">
        <v>45276</v>
      </c>
      <c r="B171" s="12" t="s">
        <v>254</v>
      </c>
      <c r="C171" s="12" t="s">
        <v>254</v>
      </c>
      <c r="D171" s="13" t="str">
        <f>HYPERLINK("https://www.marklines.com/en/global/10671","Tesla Gigafactory Mexico")</f>
        <v>Tesla Gigafactory Mexico</v>
      </c>
      <c r="E171" s="12" t="s">
        <v>450</v>
      </c>
      <c r="F171" s="12" t="s">
        <v>16</v>
      </c>
      <c r="G171" s="12" t="s">
        <v>91</v>
      </c>
      <c r="H171" s="12"/>
      <c r="I171" s="14">
        <v>45274</v>
      </c>
      <c r="J171" s="12" t="s">
        <v>1782</v>
      </c>
    </row>
    <row r="172" spans="1:10" s="15" customFormat="1" x14ac:dyDescent="0.15">
      <c r="A172" s="11">
        <v>45276</v>
      </c>
      <c r="B172" s="12" t="s">
        <v>12</v>
      </c>
      <c r="C172" s="12" t="s">
        <v>19</v>
      </c>
      <c r="D172" s="13" t="str">
        <f>HYPERLINK("https://www.marklines.com/en/global/2479","General Motors, Orion Assembly Plant")</f>
        <v>General Motors, Orion Assembly Plant</v>
      </c>
      <c r="E172" s="12" t="s">
        <v>526</v>
      </c>
      <c r="F172" s="12" t="s">
        <v>16</v>
      </c>
      <c r="G172" s="12" t="s">
        <v>11</v>
      </c>
      <c r="H172" s="12" t="s">
        <v>40</v>
      </c>
      <c r="I172" s="14">
        <v>45274</v>
      </c>
      <c r="J172" s="12" t="s">
        <v>1783</v>
      </c>
    </row>
    <row r="173" spans="1:10" s="15" customFormat="1" x14ac:dyDescent="0.15">
      <c r="A173" s="11">
        <v>45276</v>
      </c>
      <c r="B173" s="12" t="s">
        <v>12</v>
      </c>
      <c r="C173" s="12" t="s">
        <v>19</v>
      </c>
      <c r="D173" s="13" t="str">
        <f>HYPERLINK("https://www.marklines.com/en/global/2475","General Motors, Lansing Grand River Plant")</f>
        <v>General Motors, Lansing Grand River Plant</v>
      </c>
      <c r="E173" s="12" t="s">
        <v>1055</v>
      </c>
      <c r="F173" s="12" t="s">
        <v>16</v>
      </c>
      <c r="G173" s="12" t="s">
        <v>11</v>
      </c>
      <c r="H173" s="12" t="s">
        <v>40</v>
      </c>
      <c r="I173" s="14">
        <v>45274</v>
      </c>
      <c r="J173" s="12" t="s">
        <v>1783</v>
      </c>
    </row>
    <row r="174" spans="1:10" s="15" customFormat="1" x14ac:dyDescent="0.15">
      <c r="A174" s="11">
        <v>45276</v>
      </c>
      <c r="B174" s="12" t="s">
        <v>12</v>
      </c>
      <c r="C174" s="12" t="s">
        <v>529</v>
      </c>
      <c r="D174" s="13" t="str">
        <f>HYPERLINK("https://www.marklines.com/en/global/2475","General Motors, Lansing Grand River Plant")</f>
        <v>General Motors, Lansing Grand River Plant</v>
      </c>
      <c r="E174" s="12" t="s">
        <v>1055</v>
      </c>
      <c r="F174" s="12" t="s">
        <v>16</v>
      </c>
      <c r="G174" s="12" t="s">
        <v>11</v>
      </c>
      <c r="H174" s="12" t="s">
        <v>40</v>
      </c>
      <c r="I174" s="14">
        <v>45274</v>
      </c>
      <c r="J174" s="12" t="s">
        <v>1783</v>
      </c>
    </row>
    <row r="175" spans="1:10" s="15" customFormat="1" x14ac:dyDescent="0.15">
      <c r="A175" s="11">
        <v>45276</v>
      </c>
      <c r="B175" s="12" t="s">
        <v>12</v>
      </c>
      <c r="C175" s="12" t="s">
        <v>530</v>
      </c>
      <c r="D175" s="13" t="str">
        <f>HYPERLINK("https://www.marklines.com/en/global/2479","General Motors, Orion Assembly Plant")</f>
        <v>General Motors, Orion Assembly Plant</v>
      </c>
      <c r="E175" s="12" t="s">
        <v>526</v>
      </c>
      <c r="F175" s="12" t="s">
        <v>16</v>
      </c>
      <c r="G175" s="12" t="s">
        <v>11</v>
      </c>
      <c r="H175" s="12" t="s">
        <v>40</v>
      </c>
      <c r="I175" s="14">
        <v>45274</v>
      </c>
      <c r="J175" s="12" t="s">
        <v>1783</v>
      </c>
    </row>
    <row r="176" spans="1:10" s="15" customFormat="1" x14ac:dyDescent="0.15">
      <c r="A176" s="11">
        <v>45275</v>
      </c>
      <c r="B176" s="12" t="s">
        <v>13</v>
      </c>
      <c r="C176" s="12" t="s">
        <v>13</v>
      </c>
      <c r="D176" s="13" t="str">
        <f>HYPERLINK("https://www.marklines.com/en/global/687","Sollers-Yelabuga OOO, Yelabuga Plant")</f>
        <v>Sollers-Yelabuga OOO, Yelabuga Plant</v>
      </c>
      <c r="E176" s="12" t="s">
        <v>94</v>
      </c>
      <c r="F176" s="12" t="s">
        <v>18</v>
      </c>
      <c r="G176" s="12" t="s">
        <v>14</v>
      </c>
      <c r="H176" s="12"/>
      <c r="I176" s="14">
        <v>45275</v>
      </c>
      <c r="J176" s="12" t="s">
        <v>1577</v>
      </c>
    </row>
    <row r="177" spans="1:10" s="15" customFormat="1" x14ac:dyDescent="0.15">
      <c r="A177" s="11">
        <v>45275</v>
      </c>
      <c r="B177" s="12" t="s">
        <v>15</v>
      </c>
      <c r="C177" s="12" t="s">
        <v>15</v>
      </c>
      <c r="D177" s="13" t="str">
        <f>HYPERLINK("https://www.marklines.com/en/global/2009","Honda Automobile (Thailand), Prachinburi Plant")</f>
        <v>Honda Automobile (Thailand), Prachinburi Plant</v>
      </c>
      <c r="E177" s="12" t="s">
        <v>1578</v>
      </c>
      <c r="F177" s="12" t="s">
        <v>34</v>
      </c>
      <c r="G177" s="12" t="s">
        <v>71</v>
      </c>
      <c r="H177" s="12" t="s">
        <v>1579</v>
      </c>
      <c r="I177" s="14">
        <v>45275</v>
      </c>
      <c r="J177" s="12" t="s">
        <v>1580</v>
      </c>
    </row>
    <row r="178" spans="1:10" s="15" customFormat="1" x14ac:dyDescent="0.15">
      <c r="A178" s="11">
        <v>45275</v>
      </c>
      <c r="B178" s="12" t="s">
        <v>720</v>
      </c>
      <c r="C178" s="12" t="s">
        <v>721</v>
      </c>
      <c r="D178" s="13" t="str">
        <f>HYPERLINK("https://www.marklines.com/en/global/9279","PT. Mitsubishi Motors Krama Yudha Indonesia (MMKI), Bekasi Plant")</f>
        <v>PT. Mitsubishi Motors Krama Yudha Indonesia (MMKI), Bekasi Plant</v>
      </c>
      <c r="E178" s="12" t="s">
        <v>1581</v>
      </c>
      <c r="F178" s="12" t="s">
        <v>34</v>
      </c>
      <c r="G178" s="12" t="s">
        <v>87</v>
      </c>
      <c r="H178" s="12"/>
      <c r="I178" s="14">
        <v>45275</v>
      </c>
      <c r="J178" s="12" t="s">
        <v>1582</v>
      </c>
    </row>
    <row r="179" spans="1:10" s="15" customFormat="1" x14ac:dyDescent="0.15">
      <c r="A179" s="11">
        <v>45275</v>
      </c>
      <c r="B179" s="12" t="s">
        <v>437</v>
      </c>
      <c r="C179" s="12" t="s">
        <v>1437</v>
      </c>
      <c r="D179" s="13" t="str">
        <f>HYPERLINK("https://www.marklines.com/en/global/3879","Chery Automobile Co., Ltd. ")</f>
        <v xml:space="preserve">Chery Automobile Co., Ltd. </v>
      </c>
      <c r="E179" s="12" t="s">
        <v>848</v>
      </c>
      <c r="F179" s="12" t="s">
        <v>20</v>
      </c>
      <c r="G179" s="12" t="s">
        <v>27</v>
      </c>
      <c r="H179" s="12" t="s">
        <v>303</v>
      </c>
      <c r="I179" s="14">
        <v>45274</v>
      </c>
      <c r="J179" s="12" t="s">
        <v>1583</v>
      </c>
    </row>
    <row r="180" spans="1:10" s="15" customFormat="1" x14ac:dyDescent="0.15">
      <c r="A180" s="11">
        <v>45275</v>
      </c>
      <c r="B180" s="12" t="s">
        <v>13</v>
      </c>
      <c r="C180" s="12" t="s">
        <v>13</v>
      </c>
      <c r="D180" s="13" t="str">
        <f>HYPERLINK("https://www.marklines.com/en/global/813","former Volvo Trucks Russia (ZAO Volvo Vostok), Kaluga Plant")</f>
        <v>former Volvo Trucks Russia (ZAO Volvo Vostok), Kaluga Plant</v>
      </c>
      <c r="E180" s="12" t="s">
        <v>1423</v>
      </c>
      <c r="F180" s="12" t="s">
        <v>18</v>
      </c>
      <c r="G180" s="12" t="s">
        <v>14</v>
      </c>
      <c r="H180" s="12"/>
      <c r="I180" s="14">
        <v>45274</v>
      </c>
      <c r="J180" s="12" t="s">
        <v>1584</v>
      </c>
    </row>
    <row r="181" spans="1:10" s="15" customFormat="1" x14ac:dyDescent="0.15">
      <c r="A181" s="11">
        <v>45275</v>
      </c>
      <c r="B181" s="12" t="s">
        <v>13</v>
      </c>
      <c r="C181" s="12" t="s">
        <v>592</v>
      </c>
      <c r="D181" s="13" t="str">
        <f>HYPERLINK("https://www.marklines.com/en/global/803","JSC UralAZ (Ural Avtomobilny Zavod), Chelyabinsk Plant")</f>
        <v>JSC UralAZ (Ural Avtomobilny Zavod), Chelyabinsk Plant</v>
      </c>
      <c r="E181" s="12" t="s">
        <v>593</v>
      </c>
      <c r="F181" s="12" t="s">
        <v>18</v>
      </c>
      <c r="G181" s="12" t="s">
        <v>14</v>
      </c>
      <c r="H181" s="12"/>
      <c r="I181" s="14">
        <v>45274</v>
      </c>
      <c r="J181" s="12" t="s">
        <v>1585</v>
      </c>
    </row>
    <row r="182" spans="1:10" s="15" customFormat="1" x14ac:dyDescent="0.15">
      <c r="A182" s="11">
        <v>45275</v>
      </c>
      <c r="B182" s="12" t="s">
        <v>111</v>
      </c>
      <c r="C182" s="12" t="s">
        <v>701</v>
      </c>
      <c r="D182" s="13" t="str">
        <f>HYPERLINK("https://www.marklines.com/en/global/2335","Jaguar Land Rover, Halewood Plant")</f>
        <v>Jaguar Land Rover, Halewood Plant</v>
      </c>
      <c r="E182" s="12" t="s">
        <v>1586</v>
      </c>
      <c r="F182" s="12" t="s">
        <v>17</v>
      </c>
      <c r="G182" s="12" t="s">
        <v>47</v>
      </c>
      <c r="H182" s="12"/>
      <c r="I182" s="14">
        <v>45273</v>
      </c>
      <c r="J182" s="12" t="s">
        <v>1587</v>
      </c>
    </row>
    <row r="183" spans="1:10" s="15" customFormat="1" x14ac:dyDescent="0.15">
      <c r="A183" s="11">
        <v>45275</v>
      </c>
      <c r="B183" s="12" t="s">
        <v>22</v>
      </c>
      <c r="C183" s="12" t="s">
        <v>673</v>
      </c>
      <c r="D183" s="13" t="str">
        <f>HYPERLINK("https://www.marklines.com/en/global/381","Toyota Motor, Tahara Plant")</f>
        <v>Toyota Motor, Tahara Plant</v>
      </c>
      <c r="E183" s="12" t="s">
        <v>125</v>
      </c>
      <c r="F183" s="12" t="s">
        <v>20</v>
      </c>
      <c r="G183" s="12" t="s">
        <v>23</v>
      </c>
      <c r="H183" s="12" t="s">
        <v>61</v>
      </c>
      <c r="I183" s="14">
        <v>45273</v>
      </c>
      <c r="J183" s="12" t="s">
        <v>1588</v>
      </c>
    </row>
    <row r="184" spans="1:10" s="15" customFormat="1" x14ac:dyDescent="0.15">
      <c r="A184" s="11">
        <v>45275</v>
      </c>
      <c r="B184" s="12" t="s">
        <v>400</v>
      </c>
      <c r="C184" s="12" t="s">
        <v>1589</v>
      </c>
      <c r="D184" s="13" t="str">
        <f>HYPERLINK("https://www.marklines.com/en/global/9815","Zhejiang LEVC Automobile Co., Ltd. (formerly Zhejiang Englon Automobile Co., Ltd.)")</f>
        <v>Zhejiang LEVC Automobile Co., Ltd. (formerly Zhejiang Englon Automobile Co., Ltd.)</v>
      </c>
      <c r="E184" s="12" t="s">
        <v>1590</v>
      </c>
      <c r="F184" s="12" t="s">
        <v>20</v>
      </c>
      <c r="G184" s="12" t="s">
        <v>27</v>
      </c>
      <c r="H184" s="12" t="s">
        <v>342</v>
      </c>
      <c r="I184" s="14">
        <v>45272</v>
      </c>
      <c r="J184" s="12" t="s">
        <v>1591</v>
      </c>
    </row>
    <row r="185" spans="1:10" s="15" customFormat="1" x14ac:dyDescent="0.15">
      <c r="A185" s="11">
        <v>45275</v>
      </c>
      <c r="B185" s="12" t="s">
        <v>254</v>
      </c>
      <c r="C185" s="12" t="s">
        <v>254</v>
      </c>
      <c r="D185" s="13" t="str">
        <f>HYPERLINK("https://www.marklines.com/en/global/10671","Tesla Gigafactory Mexico")</f>
        <v>Tesla Gigafactory Mexico</v>
      </c>
      <c r="E185" s="12" t="s">
        <v>450</v>
      </c>
      <c r="F185" s="12" t="s">
        <v>16</v>
      </c>
      <c r="G185" s="12" t="s">
        <v>91</v>
      </c>
      <c r="H185" s="12"/>
      <c r="I185" s="14">
        <v>45272</v>
      </c>
      <c r="J185" s="12" t="s">
        <v>1592</v>
      </c>
    </row>
    <row r="186" spans="1:10" s="15" customFormat="1" x14ac:dyDescent="0.15">
      <c r="A186" s="11">
        <v>45275</v>
      </c>
      <c r="B186" s="12" t="s">
        <v>12</v>
      </c>
      <c r="C186" s="12" t="s">
        <v>19</v>
      </c>
      <c r="D186" s="13" t="str">
        <f>HYPERLINK("https://www.marklines.com/en/global/2517","General Motors, Wentzville Assembly Plant")</f>
        <v>General Motors, Wentzville Assembly Plant</v>
      </c>
      <c r="E186" s="12" t="s">
        <v>1593</v>
      </c>
      <c r="F186" s="12" t="s">
        <v>16</v>
      </c>
      <c r="G186" s="12" t="s">
        <v>11</v>
      </c>
      <c r="H186" s="12" t="s">
        <v>1594</v>
      </c>
      <c r="I186" s="14">
        <v>45272</v>
      </c>
      <c r="J186" s="12" t="s">
        <v>1595</v>
      </c>
    </row>
    <row r="187" spans="1:10" s="15" customFormat="1" x14ac:dyDescent="0.15">
      <c r="A187" s="11">
        <v>45275</v>
      </c>
      <c r="B187" s="12" t="s">
        <v>12</v>
      </c>
      <c r="C187" s="12" t="s">
        <v>530</v>
      </c>
      <c r="D187" s="13" t="str">
        <f>HYPERLINK("https://www.marklines.com/en/global/2517","General Motors, Wentzville Assembly Plant")</f>
        <v>General Motors, Wentzville Assembly Plant</v>
      </c>
      <c r="E187" s="12" t="s">
        <v>1593</v>
      </c>
      <c r="F187" s="12" t="s">
        <v>16</v>
      </c>
      <c r="G187" s="12" t="s">
        <v>11</v>
      </c>
      <c r="H187" s="12" t="s">
        <v>1594</v>
      </c>
      <c r="I187" s="14">
        <v>45272</v>
      </c>
      <c r="J187" s="12" t="s">
        <v>1595</v>
      </c>
    </row>
    <row r="188" spans="1:10" s="15" customFormat="1" x14ac:dyDescent="0.15">
      <c r="A188" s="11">
        <v>45275</v>
      </c>
      <c r="B188" s="12" t="s">
        <v>31</v>
      </c>
      <c r="C188" s="12" t="s">
        <v>1120</v>
      </c>
      <c r="D188" s="13" t="str">
        <f>HYPERLINK("https://www.marklines.com/en/global/9604","Spotlight Automotive Limited")</f>
        <v>Spotlight Automotive Limited</v>
      </c>
      <c r="E188" s="12" t="s">
        <v>1596</v>
      </c>
      <c r="F188" s="12" t="s">
        <v>20</v>
      </c>
      <c r="G188" s="12" t="s">
        <v>27</v>
      </c>
      <c r="H188" s="12" t="s">
        <v>278</v>
      </c>
      <c r="I188" s="14">
        <v>45271</v>
      </c>
      <c r="J188" s="12" t="s">
        <v>1597</v>
      </c>
    </row>
    <row r="189" spans="1:10" s="15" customFormat="1" x14ac:dyDescent="0.15">
      <c r="A189" s="11">
        <v>45275</v>
      </c>
      <c r="B189" s="12" t="s">
        <v>495</v>
      </c>
      <c r="C189" s="12" t="s">
        <v>495</v>
      </c>
      <c r="D189" s="13" t="str">
        <f>HYPERLINK("https://www.marklines.com/en/global/3449","China Changan Automobile Group Co., Ltd. ")</f>
        <v xml:space="preserve">China Changan Automobile Group Co., Ltd. </v>
      </c>
      <c r="E189" s="12" t="s">
        <v>496</v>
      </c>
      <c r="F189" s="12" t="s">
        <v>20</v>
      </c>
      <c r="G189" s="12" t="s">
        <v>27</v>
      </c>
      <c r="H189" s="12" t="s">
        <v>456</v>
      </c>
      <c r="I189" s="14">
        <v>45268</v>
      </c>
      <c r="J189" s="12" t="s">
        <v>1598</v>
      </c>
    </row>
    <row r="190" spans="1:10" s="15" customFormat="1" x14ac:dyDescent="0.15">
      <c r="A190" s="11">
        <v>45275</v>
      </c>
      <c r="B190" s="12" t="s">
        <v>495</v>
      </c>
      <c r="C190" s="12" t="s">
        <v>620</v>
      </c>
      <c r="D190" s="13" t="str">
        <f>HYPERLINK("https://www.marklines.com/en/global/10637","Avatr Technology (Chongqing) Co., Ltd. ")</f>
        <v xml:space="preserve">Avatr Technology (Chongqing) Co., Ltd. </v>
      </c>
      <c r="E190" s="12" t="s">
        <v>1599</v>
      </c>
      <c r="F190" s="12" t="s">
        <v>20</v>
      </c>
      <c r="G190" s="12" t="s">
        <v>27</v>
      </c>
      <c r="H190" s="12" t="s">
        <v>29</v>
      </c>
      <c r="I190" s="14">
        <v>45268</v>
      </c>
      <c r="J190" s="12" t="s">
        <v>1598</v>
      </c>
    </row>
    <row r="191" spans="1:10" s="15" customFormat="1" x14ac:dyDescent="0.15">
      <c r="A191" s="11">
        <v>45275</v>
      </c>
      <c r="B191" s="12" t="s">
        <v>45</v>
      </c>
      <c r="C191" s="12" t="s">
        <v>45</v>
      </c>
      <c r="D191" s="13" t="str">
        <f>HYPERLINK("https://www.marklines.com/en/global/10780","Symbio SymphonHy")</f>
        <v>Symbio SymphonHy</v>
      </c>
      <c r="E191" s="12" t="s">
        <v>1600</v>
      </c>
      <c r="F191" s="12" t="s">
        <v>17</v>
      </c>
      <c r="G191" s="12" t="s">
        <v>32</v>
      </c>
      <c r="H191" s="12"/>
      <c r="I191" s="14">
        <v>45265</v>
      </c>
      <c r="J191" s="12" t="s">
        <v>1601</v>
      </c>
    </row>
    <row r="192" spans="1:10" s="15" customFormat="1" x14ac:dyDescent="0.15">
      <c r="A192" s="11">
        <v>45274</v>
      </c>
      <c r="B192" s="12" t="s">
        <v>1602</v>
      </c>
      <c r="C192" s="12" t="s">
        <v>1602</v>
      </c>
      <c r="D192" s="13" t="str">
        <f>HYPERLINK("https://www.marklines.com/en/global/1315","Ferrari N.V., Maranello Plant")</f>
        <v>Ferrari N.V., Maranello Plant</v>
      </c>
      <c r="E192" s="12" t="s">
        <v>1603</v>
      </c>
      <c r="F192" s="12" t="s">
        <v>17</v>
      </c>
      <c r="G192" s="12" t="s">
        <v>46</v>
      </c>
      <c r="H192" s="12"/>
      <c r="I192" s="14">
        <v>45273</v>
      </c>
      <c r="J192" s="12" t="s">
        <v>1604</v>
      </c>
    </row>
    <row r="193" spans="1:10" s="15" customFormat="1" x14ac:dyDescent="0.15">
      <c r="A193" s="11">
        <v>45274</v>
      </c>
      <c r="B193" s="12" t="s">
        <v>52</v>
      </c>
      <c r="C193" s="12" t="s">
        <v>53</v>
      </c>
      <c r="D193" s="13" t="str">
        <f>HYPERLINK("https://www.marklines.com/en/global/9285","Chechenavto OAO, Argun plant")</f>
        <v>Chechenavto OAO, Argun plant</v>
      </c>
      <c r="E193" s="12" t="s">
        <v>1605</v>
      </c>
      <c r="F193" s="12" t="s">
        <v>18</v>
      </c>
      <c r="G193" s="12" t="s">
        <v>14</v>
      </c>
      <c r="H193" s="12"/>
      <c r="I193" s="14">
        <v>45273</v>
      </c>
      <c r="J193" s="12" t="s">
        <v>1606</v>
      </c>
    </row>
    <row r="194" spans="1:10" s="15" customFormat="1" x14ac:dyDescent="0.15">
      <c r="A194" s="11">
        <v>45274</v>
      </c>
      <c r="B194" s="12" t="s">
        <v>52</v>
      </c>
      <c r="C194" s="12" t="s">
        <v>53</v>
      </c>
      <c r="D194" s="13" t="str">
        <f>HYPERLINK("https://www.marklines.com/en/global/675","AvtoVAZ, Togliatti Plant")</f>
        <v>AvtoVAZ, Togliatti Plant</v>
      </c>
      <c r="E194" s="12" t="s">
        <v>54</v>
      </c>
      <c r="F194" s="12" t="s">
        <v>18</v>
      </c>
      <c r="G194" s="12" t="s">
        <v>14</v>
      </c>
      <c r="H194" s="12"/>
      <c r="I194" s="14">
        <v>45273</v>
      </c>
      <c r="J194" s="12" t="s">
        <v>1606</v>
      </c>
    </row>
    <row r="195" spans="1:10" s="15" customFormat="1" x14ac:dyDescent="0.15">
      <c r="A195" s="11">
        <v>45274</v>
      </c>
      <c r="B195" s="12" t="s">
        <v>52</v>
      </c>
      <c r="C195" s="12" t="s">
        <v>53</v>
      </c>
      <c r="D195" s="13" t="str">
        <f>HYPERLINK("https://www.marklines.com/en/global/749","LLC Lada, St. Petersburg (former Nissan Manufacturing Rus OOO, Kamenka (St. Petersburg) Plant)")</f>
        <v>LLC Lada, St. Petersburg (former Nissan Manufacturing Rus OOO, Kamenka (St. Petersburg) Plant)</v>
      </c>
      <c r="E195" s="12" t="s">
        <v>1006</v>
      </c>
      <c r="F195" s="12" t="s">
        <v>18</v>
      </c>
      <c r="G195" s="12" t="s">
        <v>14</v>
      </c>
      <c r="H195" s="12"/>
      <c r="I195" s="14">
        <v>45273</v>
      </c>
      <c r="J195" s="12" t="s">
        <v>1606</v>
      </c>
    </row>
    <row r="196" spans="1:10" s="15" customFormat="1" x14ac:dyDescent="0.15">
      <c r="A196" s="11">
        <v>45274</v>
      </c>
      <c r="B196" s="12" t="s">
        <v>52</v>
      </c>
      <c r="C196" s="12" t="s">
        <v>53</v>
      </c>
      <c r="D196" s="13" t="str">
        <f>HYPERLINK("https://www.marklines.com/en/global/729","LLC ""LADA Izhevsk"", LADA Izhevsk Automotive Plant (formerly OJSC Izh-Avto, Izhevsk Automobilny Zavod) ")</f>
        <v xml:space="preserve">LLC "LADA Izhevsk", LADA Izhevsk Automotive Plant (formerly OJSC Izh-Avto, Izhevsk Automobilny Zavod) </v>
      </c>
      <c r="E196" s="12" t="s">
        <v>105</v>
      </c>
      <c r="F196" s="12" t="s">
        <v>18</v>
      </c>
      <c r="G196" s="12" t="s">
        <v>14</v>
      </c>
      <c r="H196" s="12"/>
      <c r="I196" s="14">
        <v>45273</v>
      </c>
      <c r="J196" s="12" t="s">
        <v>1606</v>
      </c>
    </row>
    <row r="197" spans="1:10" s="15" customFormat="1" x14ac:dyDescent="0.15">
      <c r="A197" s="11">
        <v>45274</v>
      </c>
      <c r="B197" s="12" t="s">
        <v>33</v>
      </c>
      <c r="C197" s="12" t="s">
        <v>1607</v>
      </c>
      <c r="D197" s="13" t="str">
        <f>HYPERLINK("https://www.marklines.com/en/global/2881","Volkswagen Truck &amp; Bus (VWTB) / Volkswagen Caminhões e Ônibus (VWCO), Resende Plant (formerly MAN Latin America Indústira e Comércio de Veículos, Ltda.)")</f>
        <v>Volkswagen Truck &amp; Bus (VWTB) / Volkswagen Caminhões e Ônibus (VWCO), Resende Plant (formerly MAN Latin America Indústira e Comércio de Veículos, Ltda.)</v>
      </c>
      <c r="E197" s="12" t="s">
        <v>1608</v>
      </c>
      <c r="F197" s="12" t="s">
        <v>425</v>
      </c>
      <c r="G197" s="12" t="s">
        <v>426</v>
      </c>
      <c r="H197" s="12"/>
      <c r="I197" s="14">
        <v>45273</v>
      </c>
      <c r="J197" s="12" t="s">
        <v>1609</v>
      </c>
    </row>
    <row r="198" spans="1:10" s="15" customFormat="1" x14ac:dyDescent="0.15">
      <c r="A198" s="11">
        <v>45274</v>
      </c>
      <c r="B198" s="12" t="s">
        <v>33</v>
      </c>
      <c r="C198" s="12" t="s">
        <v>332</v>
      </c>
      <c r="D198" s="13" t="str">
        <f>HYPERLINK("https://www.marklines.com/en/global/10680","Gotion Germany Battery GmbH, Göttingen Plant")</f>
        <v>Gotion Germany Battery GmbH, Göttingen Plant</v>
      </c>
      <c r="E198" s="12" t="s">
        <v>1610</v>
      </c>
      <c r="F198" s="12" t="s">
        <v>17</v>
      </c>
      <c r="G198" s="12" t="s">
        <v>21</v>
      </c>
      <c r="H198" s="12"/>
      <c r="I198" s="14">
        <v>45272</v>
      </c>
      <c r="J198" s="12" t="s">
        <v>1611</v>
      </c>
    </row>
    <row r="199" spans="1:10" s="15" customFormat="1" x14ac:dyDescent="0.15">
      <c r="A199" s="11">
        <v>45274</v>
      </c>
      <c r="B199" s="12" t="s">
        <v>551</v>
      </c>
      <c r="C199" s="12" t="s">
        <v>551</v>
      </c>
      <c r="D199" s="13" t="str">
        <f>HYPERLINK("https://www.marklines.com/en/global/3977","Dongfeng Passenger Vehicle Company")</f>
        <v>Dongfeng Passenger Vehicle Company</v>
      </c>
      <c r="E199" s="12" t="s">
        <v>780</v>
      </c>
      <c r="F199" s="12" t="s">
        <v>20</v>
      </c>
      <c r="G199" s="12" t="s">
        <v>27</v>
      </c>
      <c r="H199" s="12" t="s">
        <v>554</v>
      </c>
      <c r="I199" s="14">
        <v>45271</v>
      </c>
      <c r="J199" s="12" t="s">
        <v>1612</v>
      </c>
    </row>
    <row r="200" spans="1:10" s="15" customFormat="1" x14ac:dyDescent="0.15">
      <c r="A200" s="11">
        <v>45274</v>
      </c>
      <c r="B200" s="12" t="s">
        <v>12</v>
      </c>
      <c r="C200" s="12" t="s">
        <v>19</v>
      </c>
      <c r="D200" s="13" t="str">
        <f>HYPERLINK("https://www.marklines.com/en/global/2509","General Motors, Fort Wayne Plant")</f>
        <v>General Motors, Fort Wayne Plant</v>
      </c>
      <c r="E200" s="12" t="s">
        <v>1613</v>
      </c>
      <c r="F200" s="12" t="s">
        <v>16</v>
      </c>
      <c r="G200" s="12" t="s">
        <v>11</v>
      </c>
      <c r="H200" s="12" t="s">
        <v>296</v>
      </c>
      <c r="I200" s="14">
        <v>45271</v>
      </c>
      <c r="J200" s="12" t="s">
        <v>1614</v>
      </c>
    </row>
    <row r="201" spans="1:10" s="15" customFormat="1" x14ac:dyDescent="0.15">
      <c r="A201" s="11">
        <v>45274</v>
      </c>
      <c r="B201" s="12" t="s">
        <v>12</v>
      </c>
      <c r="C201" s="12" t="s">
        <v>19</v>
      </c>
      <c r="D201" s="13" t="str">
        <f>HYPERLINK("https://www.marklines.com/en/global/2543","General Motors Canada, Oshawa Car Assembly Plant")</f>
        <v>General Motors Canada, Oshawa Car Assembly Plant</v>
      </c>
      <c r="E201" s="12" t="s">
        <v>588</v>
      </c>
      <c r="F201" s="12" t="s">
        <v>16</v>
      </c>
      <c r="G201" s="12" t="s">
        <v>446</v>
      </c>
      <c r="H201" s="12"/>
      <c r="I201" s="14">
        <v>45271</v>
      </c>
      <c r="J201" s="12" t="s">
        <v>1614</v>
      </c>
    </row>
    <row r="202" spans="1:10" s="15" customFormat="1" x14ac:dyDescent="0.15">
      <c r="A202" s="11">
        <v>45274</v>
      </c>
      <c r="B202" s="12" t="s">
        <v>15</v>
      </c>
      <c r="C202" s="12" t="s">
        <v>15</v>
      </c>
      <c r="D202" s="13" t="str">
        <f>HYPERLINK("https://www.marklines.com/en/global/3117","Honda Manufacturing of Indiana, LLC (HMIN), Greensburg Plant")</f>
        <v>Honda Manufacturing of Indiana, LLC (HMIN), Greensburg Plant</v>
      </c>
      <c r="E202" s="12" t="s">
        <v>448</v>
      </c>
      <c r="F202" s="12" t="s">
        <v>16</v>
      </c>
      <c r="G202" s="12" t="s">
        <v>11</v>
      </c>
      <c r="H202" s="12" t="s">
        <v>296</v>
      </c>
      <c r="I202" s="14">
        <v>45271</v>
      </c>
      <c r="J202" s="12" t="s">
        <v>1615</v>
      </c>
    </row>
    <row r="203" spans="1:10" s="15" customFormat="1" x14ac:dyDescent="0.15">
      <c r="A203" s="11">
        <v>45274</v>
      </c>
      <c r="B203" s="12" t="s">
        <v>33</v>
      </c>
      <c r="C203" s="12" t="s">
        <v>44</v>
      </c>
      <c r="D203" s="13" t="str">
        <f>HYPERLINK("https://www.marklines.com/en/global/3309","Volkswagen Group of America Chattanooga Operations, LLC, Chattanooga Plant")</f>
        <v>Volkswagen Group of America Chattanooga Operations, LLC, Chattanooga Plant</v>
      </c>
      <c r="E203" s="12" t="s">
        <v>1246</v>
      </c>
      <c r="F203" s="12" t="s">
        <v>16</v>
      </c>
      <c r="G203" s="12" t="s">
        <v>11</v>
      </c>
      <c r="H203" s="12" t="s">
        <v>490</v>
      </c>
      <c r="I203" s="14">
        <v>45271</v>
      </c>
      <c r="J203" s="12" t="s">
        <v>1615</v>
      </c>
    </row>
    <row r="204" spans="1:10" s="15" customFormat="1" x14ac:dyDescent="0.15">
      <c r="A204" s="11">
        <v>45274</v>
      </c>
      <c r="B204" s="12" t="s">
        <v>43</v>
      </c>
      <c r="C204" s="12" t="s">
        <v>43</v>
      </c>
      <c r="D204" s="13" t="str">
        <f>HYPERLINK("https://www.marklines.com/en/global/3141","Hyundai Motor Manufacturing Alabama, LLC, Montgomery Plant")</f>
        <v>Hyundai Motor Manufacturing Alabama, LLC, Montgomery Plant</v>
      </c>
      <c r="E204" s="12" t="s">
        <v>1080</v>
      </c>
      <c r="F204" s="12" t="s">
        <v>16</v>
      </c>
      <c r="G204" s="12" t="s">
        <v>11</v>
      </c>
      <c r="H204" s="12" t="s">
        <v>260</v>
      </c>
      <c r="I204" s="14">
        <v>45271</v>
      </c>
      <c r="J204" s="12" t="s">
        <v>1615</v>
      </c>
    </row>
    <row r="205" spans="1:10" s="15" customFormat="1" x14ac:dyDescent="0.15">
      <c r="A205" s="11">
        <v>45274</v>
      </c>
      <c r="B205" s="12" t="s">
        <v>254</v>
      </c>
      <c r="C205" s="12" t="s">
        <v>254</v>
      </c>
      <c r="D205" s="13" t="str">
        <f>HYPERLINK("https://www.marklines.com/en/global/10671","Tesla Gigafactory Mexico")</f>
        <v>Tesla Gigafactory Mexico</v>
      </c>
      <c r="E205" s="12" t="s">
        <v>450</v>
      </c>
      <c r="F205" s="12" t="s">
        <v>16</v>
      </c>
      <c r="G205" s="12" t="s">
        <v>91</v>
      </c>
      <c r="H205" s="12"/>
      <c r="I205" s="14">
        <v>45268</v>
      </c>
      <c r="J205" s="12" t="s">
        <v>1616</v>
      </c>
    </row>
    <row r="206" spans="1:10" s="15" customFormat="1" x14ac:dyDescent="0.15">
      <c r="A206" s="11">
        <v>45273</v>
      </c>
      <c r="B206" s="12" t="s">
        <v>43</v>
      </c>
      <c r="C206" s="12" t="s">
        <v>43</v>
      </c>
      <c r="D206" s="13" t="str">
        <f>HYPERLINK("https://www.marklines.com/en/global/9989","Hyundai Motor Europe Technical Center GmbH (HMETC) (Rüsselsheim)")</f>
        <v>Hyundai Motor Europe Technical Center GmbH (HMETC) (Rüsselsheim)</v>
      </c>
      <c r="E206" s="12" t="s">
        <v>1617</v>
      </c>
      <c r="F206" s="12" t="s">
        <v>17</v>
      </c>
      <c r="G206" s="12" t="s">
        <v>21</v>
      </c>
      <c r="H206" s="12"/>
      <c r="I206" s="14">
        <v>45273</v>
      </c>
      <c r="J206" s="12" t="s">
        <v>1618</v>
      </c>
    </row>
    <row r="207" spans="1:10" s="15" customFormat="1" x14ac:dyDescent="0.15">
      <c r="A207" s="11">
        <v>45273</v>
      </c>
      <c r="B207" s="12" t="s">
        <v>33</v>
      </c>
      <c r="C207" s="12" t="s">
        <v>63</v>
      </c>
      <c r="D207" s="13" t="str">
        <f>HYPERLINK("https://www.marklines.com/en/global/2201","Audi AG, Audi Sport GmbH, Neckarsulm Plant")</f>
        <v>Audi AG, Audi Sport GmbH, Neckarsulm Plant</v>
      </c>
      <c r="E207" s="12" t="s">
        <v>1619</v>
      </c>
      <c r="F207" s="12" t="s">
        <v>17</v>
      </c>
      <c r="G207" s="12" t="s">
        <v>21</v>
      </c>
      <c r="H207" s="12"/>
      <c r="I207" s="14">
        <v>45272</v>
      </c>
      <c r="J207" s="12" t="s">
        <v>1620</v>
      </c>
    </row>
    <row r="208" spans="1:10" s="15" customFormat="1" x14ac:dyDescent="0.15">
      <c r="A208" s="11">
        <v>45273</v>
      </c>
      <c r="B208" s="12" t="s">
        <v>45</v>
      </c>
      <c r="C208" s="12" t="s">
        <v>49</v>
      </c>
      <c r="D208" s="13" t="str">
        <f>HYPERLINK("https://www.marklines.com/en/global/9883","Stellantis, Peugeot Citroen Production Algeria (PCPA), Tafraoui Plant")</f>
        <v>Stellantis, Peugeot Citroen Production Algeria (PCPA), Tafraoui Plant</v>
      </c>
      <c r="E208" s="12" t="s">
        <v>1621</v>
      </c>
      <c r="F208" s="12"/>
      <c r="G208" s="12" t="s">
        <v>1622</v>
      </c>
      <c r="H208" s="12"/>
      <c r="I208" s="14">
        <v>45272</v>
      </c>
      <c r="J208" s="12" t="s">
        <v>1623</v>
      </c>
    </row>
    <row r="209" spans="1:10" s="15" customFormat="1" x14ac:dyDescent="0.15">
      <c r="A209" s="11">
        <v>45273</v>
      </c>
      <c r="B209" s="12" t="s">
        <v>33</v>
      </c>
      <c r="C209" s="12" t="s">
        <v>1624</v>
      </c>
      <c r="D209" s="13" t="str">
        <f>HYPERLINK("https://www.marklines.com/en/global/10676","Scout Motors Inc., Blythewood Plant")</f>
        <v>Scout Motors Inc., Blythewood Plant</v>
      </c>
      <c r="E209" s="12" t="s">
        <v>1625</v>
      </c>
      <c r="F209" s="12" t="s">
        <v>16</v>
      </c>
      <c r="G209" s="12" t="s">
        <v>11</v>
      </c>
      <c r="H209" s="12" t="s">
        <v>306</v>
      </c>
      <c r="I209" s="14">
        <v>45272</v>
      </c>
      <c r="J209" s="12" t="s">
        <v>1626</v>
      </c>
    </row>
    <row r="210" spans="1:10" s="15" customFormat="1" x14ac:dyDescent="0.15">
      <c r="A210" s="11">
        <v>45273</v>
      </c>
      <c r="B210" s="12" t="s">
        <v>33</v>
      </c>
      <c r="C210" s="12" t="s">
        <v>44</v>
      </c>
      <c r="D210" s="13" t="str">
        <f>HYPERLINK("https://www.marklines.com/en/global/10675","PowerCo Canada Inc. St. Thomas Battery Plant")</f>
        <v>PowerCo Canada Inc. St. Thomas Battery Plant</v>
      </c>
      <c r="E210" s="12" t="s">
        <v>1627</v>
      </c>
      <c r="F210" s="12" t="s">
        <v>16</v>
      </c>
      <c r="G210" s="12" t="s">
        <v>446</v>
      </c>
      <c r="H210" s="12"/>
      <c r="I210" s="14">
        <v>45272</v>
      </c>
      <c r="J210" s="12" t="s">
        <v>1628</v>
      </c>
    </row>
    <row r="211" spans="1:10" s="15" customFormat="1" x14ac:dyDescent="0.15">
      <c r="A211" s="11">
        <v>45273</v>
      </c>
      <c r="B211" s="12" t="s">
        <v>33</v>
      </c>
      <c r="C211" s="12" t="s">
        <v>44</v>
      </c>
      <c r="D211" s="13" t="str">
        <f>HYPERLINK("https://www.marklines.com/en/global/1711","Volkswagen Poznań Sp. z o.o., Poznań (Antoninek) Plant")</f>
        <v>Volkswagen Poznań Sp. z o.o., Poznań (Antoninek) Plant</v>
      </c>
      <c r="E211" s="12" t="s">
        <v>1417</v>
      </c>
      <c r="F211" s="12" t="s">
        <v>18</v>
      </c>
      <c r="G211" s="12" t="s">
        <v>30</v>
      </c>
      <c r="H211" s="12"/>
      <c r="I211" s="14">
        <v>45271</v>
      </c>
      <c r="J211" s="12" t="s">
        <v>1629</v>
      </c>
    </row>
    <row r="212" spans="1:10" s="15" customFormat="1" x14ac:dyDescent="0.15">
      <c r="A212" s="11">
        <v>45273</v>
      </c>
      <c r="B212" s="12" t="s">
        <v>24</v>
      </c>
      <c r="C212" s="12" t="s">
        <v>24</v>
      </c>
      <c r="D212" s="13" t="str">
        <f>HYPERLINK("https://www.marklines.com/en/global/857","Ford Motor Mexico, Cuautitlan Stamping and Assembly Plant")</f>
        <v>Ford Motor Mexico, Cuautitlan Stamping and Assembly Plant</v>
      </c>
      <c r="E212" s="12" t="s">
        <v>1630</v>
      </c>
      <c r="F212" s="12" t="s">
        <v>16</v>
      </c>
      <c r="G212" s="12" t="s">
        <v>91</v>
      </c>
      <c r="H212" s="12"/>
      <c r="I212" s="14">
        <v>45271</v>
      </c>
      <c r="J212" s="12" t="s">
        <v>1631</v>
      </c>
    </row>
    <row r="213" spans="1:10" s="15" customFormat="1" x14ac:dyDescent="0.15">
      <c r="A213" s="11">
        <v>45273</v>
      </c>
      <c r="B213" s="12" t="s">
        <v>24</v>
      </c>
      <c r="C213" s="12" t="s">
        <v>24</v>
      </c>
      <c r="D213" s="13" t="str">
        <f>HYPERLINK("https://www.marklines.com/en/global/10376","Ford Motor, Rouge Electric Vehicle Center")</f>
        <v>Ford Motor, Rouge Electric Vehicle Center</v>
      </c>
      <c r="E213" s="12" t="s">
        <v>589</v>
      </c>
      <c r="F213" s="12" t="s">
        <v>16</v>
      </c>
      <c r="G213" s="12" t="s">
        <v>11</v>
      </c>
      <c r="H213" s="12" t="s">
        <v>40</v>
      </c>
      <c r="I213" s="14">
        <v>45271</v>
      </c>
      <c r="J213" s="12" t="s">
        <v>1631</v>
      </c>
    </row>
    <row r="214" spans="1:10" s="15" customFormat="1" x14ac:dyDescent="0.15">
      <c r="A214" s="11">
        <v>45273</v>
      </c>
      <c r="B214" s="12" t="s">
        <v>24</v>
      </c>
      <c r="C214" s="12" t="s">
        <v>24</v>
      </c>
      <c r="D214" s="13" t="str">
        <f>HYPERLINK("https://www.marklines.com/en/global/10431","Ford, BlueOval City/ BlueOval SK battery plant")</f>
        <v>Ford, BlueOval City/ BlueOval SK battery plant</v>
      </c>
      <c r="E214" s="12" t="s">
        <v>579</v>
      </c>
      <c r="F214" s="12" t="s">
        <v>16</v>
      </c>
      <c r="G214" s="12" t="s">
        <v>11</v>
      </c>
      <c r="H214" s="12" t="s">
        <v>490</v>
      </c>
      <c r="I214" s="14">
        <v>45271</v>
      </c>
      <c r="J214" s="12" t="s">
        <v>1631</v>
      </c>
    </row>
    <row r="215" spans="1:10" s="15" customFormat="1" x14ac:dyDescent="0.15">
      <c r="A215" s="11">
        <v>45273</v>
      </c>
      <c r="B215" s="12" t="s">
        <v>41</v>
      </c>
      <c r="C215" s="12" t="s">
        <v>1632</v>
      </c>
      <c r="D215" s="13" t="str">
        <f>HYPERLINK("https://www.marklines.com/en/global/10336","smart Automobile Co., Ltd.")</f>
        <v>smart Automobile Co., Ltd.</v>
      </c>
      <c r="E215" s="12" t="s">
        <v>1633</v>
      </c>
      <c r="F215" s="12" t="s">
        <v>20</v>
      </c>
      <c r="G215" s="12" t="s">
        <v>27</v>
      </c>
      <c r="H215" s="12" t="s">
        <v>342</v>
      </c>
      <c r="I215" s="14">
        <v>45268</v>
      </c>
      <c r="J215" s="12" t="s">
        <v>1634</v>
      </c>
    </row>
    <row r="216" spans="1:10" s="15" customFormat="1" x14ac:dyDescent="0.15">
      <c r="A216" s="11">
        <v>45273</v>
      </c>
      <c r="B216" s="12" t="s">
        <v>41</v>
      </c>
      <c r="C216" s="12" t="s">
        <v>1632</v>
      </c>
      <c r="D216" s="13" t="str">
        <f>HYPERLINK("https://www.marklines.com/en/global/9568","Xi'an Geely Automobile Co., Ltd.")</f>
        <v>Xi'an Geely Automobile Co., Ltd.</v>
      </c>
      <c r="E216" s="12" t="s">
        <v>1482</v>
      </c>
      <c r="F216" s="12" t="s">
        <v>20</v>
      </c>
      <c r="G216" s="12" t="s">
        <v>27</v>
      </c>
      <c r="H216" s="12" t="s">
        <v>320</v>
      </c>
      <c r="I216" s="14">
        <v>45268</v>
      </c>
      <c r="J216" s="12" t="s">
        <v>1634</v>
      </c>
    </row>
    <row r="217" spans="1:10" s="15" customFormat="1" x14ac:dyDescent="0.15">
      <c r="A217" s="11">
        <v>45273</v>
      </c>
      <c r="B217" s="12" t="s">
        <v>321</v>
      </c>
      <c r="C217" s="12" t="s">
        <v>321</v>
      </c>
      <c r="D217" s="13" t="str">
        <f>HYPERLINK("https://www.marklines.com/en/global/3415","Beijing Automotive Group Co., Ltd.")</f>
        <v>Beijing Automotive Group Co., Ltd.</v>
      </c>
      <c r="E217" s="12" t="s">
        <v>795</v>
      </c>
      <c r="F217" s="12" t="s">
        <v>20</v>
      </c>
      <c r="G217" s="12" t="s">
        <v>27</v>
      </c>
      <c r="H217" s="12" t="s">
        <v>456</v>
      </c>
      <c r="I217" s="14">
        <v>45268</v>
      </c>
      <c r="J217" s="12" t="s">
        <v>1635</v>
      </c>
    </row>
    <row r="218" spans="1:10" s="15" customFormat="1" x14ac:dyDescent="0.15">
      <c r="A218" s="11">
        <v>45273</v>
      </c>
      <c r="B218" s="12" t="s">
        <v>276</v>
      </c>
      <c r="C218" s="12" t="s">
        <v>276</v>
      </c>
      <c r="D218" s="13" t="str">
        <f>HYPERLINK("https://www.marklines.com/en/global/9503","Shanghai NIO Automobile Co., Ltd.")</f>
        <v>Shanghai NIO Automobile Co., Ltd.</v>
      </c>
      <c r="E218" s="12" t="s">
        <v>646</v>
      </c>
      <c r="F218" s="12" t="s">
        <v>20</v>
      </c>
      <c r="G218" s="12" t="s">
        <v>27</v>
      </c>
      <c r="H218" s="12" t="s">
        <v>314</v>
      </c>
      <c r="I218" s="14">
        <v>45268</v>
      </c>
      <c r="J218" s="12" t="s">
        <v>1636</v>
      </c>
    </row>
    <row r="219" spans="1:10" s="15" customFormat="1" x14ac:dyDescent="0.15">
      <c r="A219" s="11">
        <v>45273</v>
      </c>
      <c r="B219" s="12" t="s">
        <v>12</v>
      </c>
      <c r="C219" s="12" t="s">
        <v>12</v>
      </c>
      <c r="D219" s="13" t="str">
        <f>HYPERLINK("https://www.marklines.com/en/global/10564","Ultium Cells LLC, Lansing Plant")</f>
        <v>Ultium Cells LLC, Lansing Plant</v>
      </c>
      <c r="E219" s="12" t="s">
        <v>786</v>
      </c>
      <c r="F219" s="12" t="s">
        <v>16</v>
      </c>
      <c r="G219" s="12" t="s">
        <v>11</v>
      </c>
      <c r="H219" s="12" t="s">
        <v>40</v>
      </c>
      <c r="I219" s="14">
        <v>45268</v>
      </c>
      <c r="J219" s="12" t="s">
        <v>1637</v>
      </c>
    </row>
    <row r="220" spans="1:10" s="15" customFormat="1" x14ac:dyDescent="0.15">
      <c r="A220" s="11">
        <v>45273</v>
      </c>
      <c r="B220" s="12" t="s">
        <v>12</v>
      </c>
      <c r="C220" s="12" t="s">
        <v>12</v>
      </c>
      <c r="D220" s="13" t="str">
        <f>HYPERLINK("https://www.marklines.com/en/global/9976","Ultium Cells LLC, Warren Plant ")</f>
        <v xml:space="preserve">Ultium Cells LLC, Warren Plant </v>
      </c>
      <c r="E220" s="12" t="s">
        <v>625</v>
      </c>
      <c r="F220" s="12" t="s">
        <v>16</v>
      </c>
      <c r="G220" s="12" t="s">
        <v>11</v>
      </c>
      <c r="H220" s="12" t="s">
        <v>101</v>
      </c>
      <c r="I220" s="14">
        <v>45268</v>
      </c>
      <c r="J220" s="12" t="s">
        <v>1637</v>
      </c>
    </row>
    <row r="221" spans="1:10" s="15" customFormat="1" x14ac:dyDescent="0.15">
      <c r="A221" s="11">
        <v>45273</v>
      </c>
      <c r="B221" s="12" t="s">
        <v>12</v>
      </c>
      <c r="C221" s="12" t="s">
        <v>12</v>
      </c>
      <c r="D221" s="13" t="str">
        <f>HYPERLINK("https://www.marklines.com/en/global/10475","Ultium Cells LLC, Spring Hill Plant ")</f>
        <v xml:space="preserve">Ultium Cells LLC, Spring Hill Plant </v>
      </c>
      <c r="E221" s="12" t="s">
        <v>687</v>
      </c>
      <c r="F221" s="12" t="s">
        <v>16</v>
      </c>
      <c r="G221" s="12" t="s">
        <v>11</v>
      </c>
      <c r="H221" s="12" t="s">
        <v>490</v>
      </c>
      <c r="I221" s="14">
        <v>45268</v>
      </c>
      <c r="J221" s="12" t="s">
        <v>1637</v>
      </c>
    </row>
    <row r="222" spans="1:10" s="15" customFormat="1" x14ac:dyDescent="0.15">
      <c r="A222" s="11">
        <v>45272</v>
      </c>
      <c r="B222" s="12" t="s">
        <v>83</v>
      </c>
      <c r="C222" s="12" t="s">
        <v>1215</v>
      </c>
      <c r="D222" s="13" t="str">
        <f>HYPERLINK("https://www.marklines.com/en/global/109","Renault Trucks, Bourg en Bresse Plant")</f>
        <v>Renault Trucks, Bourg en Bresse Plant</v>
      </c>
      <c r="E222" s="12" t="s">
        <v>1216</v>
      </c>
      <c r="F222" s="12" t="s">
        <v>17</v>
      </c>
      <c r="G222" s="12" t="s">
        <v>32</v>
      </c>
      <c r="H222" s="12"/>
      <c r="I222" s="14">
        <v>45272</v>
      </c>
      <c r="J222" s="12" t="s">
        <v>1638</v>
      </c>
    </row>
    <row r="223" spans="1:10" s="15" customFormat="1" x14ac:dyDescent="0.15">
      <c r="A223" s="11">
        <v>45272</v>
      </c>
      <c r="B223" s="12" t="s">
        <v>45</v>
      </c>
      <c r="C223" s="12" t="s">
        <v>120</v>
      </c>
      <c r="D223" s="13" t="str">
        <f>HYPERLINK("https://www.marklines.com/en/global/2251","Stellantis, Opel Automobile GmbH, Rüsselsheim Plant (Former Adam Opel AG, Russelsheim Plant)")</f>
        <v>Stellantis, Opel Automobile GmbH, Rüsselsheim Plant (Former Adam Opel AG, Russelsheim Plant)</v>
      </c>
      <c r="E223" s="12" t="s">
        <v>1239</v>
      </c>
      <c r="F223" s="12" t="s">
        <v>17</v>
      </c>
      <c r="G223" s="12" t="s">
        <v>21</v>
      </c>
      <c r="H223" s="12"/>
      <c r="I223" s="14">
        <v>45271</v>
      </c>
      <c r="J223" s="12" t="s">
        <v>1639</v>
      </c>
    </row>
    <row r="224" spans="1:10" s="15" customFormat="1" x14ac:dyDescent="0.15">
      <c r="A224" s="11">
        <v>45272</v>
      </c>
      <c r="B224" s="12" t="s">
        <v>56</v>
      </c>
      <c r="C224" s="12" t="s">
        <v>56</v>
      </c>
      <c r="D224" s="13" t="str">
        <f>HYPERLINK("https://www.marklines.com/en/global/10626","AESC France S.A.S., Douai Plant (formerly Envision AESC France S.A.S.)")</f>
        <v>AESC France S.A.S., Douai Plant (formerly Envision AESC France S.A.S.)</v>
      </c>
      <c r="E224" s="12" t="s">
        <v>246</v>
      </c>
      <c r="F224" s="12" t="s">
        <v>17</v>
      </c>
      <c r="G224" s="12" t="s">
        <v>32</v>
      </c>
      <c r="H224" s="12"/>
      <c r="I224" s="14">
        <v>45271</v>
      </c>
      <c r="J224" s="12" t="s">
        <v>1640</v>
      </c>
    </row>
    <row r="225" spans="1:10" s="15" customFormat="1" x14ac:dyDescent="0.15">
      <c r="A225" s="11">
        <v>45272</v>
      </c>
      <c r="B225" s="12" t="s">
        <v>400</v>
      </c>
      <c r="C225" s="12" t="s">
        <v>441</v>
      </c>
      <c r="D225" s="13" t="str">
        <f>HYPERLINK("https://www.marklines.com/en/global/9522","Geely Auto Zhangjiakou Branch")</f>
        <v>Geely Auto Zhangjiakou Branch</v>
      </c>
      <c r="E225" s="12" t="s">
        <v>1127</v>
      </c>
      <c r="F225" s="12" t="s">
        <v>20</v>
      </c>
      <c r="G225" s="12" t="s">
        <v>27</v>
      </c>
      <c r="H225" s="12" t="s">
        <v>267</v>
      </c>
      <c r="I225" s="14">
        <v>45271</v>
      </c>
      <c r="J225" s="12" t="s">
        <v>1641</v>
      </c>
    </row>
    <row r="226" spans="1:10" s="15" customFormat="1" x14ac:dyDescent="0.15">
      <c r="A226" s="11">
        <v>45272</v>
      </c>
      <c r="B226" s="12" t="s">
        <v>12</v>
      </c>
      <c r="C226" s="12" t="s">
        <v>19</v>
      </c>
      <c r="D226" s="13" t="str">
        <f>HYPERLINK("https://www.marklines.com/en/global/2521","General Motors, Bowling Green Plant")</f>
        <v>General Motors, Bowling Green Plant</v>
      </c>
      <c r="E226" s="12" t="s">
        <v>452</v>
      </c>
      <c r="F226" s="12" t="s">
        <v>16</v>
      </c>
      <c r="G226" s="12" t="s">
        <v>11</v>
      </c>
      <c r="H226" s="12" t="s">
        <v>90</v>
      </c>
      <c r="I226" s="14">
        <v>45271</v>
      </c>
      <c r="J226" s="12" t="s">
        <v>1642</v>
      </c>
    </row>
    <row r="227" spans="1:10" s="15" customFormat="1" x14ac:dyDescent="0.15">
      <c r="A227" s="11">
        <v>45272</v>
      </c>
      <c r="B227" s="12" t="s">
        <v>65</v>
      </c>
      <c r="C227" s="12" t="s">
        <v>348</v>
      </c>
      <c r="D227" s="13" t="str">
        <f>HYPERLINK("https://www.marklines.com/en/global/2671","Stellantis, FCA Canada, Brampton Assembly Plant and Brampton Satellite Stamping Plant")</f>
        <v>Stellantis, FCA Canada, Brampton Assembly Plant and Brampton Satellite Stamping Plant</v>
      </c>
      <c r="E227" s="12" t="s">
        <v>476</v>
      </c>
      <c r="F227" s="12" t="s">
        <v>16</v>
      </c>
      <c r="G227" s="12" t="s">
        <v>446</v>
      </c>
      <c r="H227" s="12"/>
      <c r="I227" s="14">
        <v>45269</v>
      </c>
      <c r="J227" s="12" t="s">
        <v>1643</v>
      </c>
    </row>
    <row r="228" spans="1:10" s="15" customFormat="1" x14ac:dyDescent="0.15">
      <c r="A228" s="11">
        <v>45272</v>
      </c>
      <c r="B228" s="12" t="s">
        <v>33</v>
      </c>
      <c r="C228" s="12" t="s">
        <v>131</v>
      </c>
      <c r="D228" s="13" t="str">
        <f>HYPERLINK("https://www.marklines.com/en/global/10697","Haru Oni eFuel Plant, Punta Arenas")</f>
        <v>Haru Oni eFuel Plant, Punta Arenas</v>
      </c>
      <c r="E228" s="12" t="s">
        <v>1644</v>
      </c>
      <c r="F228" s="12" t="s">
        <v>425</v>
      </c>
      <c r="G228" s="12" t="s">
        <v>1645</v>
      </c>
      <c r="H228" s="12"/>
      <c r="I228" s="14">
        <v>45268</v>
      </c>
      <c r="J228" s="12" t="s">
        <v>1646</v>
      </c>
    </row>
    <row r="229" spans="1:10" s="15" customFormat="1" x14ac:dyDescent="0.15">
      <c r="A229" s="11">
        <v>45272</v>
      </c>
      <c r="B229" s="12" t="s">
        <v>33</v>
      </c>
      <c r="C229" s="12" t="s">
        <v>131</v>
      </c>
      <c r="D229" s="13" t="str">
        <f>HYPERLINK("https://www.marklines.com/en/global/2187","Dr. Ing. h.c. F. Porsche AG")</f>
        <v>Dr. Ing. h.c. F. Porsche AG</v>
      </c>
      <c r="E229" s="12" t="s">
        <v>908</v>
      </c>
      <c r="F229" s="12" t="s">
        <v>17</v>
      </c>
      <c r="G229" s="12" t="s">
        <v>21</v>
      </c>
      <c r="H229" s="12"/>
      <c r="I229" s="14">
        <v>45268</v>
      </c>
      <c r="J229" s="12" t="s">
        <v>1646</v>
      </c>
    </row>
    <row r="230" spans="1:10" s="15" customFormat="1" x14ac:dyDescent="0.15">
      <c r="A230" s="11">
        <v>45272</v>
      </c>
      <c r="B230" s="12" t="s">
        <v>31</v>
      </c>
      <c r="C230" s="12" t="s">
        <v>31</v>
      </c>
      <c r="D230" s="13" t="str">
        <f>HYPERLINK("https://www.marklines.com/en/global/10216","BMW Group Technology Office Mountain View")</f>
        <v>BMW Group Technology Office Mountain View</v>
      </c>
      <c r="E230" s="12" t="s">
        <v>1647</v>
      </c>
      <c r="F230" s="12" t="s">
        <v>16</v>
      </c>
      <c r="G230" s="12" t="s">
        <v>11</v>
      </c>
      <c r="H230" s="12" t="s">
        <v>248</v>
      </c>
      <c r="I230" s="14">
        <v>45268</v>
      </c>
      <c r="J230" s="12" t="s">
        <v>1648</v>
      </c>
    </row>
    <row r="231" spans="1:10" s="15" customFormat="1" x14ac:dyDescent="0.15">
      <c r="A231" s="11">
        <v>45272</v>
      </c>
      <c r="B231" s="12" t="s">
        <v>33</v>
      </c>
      <c r="C231" s="12" t="s">
        <v>44</v>
      </c>
      <c r="D231" s="13" t="str">
        <f>HYPERLINK("https://www.marklines.com/en/global/3309","Volkswagen Group of America Chattanooga Operations, LLC, Chattanooga Plant")</f>
        <v>Volkswagen Group of America Chattanooga Operations, LLC, Chattanooga Plant</v>
      </c>
      <c r="E231" s="12" t="s">
        <v>1246</v>
      </c>
      <c r="F231" s="12" t="s">
        <v>16</v>
      </c>
      <c r="G231" s="12" t="s">
        <v>11</v>
      </c>
      <c r="H231" s="12" t="s">
        <v>490</v>
      </c>
      <c r="I231" s="14">
        <v>45268</v>
      </c>
      <c r="J231" s="12" t="s">
        <v>1649</v>
      </c>
    </row>
    <row r="232" spans="1:10" s="15" customFormat="1" x14ac:dyDescent="0.15">
      <c r="A232" s="11">
        <v>45272</v>
      </c>
      <c r="B232" s="12" t="s">
        <v>37</v>
      </c>
      <c r="C232" s="12" t="s">
        <v>37</v>
      </c>
      <c r="D232" s="13" t="str">
        <f>HYPERLINK("https://www.marklines.com/en/global/10742","Rivian, Georgia plant")</f>
        <v>Rivian, Georgia plant</v>
      </c>
      <c r="E232" s="12" t="s">
        <v>853</v>
      </c>
      <c r="F232" s="12" t="s">
        <v>16</v>
      </c>
      <c r="G232" s="12" t="s">
        <v>11</v>
      </c>
      <c r="H232" s="12" t="s">
        <v>271</v>
      </c>
      <c r="I232" s="14">
        <v>45267</v>
      </c>
      <c r="J232" s="12" t="s">
        <v>1650</v>
      </c>
    </row>
    <row r="233" spans="1:10" s="15" customFormat="1" x14ac:dyDescent="0.15">
      <c r="A233" s="11">
        <v>45272</v>
      </c>
      <c r="B233" s="12" t="s">
        <v>254</v>
      </c>
      <c r="C233" s="12" t="s">
        <v>254</v>
      </c>
      <c r="D233" s="13" t="str">
        <f>HYPERLINK("https://www.marklines.com/en/global/10671","Tesla Gigafactory Mexico")</f>
        <v>Tesla Gigafactory Mexico</v>
      </c>
      <c r="E233" s="12" t="s">
        <v>450</v>
      </c>
      <c r="F233" s="12" t="s">
        <v>16</v>
      </c>
      <c r="G233" s="12" t="s">
        <v>91</v>
      </c>
      <c r="H233" s="12"/>
      <c r="I233" s="14">
        <v>45267</v>
      </c>
      <c r="J233" s="12" t="s">
        <v>1651</v>
      </c>
    </row>
    <row r="234" spans="1:10" s="15" customFormat="1" x14ac:dyDescent="0.15">
      <c r="A234" s="11">
        <v>45272</v>
      </c>
      <c r="B234" s="12" t="s">
        <v>35</v>
      </c>
      <c r="C234" s="12" t="s">
        <v>35</v>
      </c>
      <c r="D234" s="13" t="str">
        <f>HYPERLINK("https://www.marklines.com/en/global/499","Suzuki Motor, Sagara Plant")</f>
        <v>Suzuki Motor, Sagara Plant</v>
      </c>
      <c r="E234" s="12" t="s">
        <v>1652</v>
      </c>
      <c r="F234" s="12" t="s">
        <v>20</v>
      </c>
      <c r="G234" s="12" t="s">
        <v>23</v>
      </c>
      <c r="H234" s="12" t="s">
        <v>1141</v>
      </c>
      <c r="I234" s="14">
        <v>45266</v>
      </c>
      <c r="J234" s="12" t="s">
        <v>1653</v>
      </c>
    </row>
    <row r="235" spans="1:10" s="15" customFormat="1" x14ac:dyDescent="0.15">
      <c r="A235" s="11">
        <v>45272</v>
      </c>
      <c r="B235" s="12" t="s">
        <v>65</v>
      </c>
      <c r="C235" s="12" t="s">
        <v>66</v>
      </c>
      <c r="D235" s="13" t="str">
        <f>HYPERLINK("https://www.marklines.com/en/global/843","Stellantis, FCA Mexico, Toluca Assembly Plant")</f>
        <v>Stellantis, FCA Mexico, Toluca Assembly Plant</v>
      </c>
      <c r="E235" s="12" t="s">
        <v>1575</v>
      </c>
      <c r="F235" s="12" t="s">
        <v>16</v>
      </c>
      <c r="G235" s="12" t="s">
        <v>91</v>
      </c>
      <c r="H235" s="12"/>
      <c r="I235" s="14">
        <v>45266</v>
      </c>
      <c r="J235" s="12" t="s">
        <v>1654</v>
      </c>
    </row>
    <row r="236" spans="1:10" s="15" customFormat="1" x14ac:dyDescent="0.15">
      <c r="A236" s="11">
        <v>45272</v>
      </c>
      <c r="B236" s="12" t="s">
        <v>24</v>
      </c>
      <c r="C236" s="12" t="s">
        <v>24</v>
      </c>
      <c r="D236" s="13" t="str">
        <f>HYPERLINK("https://www.marklines.com/en/global/17","Ford Lio Ho Motor, Chungli Plant")</f>
        <v>Ford Lio Ho Motor, Chungli Plant</v>
      </c>
      <c r="E236" s="12" t="s">
        <v>1655</v>
      </c>
      <c r="F236" s="12" t="s">
        <v>20</v>
      </c>
      <c r="G236" s="12" t="s">
        <v>115</v>
      </c>
      <c r="H236" s="12"/>
      <c r="I236" s="14">
        <v>45265</v>
      </c>
      <c r="J236" s="12" t="s">
        <v>1656</v>
      </c>
    </row>
    <row r="237" spans="1:10" s="15" customFormat="1" x14ac:dyDescent="0.15">
      <c r="A237" s="11">
        <v>45272</v>
      </c>
      <c r="B237" s="12" t="s">
        <v>22</v>
      </c>
      <c r="C237" s="12" t="s">
        <v>88</v>
      </c>
      <c r="D237" s="13" t="str">
        <f>HYPERLINK("https://www.marklines.com/en/global/4105","GAC Hino Motors Co., Ltd.")</f>
        <v>GAC Hino Motors Co., Ltd.</v>
      </c>
      <c r="E237" s="12" t="s">
        <v>1657</v>
      </c>
      <c r="F237" s="12" t="s">
        <v>20</v>
      </c>
      <c r="G237" s="12" t="s">
        <v>27</v>
      </c>
      <c r="H237" s="12" t="s">
        <v>357</v>
      </c>
      <c r="I237" s="14">
        <v>45264</v>
      </c>
      <c r="J237" s="12" t="s">
        <v>1658</v>
      </c>
    </row>
    <row r="238" spans="1:10" s="15" customFormat="1" x14ac:dyDescent="0.15">
      <c r="A238" s="11">
        <v>45272</v>
      </c>
      <c r="B238" s="12" t="s">
        <v>366</v>
      </c>
      <c r="C238" s="12" t="s">
        <v>622</v>
      </c>
      <c r="D238" s="13" t="str">
        <f>HYPERLINK("https://www.marklines.com/en/global/9824","GAC Aion New Energy Automobile Co., Ltd.")</f>
        <v>GAC Aion New Energy Automobile Co., Ltd.</v>
      </c>
      <c r="E238" s="12" t="s">
        <v>623</v>
      </c>
      <c r="F238" s="12" t="s">
        <v>20</v>
      </c>
      <c r="G238" s="12" t="s">
        <v>27</v>
      </c>
      <c r="H238" s="12" t="s">
        <v>357</v>
      </c>
      <c r="I238" s="14">
        <v>45264</v>
      </c>
      <c r="J238" s="12" t="s">
        <v>1659</v>
      </c>
    </row>
    <row r="239" spans="1:10" s="15" customFormat="1" x14ac:dyDescent="0.15">
      <c r="A239" s="11">
        <v>45271</v>
      </c>
      <c r="B239" s="12" t="s">
        <v>690</v>
      </c>
      <c r="C239" s="12" t="s">
        <v>690</v>
      </c>
      <c r="D239" s="13" t="str">
        <f>HYPERLINK("https://www.marklines.com/en/global/735","OJSC (OAO) KAMAZ (Kamskiy Avtomobilny Zavod)")</f>
        <v>OJSC (OAO) KAMAZ (Kamskiy Avtomobilny Zavod)</v>
      </c>
      <c r="E239" s="12" t="s">
        <v>1660</v>
      </c>
      <c r="F239" s="12" t="s">
        <v>18</v>
      </c>
      <c r="G239" s="12" t="s">
        <v>14</v>
      </c>
      <c r="H239" s="12"/>
      <c r="I239" s="14">
        <v>45271</v>
      </c>
      <c r="J239" s="12" t="s">
        <v>1661</v>
      </c>
    </row>
    <row r="240" spans="1:10" s="15" customFormat="1" x14ac:dyDescent="0.15">
      <c r="A240" s="11">
        <v>45271</v>
      </c>
      <c r="B240" s="12" t="s">
        <v>690</v>
      </c>
      <c r="C240" s="12" t="s">
        <v>690</v>
      </c>
      <c r="D240" s="13" t="str">
        <f>HYPERLINK("https://www.marklines.com/en/global/8718","Trucks Vostok Rus LLC (TVR), Naberezhnye Chelny Plant (for FUSO trucks) (formerly OOO Daimler Kamaz Rus (DK Rus), OOO Fuso KAMAZ Trucks Rus)")</f>
        <v>Trucks Vostok Rus LLC (TVR), Naberezhnye Chelny Plant (for FUSO trucks) (formerly OOO Daimler Kamaz Rus (DK Rus), OOO Fuso KAMAZ Trucks Rus)</v>
      </c>
      <c r="E240" s="12" t="s">
        <v>1662</v>
      </c>
      <c r="F240" s="12" t="s">
        <v>18</v>
      </c>
      <c r="G240" s="12" t="s">
        <v>14</v>
      </c>
      <c r="H240" s="12"/>
      <c r="I240" s="14">
        <v>45271</v>
      </c>
      <c r="J240" s="12" t="s">
        <v>1661</v>
      </c>
    </row>
    <row r="241" spans="1:10" s="15" customFormat="1" x14ac:dyDescent="0.15">
      <c r="A241" s="11">
        <v>45271</v>
      </c>
      <c r="B241" s="12" t="s">
        <v>690</v>
      </c>
      <c r="C241" s="12" t="s">
        <v>690</v>
      </c>
      <c r="D241" s="13" t="str">
        <f>HYPERLINK("https://www.marklines.com/en/global/9057","Neftekamsk Motor Plant OJSC (OAO Neftekamskij avtozavod (NefAZ))")</f>
        <v>Neftekamsk Motor Plant OJSC (OAO Neftekamskij avtozavod (NefAZ))</v>
      </c>
      <c r="E241" s="12" t="s">
        <v>746</v>
      </c>
      <c r="F241" s="12" t="s">
        <v>18</v>
      </c>
      <c r="G241" s="12" t="s">
        <v>14</v>
      </c>
      <c r="H241" s="12"/>
      <c r="I241" s="14">
        <v>45271</v>
      </c>
      <c r="J241" s="12" t="s">
        <v>1661</v>
      </c>
    </row>
    <row r="242" spans="1:10" s="15" customFormat="1" x14ac:dyDescent="0.15">
      <c r="A242" s="11">
        <v>45271</v>
      </c>
      <c r="B242" s="12" t="s">
        <v>690</v>
      </c>
      <c r="C242" s="12" t="s">
        <v>690</v>
      </c>
      <c r="D242" s="13" t="str">
        <f>HYPERLINK("https://www.marklines.com/en/global/741","Trucks Vostok Rus LLC (TVR), Naberezhnye Chelny Plant (formerly OOO Daimler Kamaz Rus (DK Rus), OOO Mercedes-Benz Trucks Vostok) ")</f>
        <v xml:space="preserve">Trucks Vostok Rus LLC (TVR), Naberezhnye Chelny Plant (formerly OOO Daimler Kamaz Rus (DK Rus), OOO Mercedes-Benz Trucks Vostok) </v>
      </c>
      <c r="E242" s="12" t="s">
        <v>1663</v>
      </c>
      <c r="F242" s="12" t="s">
        <v>18</v>
      </c>
      <c r="G242" s="12" t="s">
        <v>14</v>
      </c>
      <c r="H242" s="12"/>
      <c r="I242" s="14">
        <v>45271</v>
      </c>
      <c r="J242" s="12" t="s">
        <v>1661</v>
      </c>
    </row>
    <row r="243" spans="1:10" s="15" customFormat="1" x14ac:dyDescent="0.15">
      <c r="A243" s="11">
        <v>45271</v>
      </c>
      <c r="B243" s="12" t="s">
        <v>690</v>
      </c>
      <c r="C243" s="12" t="s">
        <v>690</v>
      </c>
      <c r="D243" s="13" t="str">
        <f>HYPERLINK("https://www.marklines.com/en/global/737","Kamaz, Naberezhnye Chelny Plant")</f>
        <v>Kamaz, Naberezhnye Chelny Plant</v>
      </c>
      <c r="E243" s="12" t="s">
        <v>691</v>
      </c>
      <c r="F243" s="12" t="s">
        <v>18</v>
      </c>
      <c r="G243" s="12" t="s">
        <v>14</v>
      </c>
      <c r="H243" s="12"/>
      <c r="I243" s="14">
        <v>45271</v>
      </c>
      <c r="J243" s="12" t="s">
        <v>1661</v>
      </c>
    </row>
    <row r="244" spans="1:10" s="15" customFormat="1" x14ac:dyDescent="0.15">
      <c r="A244" s="11">
        <v>45271</v>
      </c>
      <c r="B244" s="12" t="s">
        <v>690</v>
      </c>
      <c r="C244" s="12" t="s">
        <v>690</v>
      </c>
      <c r="D244" s="13" t="str">
        <f>HYPERLINK("https://www.marklines.com/en/global/10385","Sokolnichesky Carriage Repair and Construction Plant (SVARZ)")</f>
        <v>Sokolnichesky Carriage Repair and Construction Plant (SVARZ)</v>
      </c>
      <c r="E244" s="12" t="s">
        <v>1664</v>
      </c>
      <c r="F244" s="12" t="s">
        <v>18</v>
      </c>
      <c r="G244" s="12" t="s">
        <v>14</v>
      </c>
      <c r="H244" s="12"/>
      <c r="I244" s="14">
        <v>45271</v>
      </c>
      <c r="J244" s="12" t="s">
        <v>1661</v>
      </c>
    </row>
    <row r="245" spans="1:10" s="15" customFormat="1" x14ac:dyDescent="0.15">
      <c r="A245" s="11">
        <v>45271</v>
      </c>
      <c r="B245" s="12" t="s">
        <v>243</v>
      </c>
      <c r="C245" s="12" t="s">
        <v>243</v>
      </c>
      <c r="D245" s="13" t="str">
        <f>HYPERLINK("https://www.marklines.com/en/global/10179","Oyak-Renault Technical center (Renault Technologie Roumanie), Bursa")</f>
        <v>Oyak-Renault Technical center (Renault Technologie Roumanie), Bursa</v>
      </c>
      <c r="E245" s="12" t="s">
        <v>1665</v>
      </c>
      <c r="F245" s="12" t="s">
        <v>106</v>
      </c>
      <c r="G245" s="12" t="s">
        <v>107</v>
      </c>
      <c r="H245" s="12"/>
      <c r="I245" s="14">
        <v>45268</v>
      </c>
      <c r="J245" s="12" t="s">
        <v>1666</v>
      </c>
    </row>
    <row r="246" spans="1:10" s="15" customFormat="1" x14ac:dyDescent="0.15">
      <c r="A246" s="11">
        <v>45271</v>
      </c>
      <c r="B246" s="12" t="s">
        <v>243</v>
      </c>
      <c r="C246" s="12" t="s">
        <v>243</v>
      </c>
      <c r="D246" s="13" t="str">
        <f>HYPERLINK("https://www.marklines.com/en/global/1438","OYAK-Renault Otomobil Fabrikalari A.S., Bursa Plant")</f>
        <v>OYAK-Renault Otomobil Fabrikalari A.S., Bursa Plant</v>
      </c>
      <c r="E246" s="12" t="s">
        <v>640</v>
      </c>
      <c r="F246" s="12" t="s">
        <v>106</v>
      </c>
      <c r="G246" s="12" t="s">
        <v>107</v>
      </c>
      <c r="H246" s="12"/>
      <c r="I246" s="14">
        <v>45268</v>
      </c>
      <c r="J246" s="12" t="s">
        <v>1666</v>
      </c>
    </row>
    <row r="247" spans="1:10" s="15" customFormat="1" x14ac:dyDescent="0.15">
      <c r="A247" s="11">
        <v>45271</v>
      </c>
      <c r="B247" s="12" t="s">
        <v>301</v>
      </c>
      <c r="C247" s="12" t="s">
        <v>301</v>
      </c>
      <c r="D247" s="13" t="str">
        <f>HYPERLINK("https://www.marklines.com/en/global/671","ZAO AvtoTOR, Kaliningrad Plant")</f>
        <v>ZAO AvtoTOR, Kaliningrad Plant</v>
      </c>
      <c r="E247" s="12" t="s">
        <v>696</v>
      </c>
      <c r="F247" s="12" t="s">
        <v>18</v>
      </c>
      <c r="G247" s="12" t="s">
        <v>14</v>
      </c>
      <c r="H247" s="12"/>
      <c r="I247" s="14">
        <v>45268</v>
      </c>
      <c r="J247" s="12" t="s">
        <v>1667</v>
      </c>
    </row>
    <row r="248" spans="1:10" s="15" customFormat="1" x14ac:dyDescent="0.15">
      <c r="A248" s="11">
        <v>45271</v>
      </c>
      <c r="B248" s="12" t="s">
        <v>13</v>
      </c>
      <c r="C248" s="12" t="s">
        <v>13</v>
      </c>
      <c r="D248" s="13" t="str">
        <f>HYPERLINK("https://www.marklines.com/en/global/9602","OOO Motorinvest, Lipetsk Plant (formerly Changan Automobile, Lipetsk Plant)")</f>
        <v>OOO Motorinvest, Lipetsk Plant (formerly Changan Automobile, Lipetsk Plant)</v>
      </c>
      <c r="E248" s="12" t="s">
        <v>92</v>
      </c>
      <c r="F248" s="12" t="s">
        <v>18</v>
      </c>
      <c r="G248" s="12" t="s">
        <v>14</v>
      </c>
      <c r="H248" s="12"/>
      <c r="I248" s="14">
        <v>45268</v>
      </c>
      <c r="J248" s="12" t="s">
        <v>1668</v>
      </c>
    </row>
    <row r="249" spans="1:10" s="15" customFormat="1" x14ac:dyDescent="0.15">
      <c r="A249" s="11">
        <v>45271</v>
      </c>
      <c r="B249" s="12" t="s">
        <v>217</v>
      </c>
      <c r="C249" s="12" t="s">
        <v>217</v>
      </c>
      <c r="D249" s="13" t="str">
        <f>HYPERLINK("https://www.marklines.com/en/global/1103","Ashok Leyland, Hosur Plant")</f>
        <v>Ashok Leyland, Hosur Plant</v>
      </c>
      <c r="E249" s="12" t="s">
        <v>1329</v>
      </c>
      <c r="F249" s="12" t="s">
        <v>25</v>
      </c>
      <c r="G249" s="12" t="s">
        <v>26</v>
      </c>
      <c r="H249" s="12" t="s">
        <v>219</v>
      </c>
      <c r="I249" s="14">
        <v>45268</v>
      </c>
      <c r="J249" s="12" t="s">
        <v>1669</v>
      </c>
    </row>
    <row r="250" spans="1:10" s="15" customFormat="1" x14ac:dyDescent="0.15">
      <c r="A250" s="11">
        <v>45271</v>
      </c>
      <c r="B250" s="12" t="s">
        <v>243</v>
      </c>
      <c r="C250" s="12" t="s">
        <v>243</v>
      </c>
      <c r="D250" s="13" t="str">
        <f>HYPERLINK("https://www.marklines.com/en/global/2907","Renault do Brasil S.A., Curitiba/Sao Jose dos Pinhais Plant")</f>
        <v>Renault do Brasil S.A., Curitiba/Sao Jose dos Pinhais Plant</v>
      </c>
      <c r="E250" s="12" t="s">
        <v>643</v>
      </c>
      <c r="F250" s="12" t="s">
        <v>425</v>
      </c>
      <c r="G250" s="12" t="s">
        <v>426</v>
      </c>
      <c r="H250" s="12"/>
      <c r="I250" s="14">
        <v>45267</v>
      </c>
      <c r="J250" s="12" t="s">
        <v>1670</v>
      </c>
    </row>
    <row r="251" spans="1:10" s="15" customFormat="1" x14ac:dyDescent="0.15">
      <c r="A251" s="11">
        <v>45271</v>
      </c>
      <c r="B251" s="12" t="s">
        <v>243</v>
      </c>
      <c r="C251" s="12" t="s">
        <v>243</v>
      </c>
      <c r="D251" s="13" t="str">
        <f>HYPERLINK("https://www.marklines.com/en/global/1438","OYAK-Renault Otomobil Fabrikalari A.S., Bursa Plant")</f>
        <v>OYAK-Renault Otomobil Fabrikalari A.S., Bursa Plant</v>
      </c>
      <c r="E251" s="12" t="s">
        <v>640</v>
      </c>
      <c r="F251" s="12" t="s">
        <v>106</v>
      </c>
      <c r="G251" s="12" t="s">
        <v>107</v>
      </c>
      <c r="H251" s="12"/>
      <c r="I251" s="14">
        <v>45267</v>
      </c>
      <c r="J251" s="12" t="s">
        <v>1670</v>
      </c>
    </row>
    <row r="252" spans="1:10" s="15" customFormat="1" x14ac:dyDescent="0.15">
      <c r="A252" s="11">
        <v>45271</v>
      </c>
      <c r="B252" s="12" t="s">
        <v>65</v>
      </c>
      <c r="C252" s="12" t="s">
        <v>480</v>
      </c>
      <c r="D252" s="13" t="str">
        <f>HYPERLINK("https://www.marklines.com/en/global/1329","Stellantis, FCA Italy, Giambattista Vico (Pomigliano d'Arco) Plant")</f>
        <v>Stellantis, FCA Italy, Giambattista Vico (Pomigliano d'Arco) Plant</v>
      </c>
      <c r="E252" s="12" t="s">
        <v>604</v>
      </c>
      <c r="F252" s="12" t="s">
        <v>17</v>
      </c>
      <c r="G252" s="12" t="s">
        <v>46</v>
      </c>
      <c r="H252" s="12"/>
      <c r="I252" s="14">
        <v>45266</v>
      </c>
      <c r="J252" s="12" t="s">
        <v>1671</v>
      </c>
    </row>
    <row r="253" spans="1:10" s="15" customFormat="1" x14ac:dyDescent="0.15">
      <c r="A253" s="11">
        <v>45271</v>
      </c>
      <c r="B253" s="12" t="s">
        <v>45</v>
      </c>
      <c r="C253" s="12" t="s">
        <v>120</v>
      </c>
      <c r="D253" s="13" t="str">
        <f>HYPERLINK("https://www.marklines.com/en/global/1375","Stellantis Europe SpA, Atessa Plant (formerly Sevel S.p.A., Val di Sangro (Atessa) Plant)")</f>
        <v>Stellantis Europe SpA, Atessa Plant (formerly Sevel S.p.A., Val di Sangro (Atessa) Plant)</v>
      </c>
      <c r="E253" s="12" t="s">
        <v>600</v>
      </c>
      <c r="F253" s="12" t="s">
        <v>17</v>
      </c>
      <c r="G253" s="12" t="s">
        <v>46</v>
      </c>
      <c r="H253" s="12"/>
      <c r="I253" s="14">
        <v>45266</v>
      </c>
      <c r="J253" s="12" t="s">
        <v>1671</v>
      </c>
    </row>
    <row r="254" spans="1:10" s="15" customFormat="1" x14ac:dyDescent="0.15">
      <c r="A254" s="11">
        <v>45271</v>
      </c>
      <c r="B254" s="12" t="s">
        <v>45</v>
      </c>
      <c r="C254" s="12" t="s">
        <v>602</v>
      </c>
      <c r="D254" s="13" t="str">
        <f>HYPERLINK("https://www.marklines.com/en/global/1375","Stellantis Europe SpA, Atessa Plant (formerly Sevel S.p.A., Val di Sangro (Atessa) Plant)")</f>
        <v>Stellantis Europe SpA, Atessa Plant (formerly Sevel S.p.A., Val di Sangro (Atessa) Plant)</v>
      </c>
      <c r="E254" s="12" t="s">
        <v>600</v>
      </c>
      <c r="F254" s="12" t="s">
        <v>17</v>
      </c>
      <c r="G254" s="12" t="s">
        <v>46</v>
      </c>
      <c r="H254" s="12"/>
      <c r="I254" s="14">
        <v>45266</v>
      </c>
      <c r="J254" s="12" t="s">
        <v>1671</v>
      </c>
    </row>
    <row r="255" spans="1:10" s="15" customFormat="1" x14ac:dyDescent="0.15">
      <c r="A255" s="11">
        <v>45271</v>
      </c>
      <c r="B255" s="12" t="s">
        <v>45</v>
      </c>
      <c r="C255" s="12" t="s">
        <v>603</v>
      </c>
      <c r="D255" s="13" t="str">
        <f>HYPERLINK("https://www.marklines.com/en/global/1375","Stellantis Europe SpA, Atessa Plant (formerly Sevel S.p.A., Val di Sangro (Atessa) Plant)")</f>
        <v>Stellantis Europe SpA, Atessa Plant (formerly Sevel S.p.A., Val di Sangro (Atessa) Plant)</v>
      </c>
      <c r="E255" s="12" t="s">
        <v>600</v>
      </c>
      <c r="F255" s="12" t="s">
        <v>17</v>
      </c>
      <c r="G255" s="12" t="s">
        <v>46</v>
      </c>
      <c r="H255" s="12"/>
      <c r="I255" s="14">
        <v>45266</v>
      </c>
      <c r="J255" s="12" t="s">
        <v>1671</v>
      </c>
    </row>
    <row r="256" spans="1:10" s="15" customFormat="1" x14ac:dyDescent="0.15">
      <c r="A256" s="11">
        <v>45271</v>
      </c>
      <c r="B256" s="12" t="s">
        <v>45</v>
      </c>
      <c r="C256" s="12" t="s">
        <v>515</v>
      </c>
      <c r="D256" s="13" t="str">
        <f>HYPERLINK("https://www.marklines.com/en/global/1375","Stellantis Europe SpA, Atessa Plant (formerly Sevel S.p.A., Val di Sangro (Atessa) Plant)")</f>
        <v>Stellantis Europe SpA, Atessa Plant (formerly Sevel S.p.A., Val di Sangro (Atessa) Plant)</v>
      </c>
      <c r="E256" s="12" t="s">
        <v>600</v>
      </c>
      <c r="F256" s="12" t="s">
        <v>17</v>
      </c>
      <c r="G256" s="12" t="s">
        <v>46</v>
      </c>
      <c r="H256" s="12"/>
      <c r="I256" s="14">
        <v>45266</v>
      </c>
      <c r="J256" s="12" t="s">
        <v>1671</v>
      </c>
    </row>
    <row r="257" spans="1:10" s="15" customFormat="1" x14ac:dyDescent="0.15">
      <c r="A257" s="11">
        <v>45271</v>
      </c>
      <c r="B257" s="12" t="s">
        <v>45</v>
      </c>
      <c r="C257" s="12" t="s">
        <v>49</v>
      </c>
      <c r="D257" s="13" t="str">
        <f>HYPERLINK("https://www.marklines.com/en/global/1375","Stellantis Europe SpA, Atessa Plant (formerly Sevel S.p.A., Val di Sangro (Atessa) Plant)")</f>
        <v>Stellantis Europe SpA, Atessa Plant (formerly Sevel S.p.A., Val di Sangro (Atessa) Plant)</v>
      </c>
      <c r="E257" s="12" t="s">
        <v>600</v>
      </c>
      <c r="F257" s="12" t="s">
        <v>17</v>
      </c>
      <c r="G257" s="12" t="s">
        <v>46</v>
      </c>
      <c r="H257" s="12"/>
      <c r="I257" s="14">
        <v>45266</v>
      </c>
      <c r="J257" s="12" t="s">
        <v>1671</v>
      </c>
    </row>
    <row r="258" spans="1:10" s="15" customFormat="1" x14ac:dyDescent="0.15">
      <c r="A258" s="11">
        <v>45271</v>
      </c>
      <c r="B258" s="12" t="s">
        <v>45</v>
      </c>
      <c r="C258" s="12" t="s">
        <v>49</v>
      </c>
      <c r="D258" s="13" t="str">
        <f>HYPERLINK("https://www.marklines.com/en/global/1329","Stellantis, FCA Italy, Giambattista Vico (Pomigliano d'Arco) Plant")</f>
        <v>Stellantis, FCA Italy, Giambattista Vico (Pomigliano d'Arco) Plant</v>
      </c>
      <c r="E258" s="12" t="s">
        <v>604</v>
      </c>
      <c r="F258" s="12" t="s">
        <v>17</v>
      </c>
      <c r="G258" s="12" t="s">
        <v>46</v>
      </c>
      <c r="H258" s="12"/>
      <c r="I258" s="14">
        <v>45266</v>
      </c>
      <c r="J258" s="12" t="s">
        <v>1671</v>
      </c>
    </row>
    <row r="259" spans="1:10" s="15" customFormat="1" x14ac:dyDescent="0.15">
      <c r="A259" s="11">
        <v>45271</v>
      </c>
      <c r="B259" s="12" t="s">
        <v>45</v>
      </c>
      <c r="C259" s="12" t="s">
        <v>606</v>
      </c>
      <c r="D259" s="13" t="str">
        <f>HYPERLINK("https://www.marklines.com/en/global/1329","Stellantis, FCA Italy, Giambattista Vico (Pomigliano d'Arco) Plant")</f>
        <v>Stellantis, FCA Italy, Giambattista Vico (Pomigliano d'Arco) Plant</v>
      </c>
      <c r="E259" s="12" t="s">
        <v>604</v>
      </c>
      <c r="F259" s="12" t="s">
        <v>17</v>
      </c>
      <c r="G259" s="12" t="s">
        <v>46</v>
      </c>
      <c r="H259" s="12"/>
      <c r="I259" s="14">
        <v>45266</v>
      </c>
      <c r="J259" s="12" t="s">
        <v>1671</v>
      </c>
    </row>
    <row r="260" spans="1:10" s="15" customFormat="1" x14ac:dyDescent="0.15">
      <c r="A260" s="11">
        <v>45271</v>
      </c>
      <c r="B260" s="12" t="s">
        <v>45</v>
      </c>
      <c r="C260" s="12" t="s">
        <v>45</v>
      </c>
      <c r="D260" s="13" t="str">
        <f>HYPERLINK("https://www.marklines.com/en/global/1339","Stellantis, Fiat Powertrain Technologies, Pratola Serra Plant")</f>
        <v>Stellantis, Fiat Powertrain Technologies, Pratola Serra Plant</v>
      </c>
      <c r="E260" s="12" t="s">
        <v>1672</v>
      </c>
      <c r="F260" s="12" t="s">
        <v>17</v>
      </c>
      <c r="G260" s="12" t="s">
        <v>46</v>
      </c>
      <c r="H260" s="12"/>
      <c r="I260" s="14">
        <v>45266</v>
      </c>
      <c r="J260" s="12" t="s">
        <v>1671</v>
      </c>
    </row>
    <row r="261" spans="1:10" s="15" customFormat="1" x14ac:dyDescent="0.15">
      <c r="A261" s="11">
        <v>45271</v>
      </c>
      <c r="B261" s="12" t="s">
        <v>45</v>
      </c>
      <c r="C261" s="12" t="s">
        <v>45</v>
      </c>
      <c r="D261" s="13" t="str">
        <f>HYPERLINK("https://www.marklines.com/en/global/1337","Stellantis, Fiat Powertrain Technologies, Mirafiori (Turin) Plant")</f>
        <v>Stellantis, Fiat Powertrain Technologies, Mirafiori (Turin) Plant</v>
      </c>
      <c r="E261" s="12" t="s">
        <v>1673</v>
      </c>
      <c r="F261" s="12" t="s">
        <v>17</v>
      </c>
      <c r="G261" s="12" t="s">
        <v>46</v>
      </c>
      <c r="H261" s="12"/>
      <c r="I261" s="14">
        <v>45266</v>
      </c>
      <c r="J261" s="12" t="s">
        <v>1671</v>
      </c>
    </row>
    <row r="262" spans="1:10" s="15" customFormat="1" x14ac:dyDescent="0.15">
      <c r="A262" s="11">
        <v>45271</v>
      </c>
      <c r="B262" s="12" t="s">
        <v>33</v>
      </c>
      <c r="C262" s="12" t="s">
        <v>332</v>
      </c>
      <c r="D262" s="13" t="str">
        <f>HYPERLINK("https://www.marklines.com/en/global/3615","SAIC Volkswagen Automotive Co., Ltd.")</f>
        <v>SAIC Volkswagen Automotive Co., Ltd.</v>
      </c>
      <c r="E262" s="12" t="s">
        <v>1401</v>
      </c>
      <c r="F262" s="12" t="s">
        <v>20</v>
      </c>
      <c r="G262" s="12" t="s">
        <v>27</v>
      </c>
      <c r="H262" s="12" t="s">
        <v>314</v>
      </c>
      <c r="I262" s="14">
        <v>45266</v>
      </c>
      <c r="J262" s="12" t="s">
        <v>1674</v>
      </c>
    </row>
    <row r="263" spans="1:10" s="15" customFormat="1" x14ac:dyDescent="0.15">
      <c r="A263" s="11">
        <v>45271</v>
      </c>
      <c r="B263" s="12" t="s">
        <v>408</v>
      </c>
      <c r="C263" s="12" t="s">
        <v>408</v>
      </c>
      <c r="D263" s="13" t="str">
        <f>HYPERLINK("https://www.marklines.com/en/global/3609","SAIC Motor Corporation Limited")</f>
        <v>SAIC Motor Corporation Limited</v>
      </c>
      <c r="E263" s="12" t="s">
        <v>1675</v>
      </c>
      <c r="F263" s="12" t="s">
        <v>20</v>
      </c>
      <c r="G263" s="12" t="s">
        <v>27</v>
      </c>
      <c r="H263" s="12" t="s">
        <v>314</v>
      </c>
      <c r="I263" s="14">
        <v>45266</v>
      </c>
      <c r="J263" s="12" t="s">
        <v>1674</v>
      </c>
    </row>
    <row r="264" spans="1:10" s="15" customFormat="1" x14ac:dyDescent="0.15">
      <c r="A264" s="11">
        <v>45271</v>
      </c>
      <c r="B264" s="12" t="s">
        <v>344</v>
      </c>
      <c r="C264" s="12" t="s">
        <v>345</v>
      </c>
      <c r="D264" s="13" t="str">
        <f>HYPERLINK("https://www.marklines.com/en/global/10712","Neta Zhihe New Energy Vehicle Technology (Shanghai) Co., Ltd.")</f>
        <v>Neta Zhihe New Energy Vehicle Technology (Shanghai) Co., Ltd.</v>
      </c>
      <c r="E264" s="12" t="s">
        <v>346</v>
      </c>
      <c r="F264" s="12" t="s">
        <v>20</v>
      </c>
      <c r="G264" s="12" t="s">
        <v>27</v>
      </c>
      <c r="H264" s="12" t="s">
        <v>314</v>
      </c>
      <c r="I264" s="14">
        <v>45264</v>
      </c>
      <c r="J264" s="12" t="s">
        <v>1676</v>
      </c>
    </row>
    <row r="265" spans="1:10" s="15" customFormat="1" x14ac:dyDescent="0.15">
      <c r="A265" s="11">
        <v>45271</v>
      </c>
      <c r="B265" s="12" t="s">
        <v>316</v>
      </c>
      <c r="C265" s="12" t="s">
        <v>316</v>
      </c>
      <c r="D265" s="13" t="str">
        <f>HYPERLINK("https://www.marklines.com/en/global/9500","BYD Co., Ltd.")</f>
        <v>BYD Co., Ltd.</v>
      </c>
      <c r="E265" s="12" t="s">
        <v>1486</v>
      </c>
      <c r="F265" s="12" t="s">
        <v>20</v>
      </c>
      <c r="G265" s="12" t="s">
        <v>27</v>
      </c>
      <c r="H265" s="12" t="s">
        <v>357</v>
      </c>
      <c r="I265" s="14">
        <v>45258</v>
      </c>
      <c r="J265" s="12" t="s">
        <v>1677</v>
      </c>
    </row>
    <row r="266" spans="1:10" s="15" customFormat="1" x14ac:dyDescent="0.15">
      <c r="A266" s="11">
        <v>45271</v>
      </c>
      <c r="B266" s="12" t="s">
        <v>366</v>
      </c>
      <c r="C266" s="12" t="s">
        <v>622</v>
      </c>
      <c r="D266" s="13" t="str">
        <f>HYPERLINK("https://www.marklines.com/en/global/8808","GAC Mitsubishi Motors Co., Ltd. (GMMC)")</f>
        <v>GAC Mitsubishi Motors Co., Ltd. (GMMC)</v>
      </c>
      <c r="E266" s="12" t="s">
        <v>724</v>
      </c>
      <c r="F266" s="12" t="s">
        <v>20</v>
      </c>
      <c r="G266" s="12" t="s">
        <v>27</v>
      </c>
      <c r="H266" s="12" t="s">
        <v>359</v>
      </c>
      <c r="I266" s="14">
        <v>45247</v>
      </c>
      <c r="J266" s="12" t="s">
        <v>1678</v>
      </c>
    </row>
    <row r="267" spans="1:10" s="15" customFormat="1" x14ac:dyDescent="0.15">
      <c r="A267" s="11">
        <v>45271</v>
      </c>
      <c r="B267" s="12" t="s">
        <v>366</v>
      </c>
      <c r="C267" s="12" t="s">
        <v>622</v>
      </c>
      <c r="D267" s="13" t="str">
        <f>HYPERLINK("https://www.marklines.com/en/global/9824","GAC Aion New Energy Automobile Co., Ltd.")</f>
        <v>GAC Aion New Energy Automobile Co., Ltd.</v>
      </c>
      <c r="E267" s="12" t="s">
        <v>623</v>
      </c>
      <c r="F267" s="12" t="s">
        <v>20</v>
      </c>
      <c r="G267" s="12" t="s">
        <v>27</v>
      </c>
      <c r="H267" s="12" t="s">
        <v>357</v>
      </c>
      <c r="I267" s="14">
        <v>45247</v>
      </c>
      <c r="J267" s="12" t="s">
        <v>1678</v>
      </c>
    </row>
    <row r="268" spans="1:10" s="15" customFormat="1" x14ac:dyDescent="0.15">
      <c r="A268" s="11">
        <v>45269</v>
      </c>
      <c r="B268" s="12" t="s">
        <v>33</v>
      </c>
      <c r="C268" s="12" t="s">
        <v>44</v>
      </c>
      <c r="D268" s="13" t="str">
        <f>HYPERLINK("https://www.marklines.com/en/global/911","Volkswagen Mexico, Puebla Plant")</f>
        <v>Volkswagen Mexico, Puebla Plant</v>
      </c>
      <c r="E268" s="12" t="s">
        <v>129</v>
      </c>
      <c r="F268" s="12" t="s">
        <v>16</v>
      </c>
      <c r="G268" s="12" t="s">
        <v>91</v>
      </c>
      <c r="H268" s="12"/>
      <c r="I268" s="14">
        <v>45267</v>
      </c>
      <c r="J268" s="12" t="s">
        <v>1679</v>
      </c>
    </row>
    <row r="269" spans="1:10" s="15" customFormat="1" x14ac:dyDescent="0.15">
      <c r="A269" s="11">
        <v>45269</v>
      </c>
      <c r="B269" s="12" t="s">
        <v>12</v>
      </c>
      <c r="C269" s="12" t="s">
        <v>19</v>
      </c>
      <c r="D269" s="13" t="str">
        <f>HYPERLINK("https://www.marklines.com/en/global/867","General Motors Mexico, Ramos Arizpe Plant")</f>
        <v>General Motors Mexico, Ramos Arizpe Plant</v>
      </c>
      <c r="E269" s="12" t="s">
        <v>915</v>
      </c>
      <c r="F269" s="12" t="s">
        <v>16</v>
      </c>
      <c r="G269" s="12" t="s">
        <v>91</v>
      </c>
      <c r="H269" s="12"/>
      <c r="I269" s="14">
        <v>45267</v>
      </c>
      <c r="J269" s="12" t="s">
        <v>1680</v>
      </c>
    </row>
    <row r="270" spans="1:10" s="15" customFormat="1" x14ac:dyDescent="0.15">
      <c r="A270" s="11">
        <v>45269</v>
      </c>
      <c r="B270" s="12" t="s">
        <v>65</v>
      </c>
      <c r="C270" s="12" t="s">
        <v>66</v>
      </c>
      <c r="D270" s="13" t="str">
        <f>HYPERLINK("https://www.marklines.com/en/global/2631","Stellantis, FCA US, Detroit Assembly Complex - Mack (formerly Mack Avenue Assembly Complex)")</f>
        <v>Stellantis, FCA US, Detroit Assembly Complex - Mack (formerly Mack Avenue Assembly Complex)</v>
      </c>
      <c r="E270" s="12" t="s">
        <v>1681</v>
      </c>
      <c r="F270" s="12" t="s">
        <v>16</v>
      </c>
      <c r="G270" s="12" t="s">
        <v>11</v>
      </c>
      <c r="H270" s="12" t="s">
        <v>40</v>
      </c>
      <c r="I270" s="14">
        <v>45267</v>
      </c>
      <c r="J270" s="12" t="s">
        <v>1682</v>
      </c>
    </row>
    <row r="271" spans="1:10" s="15" customFormat="1" x14ac:dyDescent="0.15">
      <c r="A271" s="11">
        <v>45269</v>
      </c>
      <c r="B271" s="12" t="s">
        <v>65</v>
      </c>
      <c r="C271" s="12" t="s">
        <v>66</v>
      </c>
      <c r="D271" s="13" t="str">
        <f>HYPERLINK("https://www.marklines.com/en/global/2653","Stellantis, FCA US, Toledo Assembly Complex (Toledo North)")</f>
        <v>Stellantis, FCA US, Toledo Assembly Complex (Toledo North)</v>
      </c>
      <c r="E271" s="12" t="s">
        <v>857</v>
      </c>
      <c r="F271" s="12" t="s">
        <v>16</v>
      </c>
      <c r="G271" s="12" t="s">
        <v>11</v>
      </c>
      <c r="H271" s="12" t="s">
        <v>101</v>
      </c>
      <c r="I271" s="14">
        <v>45267</v>
      </c>
      <c r="J271" s="12" t="s">
        <v>1682</v>
      </c>
    </row>
    <row r="272" spans="1:10" s="15" customFormat="1" x14ac:dyDescent="0.15">
      <c r="A272" s="11">
        <v>45269</v>
      </c>
      <c r="B272" s="12" t="s">
        <v>65</v>
      </c>
      <c r="C272" s="12" t="s">
        <v>66</v>
      </c>
      <c r="D272" s="13" t="str">
        <f>HYPERLINK("https://www.marklines.com/en/global/2655","Stellantis, FCA US, Toledo Assembly Complex (Toledo Supplier Park)")</f>
        <v>Stellantis, FCA US, Toledo Assembly Complex (Toledo Supplier Park)</v>
      </c>
      <c r="E272" s="12" t="s">
        <v>858</v>
      </c>
      <c r="F272" s="12" t="s">
        <v>16</v>
      </c>
      <c r="G272" s="12" t="s">
        <v>11</v>
      </c>
      <c r="H272" s="12" t="s">
        <v>101</v>
      </c>
      <c r="I272" s="14">
        <v>45267</v>
      </c>
      <c r="J272" s="12" t="s">
        <v>1682</v>
      </c>
    </row>
    <row r="273" spans="1:10" s="15" customFormat="1" x14ac:dyDescent="0.15">
      <c r="A273" s="11">
        <v>45269</v>
      </c>
      <c r="B273" s="12" t="s">
        <v>254</v>
      </c>
      <c r="C273" s="12" t="s">
        <v>254</v>
      </c>
      <c r="D273" s="13" t="str">
        <f>HYPERLINK("https://www.marklines.com/en/global/10671","Tesla Gigafactory Mexico")</f>
        <v>Tesla Gigafactory Mexico</v>
      </c>
      <c r="E273" s="12" t="s">
        <v>450</v>
      </c>
      <c r="F273" s="12" t="s">
        <v>16</v>
      </c>
      <c r="G273" s="12" t="s">
        <v>91</v>
      </c>
      <c r="H273" s="12"/>
      <c r="I273" s="14">
        <v>45266</v>
      </c>
      <c r="J273" s="12" t="s">
        <v>1683</v>
      </c>
    </row>
    <row r="274" spans="1:10" s="15" customFormat="1" x14ac:dyDescent="0.15">
      <c r="A274" s="11">
        <v>45268</v>
      </c>
      <c r="B274" s="12" t="s">
        <v>13</v>
      </c>
      <c r="C274" s="12" t="s">
        <v>340</v>
      </c>
      <c r="D274" s="13" t="str">
        <f>HYPERLINK("https://www.marklines.com/en/global/10641","NWTN (Zhejiang) Motor Co., Ltd.")</f>
        <v>NWTN (Zhejiang) Motor Co., Ltd.</v>
      </c>
      <c r="E274" s="12" t="s">
        <v>341</v>
      </c>
      <c r="F274" s="12" t="s">
        <v>20</v>
      </c>
      <c r="G274" s="12" t="s">
        <v>27</v>
      </c>
      <c r="H274" s="12" t="s">
        <v>342</v>
      </c>
      <c r="I274" s="14">
        <v>45268</v>
      </c>
      <c r="J274" s="12" t="s">
        <v>1469</v>
      </c>
    </row>
    <row r="275" spans="1:10" s="15" customFormat="1" x14ac:dyDescent="0.15">
      <c r="A275" s="11">
        <v>45268</v>
      </c>
      <c r="B275" s="12" t="s">
        <v>24</v>
      </c>
      <c r="C275" s="12" t="s">
        <v>24</v>
      </c>
      <c r="D275" s="13" t="str">
        <f>HYPERLINK("https://www.marklines.com/en/global/1420","Ford Otomotiv Sanayi A.Ş. (Ford Otosan), Eskisehir (Inonu) Plant  ")</f>
        <v xml:space="preserve">Ford Otomotiv Sanayi A.Ş. (Ford Otosan), Eskisehir (Inonu) Plant  </v>
      </c>
      <c r="E275" s="12" t="s">
        <v>1470</v>
      </c>
      <c r="F275" s="12" t="s">
        <v>106</v>
      </c>
      <c r="G275" s="12" t="s">
        <v>107</v>
      </c>
      <c r="H275" s="12"/>
      <c r="I275" s="14">
        <v>45267</v>
      </c>
      <c r="J275" s="12" t="s">
        <v>1471</v>
      </c>
    </row>
    <row r="276" spans="1:10" s="15" customFormat="1" x14ac:dyDescent="0.15">
      <c r="A276" s="11">
        <v>45268</v>
      </c>
      <c r="B276" s="12" t="s">
        <v>33</v>
      </c>
      <c r="C276" s="12" t="s">
        <v>44</v>
      </c>
      <c r="D276" s="13" t="str">
        <f>HYPERLINK("https://www.marklines.com/en/global/1771","Volkswagen Slovakia, Bratislava Plant")</f>
        <v>Volkswagen Slovakia, Bratislava Plant</v>
      </c>
      <c r="E276" s="12" t="s">
        <v>109</v>
      </c>
      <c r="F276" s="12" t="s">
        <v>18</v>
      </c>
      <c r="G276" s="12" t="s">
        <v>55</v>
      </c>
      <c r="H276" s="12"/>
      <c r="I276" s="14">
        <v>45267</v>
      </c>
      <c r="J276" s="12" t="s">
        <v>1472</v>
      </c>
    </row>
    <row r="277" spans="1:10" s="15" customFormat="1" x14ac:dyDescent="0.15">
      <c r="A277" s="11">
        <v>45268</v>
      </c>
      <c r="B277" s="12" t="s">
        <v>33</v>
      </c>
      <c r="C277" s="12" t="s">
        <v>80</v>
      </c>
      <c r="D277" s="13" t="str">
        <f>HYPERLINK("https://www.marklines.com/en/global/1771","Volkswagen Slovakia, Bratislava Plant")</f>
        <v>Volkswagen Slovakia, Bratislava Plant</v>
      </c>
      <c r="E277" s="12" t="s">
        <v>109</v>
      </c>
      <c r="F277" s="12" t="s">
        <v>18</v>
      </c>
      <c r="G277" s="12" t="s">
        <v>55</v>
      </c>
      <c r="H277" s="12"/>
      <c r="I277" s="14">
        <v>45267</v>
      </c>
      <c r="J277" s="12" t="s">
        <v>1472</v>
      </c>
    </row>
    <row r="278" spans="1:10" s="15" customFormat="1" x14ac:dyDescent="0.15">
      <c r="A278" s="11">
        <v>45268</v>
      </c>
      <c r="B278" s="12" t="s">
        <v>652</v>
      </c>
      <c r="C278" s="12" t="s">
        <v>652</v>
      </c>
      <c r="D278" s="13" t="str">
        <f>HYPERLINK("https://www.marklines.com/en/global/9485","Guangzhou Xiaopeng Motors Technology Co., Ltd. ")</f>
        <v xml:space="preserve">Guangzhou Xiaopeng Motors Technology Co., Ltd. </v>
      </c>
      <c r="E278" s="12" t="s">
        <v>1402</v>
      </c>
      <c r="F278" s="12" t="s">
        <v>20</v>
      </c>
      <c r="G278" s="12" t="s">
        <v>27</v>
      </c>
      <c r="H278" s="12" t="s">
        <v>357</v>
      </c>
      <c r="I278" s="14">
        <v>45266</v>
      </c>
      <c r="J278" s="12" t="s">
        <v>1473</v>
      </c>
    </row>
    <row r="279" spans="1:10" s="15" customFormat="1" x14ac:dyDescent="0.15">
      <c r="A279" s="11">
        <v>45268</v>
      </c>
      <c r="B279" s="12" t="s">
        <v>770</v>
      </c>
      <c r="C279" s="12" t="s">
        <v>770</v>
      </c>
      <c r="D279" s="13" t="str">
        <f>HYPERLINK("https://www.marklines.com/en/global/10357","Jianglai Advanced Manufacturing Technology (Anhui) Co., Ltd. (formerly Anhui Jianghuai Automobile Group Corp., Ltd. New Energy Passenger Vehicle Branch First Plant)")</f>
        <v>Jianglai Advanced Manufacturing Technology (Anhui) Co., Ltd. (formerly Anhui Jianghuai Automobile Group Corp., Ltd. New Energy Passenger Vehicle Branch First Plant)</v>
      </c>
      <c r="E279" s="12" t="s">
        <v>773</v>
      </c>
      <c r="F279" s="12" t="s">
        <v>20</v>
      </c>
      <c r="G279" s="12" t="s">
        <v>27</v>
      </c>
      <c r="H279" s="12" t="s">
        <v>303</v>
      </c>
      <c r="I279" s="14">
        <v>45265</v>
      </c>
      <c r="J279" s="12" t="s">
        <v>1474</v>
      </c>
    </row>
    <row r="280" spans="1:10" s="15" customFormat="1" x14ac:dyDescent="0.15">
      <c r="A280" s="11">
        <v>45268</v>
      </c>
      <c r="B280" s="12" t="s">
        <v>770</v>
      </c>
      <c r="C280" s="12" t="s">
        <v>770</v>
      </c>
      <c r="D280" s="13" t="str">
        <f>HYPERLINK("https://www.marklines.com/en/global/10444","Anhui Jianghuai Automobile Group Corp., Ltd. New Energy Passenger Vehicle Branch Second Plant")</f>
        <v>Anhui Jianghuai Automobile Group Corp., Ltd. New Energy Passenger Vehicle Branch Second Plant</v>
      </c>
      <c r="E280" s="12" t="s">
        <v>774</v>
      </c>
      <c r="F280" s="12" t="s">
        <v>20</v>
      </c>
      <c r="G280" s="12" t="s">
        <v>27</v>
      </c>
      <c r="H280" s="12" t="s">
        <v>303</v>
      </c>
      <c r="I280" s="14">
        <v>45265</v>
      </c>
      <c r="J280" s="12" t="s">
        <v>1474</v>
      </c>
    </row>
    <row r="281" spans="1:10" s="15" customFormat="1" x14ac:dyDescent="0.15">
      <c r="A281" s="11">
        <v>45268</v>
      </c>
      <c r="B281" s="12" t="s">
        <v>276</v>
      </c>
      <c r="C281" s="12" t="s">
        <v>276</v>
      </c>
      <c r="D281" s="13" t="str">
        <f>HYPERLINK("https://www.marklines.com/en/global/10357","Jianglai Advanced Manufacturing Technology (Anhui) Co., Ltd. (formerly Anhui Jianghuai Automobile Group Corp., Ltd. New Energy Passenger Vehicle Branch First Plant)")</f>
        <v>Jianglai Advanced Manufacturing Technology (Anhui) Co., Ltd. (formerly Anhui Jianghuai Automobile Group Corp., Ltd. New Energy Passenger Vehicle Branch First Plant)</v>
      </c>
      <c r="E281" s="12" t="s">
        <v>773</v>
      </c>
      <c r="F281" s="12" t="s">
        <v>20</v>
      </c>
      <c r="G281" s="12" t="s">
        <v>27</v>
      </c>
      <c r="H281" s="12" t="s">
        <v>303</v>
      </c>
      <c r="I281" s="14">
        <v>45265</v>
      </c>
      <c r="J281" s="12" t="s">
        <v>1474</v>
      </c>
    </row>
    <row r="282" spans="1:10" s="15" customFormat="1" x14ac:dyDescent="0.15">
      <c r="A282" s="11">
        <v>45268</v>
      </c>
      <c r="B282" s="12" t="s">
        <v>276</v>
      </c>
      <c r="C282" s="12" t="s">
        <v>276</v>
      </c>
      <c r="D282" s="13" t="str">
        <f>HYPERLINK("https://www.marklines.com/en/global/10444","Anhui Jianghuai Automobile Group Corp., Ltd. New Energy Passenger Vehicle Branch Second Plant")</f>
        <v>Anhui Jianghuai Automobile Group Corp., Ltd. New Energy Passenger Vehicle Branch Second Plant</v>
      </c>
      <c r="E282" s="12" t="s">
        <v>774</v>
      </c>
      <c r="F282" s="12" t="s">
        <v>20</v>
      </c>
      <c r="G282" s="12" t="s">
        <v>27</v>
      </c>
      <c r="H282" s="12" t="s">
        <v>303</v>
      </c>
      <c r="I282" s="14">
        <v>45265</v>
      </c>
      <c r="J282" s="12" t="s">
        <v>1474</v>
      </c>
    </row>
    <row r="283" spans="1:10" s="15" customFormat="1" x14ac:dyDescent="0.15">
      <c r="A283" s="11">
        <v>45268</v>
      </c>
      <c r="B283" s="12" t="s">
        <v>13</v>
      </c>
      <c r="C283" s="12" t="s">
        <v>1475</v>
      </c>
      <c r="D283" s="13" t="str">
        <f>HYPERLINK("https://www.marklines.com/en/global/9552","Aiways Automobile Co., Ltd. ")</f>
        <v xml:space="preserve">Aiways Automobile Co., Ltd. </v>
      </c>
      <c r="E283" s="12" t="s">
        <v>1476</v>
      </c>
      <c r="F283" s="12" t="s">
        <v>20</v>
      </c>
      <c r="G283" s="12" t="s">
        <v>27</v>
      </c>
      <c r="H283" s="12" t="s">
        <v>314</v>
      </c>
      <c r="I283" s="14">
        <v>45265</v>
      </c>
      <c r="J283" s="12" t="s">
        <v>1477</v>
      </c>
    </row>
    <row r="284" spans="1:10" s="15" customFormat="1" x14ac:dyDescent="0.15">
      <c r="A284" s="11">
        <v>45268</v>
      </c>
      <c r="B284" s="12" t="s">
        <v>316</v>
      </c>
      <c r="C284" s="12" t="s">
        <v>316</v>
      </c>
      <c r="D284" s="13" t="str">
        <f>HYPERLINK("https://www.marklines.com/en/global/2837","BYD Auto Camaçari (former Ford Motor Brazil, Camacari Plant)")</f>
        <v>BYD Auto Camaçari (former Ford Motor Brazil, Camacari Plant)</v>
      </c>
      <c r="E284" s="12" t="s">
        <v>424</v>
      </c>
      <c r="F284" s="12" t="s">
        <v>425</v>
      </c>
      <c r="G284" s="12" t="s">
        <v>426</v>
      </c>
      <c r="H284" s="12"/>
      <c r="I284" s="14">
        <v>45265</v>
      </c>
      <c r="J284" s="12" t="s">
        <v>1478</v>
      </c>
    </row>
    <row r="285" spans="1:10" s="15" customFormat="1" x14ac:dyDescent="0.15">
      <c r="A285" s="11">
        <v>45268</v>
      </c>
      <c r="B285" s="12" t="s">
        <v>43</v>
      </c>
      <c r="C285" s="12" t="s">
        <v>43</v>
      </c>
      <c r="D285" s="13" t="str">
        <f>HYPERLINK("https://www.marklines.com/en/global/2435","Hyundai Motor, Ulsan Plant")</f>
        <v>Hyundai Motor, Ulsan Plant</v>
      </c>
      <c r="E285" s="12" t="s">
        <v>1150</v>
      </c>
      <c r="F285" s="12" t="s">
        <v>20</v>
      </c>
      <c r="G285" s="12" t="s">
        <v>79</v>
      </c>
      <c r="H285" s="12"/>
      <c r="I285" s="14">
        <v>45264</v>
      </c>
      <c r="J285" s="12" t="s">
        <v>1479</v>
      </c>
    </row>
    <row r="286" spans="1:10" s="15" customFormat="1" x14ac:dyDescent="0.15">
      <c r="A286" s="11">
        <v>45268</v>
      </c>
      <c r="B286" s="12" t="s">
        <v>400</v>
      </c>
      <c r="C286" s="12" t="s">
        <v>400</v>
      </c>
      <c r="D286" s="13" t="str">
        <f>HYPERLINK("https://www.marklines.com/en/global/10388","Zhejiang Geely Automobile Co., Ltd. Ningbo Hangzhou Bay Second Branch")</f>
        <v>Zhejiang Geely Automobile Co., Ltd. Ningbo Hangzhou Bay Second Branch</v>
      </c>
      <c r="E286" s="12" t="s">
        <v>1480</v>
      </c>
      <c r="F286" s="12" t="s">
        <v>20</v>
      </c>
      <c r="G286" s="12" t="s">
        <v>27</v>
      </c>
      <c r="H286" s="12" t="s">
        <v>342</v>
      </c>
      <c r="I286" s="14">
        <v>45264</v>
      </c>
      <c r="J286" s="12" t="s">
        <v>1481</v>
      </c>
    </row>
    <row r="287" spans="1:10" s="15" customFormat="1" x14ac:dyDescent="0.15">
      <c r="A287" s="11">
        <v>45268</v>
      </c>
      <c r="B287" s="12" t="s">
        <v>400</v>
      </c>
      <c r="C287" s="12" t="s">
        <v>400</v>
      </c>
      <c r="D287" s="13" t="str">
        <f>HYPERLINK("https://www.marklines.com/en/global/9568","Xi'an Geely Automobile Co., Ltd.")</f>
        <v>Xi'an Geely Automobile Co., Ltd.</v>
      </c>
      <c r="E287" s="12" t="s">
        <v>1482</v>
      </c>
      <c r="F287" s="12" t="s">
        <v>20</v>
      </c>
      <c r="G287" s="12" t="s">
        <v>27</v>
      </c>
      <c r="H287" s="12" t="s">
        <v>320</v>
      </c>
      <c r="I287" s="14">
        <v>45264</v>
      </c>
      <c r="J287" s="12" t="s">
        <v>1481</v>
      </c>
    </row>
    <row r="288" spans="1:10" s="15" customFormat="1" x14ac:dyDescent="0.15">
      <c r="A288" s="11">
        <v>45268</v>
      </c>
      <c r="B288" s="12" t="s">
        <v>276</v>
      </c>
      <c r="C288" s="12" t="s">
        <v>276</v>
      </c>
      <c r="D288" s="13" t="str">
        <f>HYPERLINK("https://www.marklines.com/en/global/10357","Jianglai Advanced Manufacturing Technology (Anhui) Co., Ltd. (formerly Anhui Jianghuai Automobile Group Corp., Ltd. New Energy Passenger Vehicle Branch First Plant)")</f>
        <v>Jianglai Advanced Manufacturing Technology (Anhui) Co., Ltd. (formerly Anhui Jianghuai Automobile Group Corp., Ltd. New Energy Passenger Vehicle Branch First Plant)</v>
      </c>
      <c r="E288" s="12" t="s">
        <v>773</v>
      </c>
      <c r="F288" s="12" t="s">
        <v>20</v>
      </c>
      <c r="G288" s="12" t="s">
        <v>27</v>
      </c>
      <c r="H288" s="12" t="s">
        <v>303</v>
      </c>
      <c r="I288" s="14">
        <v>45264</v>
      </c>
      <c r="J288" s="12" t="s">
        <v>1483</v>
      </c>
    </row>
    <row r="289" spans="1:10" s="15" customFormat="1" x14ac:dyDescent="0.15">
      <c r="A289" s="11">
        <v>45268</v>
      </c>
      <c r="B289" s="12" t="s">
        <v>276</v>
      </c>
      <c r="C289" s="12" t="s">
        <v>276</v>
      </c>
      <c r="D289" s="13" t="str">
        <f>HYPERLINK("https://www.marklines.com/en/global/10444","Anhui Jianghuai Automobile Group Corp., Ltd. New Energy Passenger Vehicle Branch Second Plant")</f>
        <v>Anhui Jianghuai Automobile Group Corp., Ltd. New Energy Passenger Vehicle Branch Second Plant</v>
      </c>
      <c r="E289" s="12" t="s">
        <v>774</v>
      </c>
      <c r="F289" s="12" t="s">
        <v>20</v>
      </c>
      <c r="G289" s="12" t="s">
        <v>27</v>
      </c>
      <c r="H289" s="12" t="s">
        <v>303</v>
      </c>
      <c r="I289" s="14">
        <v>45264</v>
      </c>
      <c r="J289" s="12" t="s">
        <v>1483</v>
      </c>
    </row>
    <row r="290" spans="1:10" s="15" customFormat="1" x14ac:dyDescent="0.15">
      <c r="A290" s="11">
        <v>45268</v>
      </c>
      <c r="B290" s="12" t="s">
        <v>33</v>
      </c>
      <c r="C290" s="12" t="s">
        <v>44</v>
      </c>
      <c r="D290" s="13" t="str">
        <f>HYPERLINK("https://www.marklines.com/en/global/4119","FAW-Volkswagen Automotive Co., Ltd. Foshan Branch")</f>
        <v>FAW-Volkswagen Automotive Co., Ltd. Foshan Branch</v>
      </c>
      <c r="E290" s="12" t="s">
        <v>1031</v>
      </c>
      <c r="F290" s="12" t="s">
        <v>20</v>
      </c>
      <c r="G290" s="12" t="s">
        <v>27</v>
      </c>
      <c r="H290" s="12" t="s">
        <v>357</v>
      </c>
      <c r="I290" s="14">
        <v>45261</v>
      </c>
      <c r="J290" s="12" t="s">
        <v>1484</v>
      </c>
    </row>
    <row r="291" spans="1:10" s="15" customFormat="1" x14ac:dyDescent="0.15">
      <c r="A291" s="11">
        <v>45268</v>
      </c>
      <c r="B291" s="12" t="s">
        <v>1060</v>
      </c>
      <c r="C291" s="12" t="s">
        <v>1060</v>
      </c>
      <c r="D291" s="13" t="str">
        <f>HYPERLINK("https://www.marklines.com/en/global/9889","Beijing CHJ Information Technology Co., Ltd.")</f>
        <v>Beijing CHJ Information Technology Co., Ltd.</v>
      </c>
      <c r="E291" s="12" t="s">
        <v>1061</v>
      </c>
      <c r="F291" s="12" t="s">
        <v>20</v>
      </c>
      <c r="G291" s="12" t="s">
        <v>27</v>
      </c>
      <c r="H291" s="12" t="s">
        <v>456</v>
      </c>
      <c r="I291" s="14">
        <v>45260</v>
      </c>
      <c r="J291" s="12" t="s">
        <v>1485</v>
      </c>
    </row>
    <row r="292" spans="1:10" s="15" customFormat="1" x14ac:dyDescent="0.15">
      <c r="A292" s="11">
        <v>45268</v>
      </c>
      <c r="B292" s="12" t="s">
        <v>316</v>
      </c>
      <c r="C292" s="12" t="s">
        <v>316</v>
      </c>
      <c r="D292" s="13" t="str">
        <f>HYPERLINK("https://www.marklines.com/en/global/9500","BYD Co., Ltd.")</f>
        <v>BYD Co., Ltd.</v>
      </c>
      <c r="E292" s="12" t="s">
        <v>1486</v>
      </c>
      <c r="F292" s="12" t="s">
        <v>20</v>
      </c>
      <c r="G292" s="12" t="s">
        <v>27</v>
      </c>
      <c r="H292" s="12" t="s">
        <v>357</v>
      </c>
      <c r="I292" s="14">
        <v>45249</v>
      </c>
      <c r="J292" s="12" t="s">
        <v>1487</v>
      </c>
    </row>
    <row r="293" spans="1:10" s="15" customFormat="1" x14ac:dyDescent="0.15">
      <c r="A293" s="11">
        <v>45267</v>
      </c>
      <c r="B293" s="12" t="s">
        <v>45</v>
      </c>
      <c r="C293" s="12" t="s">
        <v>49</v>
      </c>
      <c r="D293" s="13" t="str">
        <f>HYPERLINK("https://www.marklines.com/en/global/2953","Nordex S.A., Montevideo Plant")</f>
        <v>Nordex S.A., Montevideo Plant</v>
      </c>
      <c r="E293" s="12" t="s">
        <v>1488</v>
      </c>
      <c r="F293" s="12" t="s">
        <v>425</v>
      </c>
      <c r="G293" s="12" t="s">
        <v>1489</v>
      </c>
      <c r="H293" s="12"/>
      <c r="I293" s="14">
        <v>45266</v>
      </c>
      <c r="J293" s="12" t="s">
        <v>1490</v>
      </c>
    </row>
    <row r="294" spans="1:10" s="15" customFormat="1" x14ac:dyDescent="0.15">
      <c r="A294" s="11">
        <v>45267</v>
      </c>
      <c r="B294" s="12" t="s">
        <v>243</v>
      </c>
      <c r="C294" s="12" t="s">
        <v>243</v>
      </c>
      <c r="D294" s="13" t="str">
        <f>HYPERLINK("https://www.marklines.com/en/global/171","Renault S.A., Flins Plant - Refactory")</f>
        <v>Renault S.A., Flins Plant - Refactory</v>
      </c>
      <c r="E294" s="12" t="s">
        <v>1491</v>
      </c>
      <c r="F294" s="12" t="s">
        <v>17</v>
      </c>
      <c r="G294" s="12" t="s">
        <v>32</v>
      </c>
      <c r="H294" s="12"/>
      <c r="I294" s="14">
        <v>45265</v>
      </c>
      <c r="J294" s="12" t="s">
        <v>1492</v>
      </c>
    </row>
    <row r="295" spans="1:10" s="15" customFormat="1" x14ac:dyDescent="0.15">
      <c r="A295" s="11">
        <v>45267</v>
      </c>
      <c r="B295" s="12" t="s">
        <v>33</v>
      </c>
      <c r="C295" s="12" t="s">
        <v>1493</v>
      </c>
      <c r="D295" s="13" t="str">
        <f>HYPERLINK("https://www.marklines.com/en/global/1357","Automobili Lamborghini S.p.A., Sant'Agata Bolognese Plant")</f>
        <v>Automobili Lamborghini S.p.A., Sant'Agata Bolognese Plant</v>
      </c>
      <c r="E295" s="12" t="s">
        <v>1494</v>
      </c>
      <c r="F295" s="12" t="s">
        <v>17</v>
      </c>
      <c r="G295" s="12" t="s">
        <v>46</v>
      </c>
      <c r="H295" s="12"/>
      <c r="I295" s="14">
        <v>45265</v>
      </c>
      <c r="J295" s="12" t="s">
        <v>1495</v>
      </c>
    </row>
    <row r="296" spans="1:10" s="15" customFormat="1" x14ac:dyDescent="0.15">
      <c r="A296" s="11">
        <v>45267</v>
      </c>
      <c r="B296" s="12" t="s">
        <v>28</v>
      </c>
      <c r="C296" s="12" t="s">
        <v>96</v>
      </c>
      <c r="D296" s="13" t="str">
        <f>HYPERLINK("https://www.marklines.com/en/global/2243","Daimler Truck AG, Wörth Plant")</f>
        <v>Daimler Truck AG, Wörth Plant</v>
      </c>
      <c r="E296" s="12" t="s">
        <v>97</v>
      </c>
      <c r="F296" s="12" t="s">
        <v>17</v>
      </c>
      <c r="G296" s="12" t="s">
        <v>21</v>
      </c>
      <c r="H296" s="12"/>
      <c r="I296" s="14">
        <v>45265</v>
      </c>
      <c r="J296" s="12" t="s">
        <v>1496</v>
      </c>
    </row>
    <row r="297" spans="1:10" s="15" customFormat="1" x14ac:dyDescent="0.15">
      <c r="A297" s="11">
        <v>45267</v>
      </c>
      <c r="B297" s="12" t="s">
        <v>22</v>
      </c>
      <c r="C297" s="12" t="s">
        <v>22</v>
      </c>
      <c r="D297" s="13" t="str">
        <f>HYPERLINK("https://www.marklines.com/en/global/3493","FAW Toyota Motor Co., Ltd. (formerly Tianjin FAW Toyota Motor Co., Ltd.)")</f>
        <v>FAW Toyota Motor Co., Ltd. (formerly Tianjin FAW Toyota Motor Co., Ltd.)</v>
      </c>
      <c r="E297" s="12" t="s">
        <v>1176</v>
      </c>
      <c r="F297" s="12" t="s">
        <v>20</v>
      </c>
      <c r="G297" s="12" t="s">
        <v>27</v>
      </c>
      <c r="H297" s="12" t="s">
        <v>1177</v>
      </c>
      <c r="I297" s="14">
        <v>45265</v>
      </c>
      <c r="J297" s="12" t="s">
        <v>1497</v>
      </c>
    </row>
    <row r="298" spans="1:10" s="15" customFormat="1" x14ac:dyDescent="0.15">
      <c r="A298" s="11">
        <v>45267</v>
      </c>
      <c r="B298" s="12" t="s">
        <v>22</v>
      </c>
      <c r="C298" s="12" t="s">
        <v>22</v>
      </c>
      <c r="D298" s="13" t="str">
        <f>HYPERLINK("https://www.marklines.com/en/global/3497","FAW Toyota Motor Co., Ltd. Teda Plant (formerly Tianjin FAW Toyota Motor Co., Ltd. Teda Plant)")</f>
        <v>FAW Toyota Motor Co., Ltd. Teda Plant (formerly Tianjin FAW Toyota Motor Co., Ltd. Teda Plant)</v>
      </c>
      <c r="E298" s="12" t="s">
        <v>1498</v>
      </c>
      <c r="F298" s="12" t="s">
        <v>20</v>
      </c>
      <c r="G298" s="12" t="s">
        <v>27</v>
      </c>
      <c r="H298" s="12" t="s">
        <v>1177</v>
      </c>
      <c r="I298" s="14">
        <v>45265</v>
      </c>
      <c r="J298" s="12" t="s">
        <v>1497</v>
      </c>
    </row>
    <row r="299" spans="1:10" s="15" customFormat="1" x14ac:dyDescent="0.15">
      <c r="A299" s="11">
        <v>45267</v>
      </c>
      <c r="B299" s="12" t="s">
        <v>37</v>
      </c>
      <c r="C299" s="12" t="s">
        <v>37</v>
      </c>
      <c r="D299" s="13" t="str">
        <f>HYPERLINK("https://www.marklines.com/en/global/3153","Rivian, Normal Plant (former Mitsubishi Motors North America, Normal Plant)")</f>
        <v>Rivian, Normal Plant (former Mitsubishi Motors North America, Normal Plant)</v>
      </c>
      <c r="E299" s="12" t="s">
        <v>38</v>
      </c>
      <c r="F299" s="12" t="s">
        <v>16</v>
      </c>
      <c r="G299" s="12" t="s">
        <v>11</v>
      </c>
      <c r="H299" s="12" t="s">
        <v>39</v>
      </c>
      <c r="I299" s="14">
        <v>45264</v>
      </c>
      <c r="J299" s="12" t="s">
        <v>1499</v>
      </c>
    </row>
    <row r="300" spans="1:10" s="15" customFormat="1" x14ac:dyDescent="0.15">
      <c r="A300" s="11">
        <v>45267</v>
      </c>
      <c r="B300" s="12" t="s">
        <v>15</v>
      </c>
      <c r="C300" s="12" t="s">
        <v>15</v>
      </c>
      <c r="D300" s="13" t="str">
        <f>HYPERLINK("https://www.marklines.com/en/global/4079","GAC Honda Automobile Co., Ltd.")</f>
        <v>GAC Honda Automobile Co., Ltd.</v>
      </c>
      <c r="E300" s="12" t="s">
        <v>1286</v>
      </c>
      <c r="F300" s="12" t="s">
        <v>20</v>
      </c>
      <c r="G300" s="12" t="s">
        <v>27</v>
      </c>
      <c r="H300" s="12" t="s">
        <v>357</v>
      </c>
      <c r="I300" s="14">
        <v>45261</v>
      </c>
      <c r="J300" s="12" t="s">
        <v>1500</v>
      </c>
    </row>
    <row r="301" spans="1:10" s="15" customFormat="1" x14ac:dyDescent="0.15">
      <c r="A301" s="11">
        <v>45267</v>
      </c>
      <c r="B301" s="12" t="s">
        <v>300</v>
      </c>
      <c r="C301" s="12" t="s">
        <v>300</v>
      </c>
      <c r="D301" s="13" t="str">
        <f>HYPERLINK("https://www.marklines.com/en/global/2427","KG Mobility Co., Ltd. (formerly Ssangyong Motor Company)")</f>
        <v>KG Mobility Co., Ltd. (formerly Ssangyong Motor Company)</v>
      </c>
      <c r="E301" s="12" t="s">
        <v>1501</v>
      </c>
      <c r="F301" s="12" t="s">
        <v>20</v>
      </c>
      <c r="G301" s="12" t="s">
        <v>79</v>
      </c>
      <c r="H301" s="12"/>
      <c r="I301" s="14">
        <v>45260</v>
      </c>
      <c r="J301" s="12" t="s">
        <v>1502</v>
      </c>
    </row>
    <row r="302" spans="1:10" s="15" customFormat="1" x14ac:dyDescent="0.15">
      <c r="A302" s="11">
        <v>45267</v>
      </c>
      <c r="B302" s="12" t="s">
        <v>344</v>
      </c>
      <c r="C302" s="12" t="s">
        <v>345</v>
      </c>
      <c r="D302" s="13" t="str">
        <f>HYPERLINK("https://www.marklines.com/en/global/9476","Bangchan General Assembly Co., Ltd. (BGAC), Bangkok Plant")</f>
        <v>Bangchan General Assembly Co., Ltd. (BGAC), Bangkok Plant</v>
      </c>
      <c r="E302" s="12" t="s">
        <v>1503</v>
      </c>
      <c r="F302" s="12" t="s">
        <v>34</v>
      </c>
      <c r="G302" s="12" t="s">
        <v>71</v>
      </c>
      <c r="H302" s="12" t="s">
        <v>1504</v>
      </c>
      <c r="I302" s="14">
        <v>45260</v>
      </c>
      <c r="J302" s="12" t="s">
        <v>1505</v>
      </c>
    </row>
    <row r="303" spans="1:10" s="15" customFormat="1" x14ac:dyDescent="0.15">
      <c r="A303" s="11">
        <v>45266</v>
      </c>
      <c r="B303" s="12" t="s">
        <v>45</v>
      </c>
      <c r="C303" s="12" t="s">
        <v>515</v>
      </c>
      <c r="D303" s="13" t="str">
        <f>HYPERLINK("https://www.marklines.com/en/global/1935","Stellantis, Peugeot Citroen Automoviles Espana S.A., Villaverde (Madrid) Plant")</f>
        <v>Stellantis, Peugeot Citroen Automoviles Espana S.A., Villaverde (Madrid) Plant</v>
      </c>
      <c r="E303" s="12" t="s">
        <v>286</v>
      </c>
      <c r="F303" s="12" t="s">
        <v>17</v>
      </c>
      <c r="G303" s="12" t="s">
        <v>62</v>
      </c>
      <c r="H303" s="12"/>
      <c r="I303" s="14">
        <v>45265</v>
      </c>
      <c r="J303" s="12" t="s">
        <v>1506</v>
      </c>
    </row>
    <row r="304" spans="1:10" s="15" customFormat="1" x14ac:dyDescent="0.15">
      <c r="A304" s="11">
        <v>45266</v>
      </c>
      <c r="B304" s="12" t="s">
        <v>243</v>
      </c>
      <c r="C304" s="12" t="s">
        <v>243</v>
      </c>
      <c r="D304" s="13" t="str">
        <f>HYPERLINK("https://www.marklines.com/en/global/2907","Renault do Brasil S.A., Curitiba/Sao Jose dos Pinhais Plant")</f>
        <v>Renault do Brasil S.A., Curitiba/Sao Jose dos Pinhais Plant</v>
      </c>
      <c r="E304" s="12" t="s">
        <v>643</v>
      </c>
      <c r="F304" s="12" t="s">
        <v>425</v>
      </c>
      <c r="G304" s="12" t="s">
        <v>426</v>
      </c>
      <c r="H304" s="12"/>
      <c r="I304" s="14">
        <v>45265</v>
      </c>
      <c r="J304" s="12" t="s">
        <v>1507</v>
      </c>
    </row>
    <row r="305" spans="1:10" s="15" customFormat="1" x14ac:dyDescent="0.15">
      <c r="A305" s="11">
        <v>45266</v>
      </c>
      <c r="B305" s="12" t="s">
        <v>28</v>
      </c>
      <c r="C305" s="12" t="s">
        <v>96</v>
      </c>
      <c r="D305" s="13" t="str">
        <f>HYPERLINK("https://www.marklines.com/en/global/2243","Daimler Truck AG, Wörth Plant")</f>
        <v>Daimler Truck AG, Wörth Plant</v>
      </c>
      <c r="E305" s="12" t="s">
        <v>97</v>
      </c>
      <c r="F305" s="12" t="s">
        <v>17</v>
      </c>
      <c r="G305" s="12" t="s">
        <v>21</v>
      </c>
      <c r="H305" s="12"/>
      <c r="I305" s="14">
        <v>45265</v>
      </c>
      <c r="J305" s="12" t="s">
        <v>1508</v>
      </c>
    </row>
    <row r="306" spans="1:10" s="15" customFormat="1" x14ac:dyDescent="0.15">
      <c r="A306" s="11">
        <v>45266</v>
      </c>
      <c r="B306" s="12" t="s">
        <v>531</v>
      </c>
      <c r="C306" s="12" t="s">
        <v>531</v>
      </c>
      <c r="D306" s="13" t="str">
        <f>HYPERLINK("https://www.marklines.com/en/global/9873","Lucid Motors (Lucid Group, Inc.), Casa Grande plant (AMP-1)")</f>
        <v>Lucid Motors (Lucid Group, Inc.), Casa Grande plant (AMP-1)</v>
      </c>
      <c r="E306" s="12" t="s">
        <v>532</v>
      </c>
      <c r="F306" s="12" t="s">
        <v>16</v>
      </c>
      <c r="G306" s="12" t="s">
        <v>11</v>
      </c>
      <c r="H306" s="12" t="s">
        <v>533</v>
      </c>
      <c r="I306" s="14">
        <v>45265</v>
      </c>
      <c r="J306" s="12" t="s">
        <v>1509</v>
      </c>
    </row>
    <row r="307" spans="1:10" s="15" customFormat="1" x14ac:dyDescent="0.15">
      <c r="A307" s="11">
        <v>45266</v>
      </c>
      <c r="B307" s="12" t="s">
        <v>45</v>
      </c>
      <c r="C307" s="12" t="s">
        <v>45</v>
      </c>
      <c r="D307" s="13" t="str">
        <f>HYPERLINK("https://www.marklines.com/en/global/1343","Stellantis, Fiat Powertrain Technologies, Termoli Plant / Automotive Cell Company (ACC), Termoli Plant")</f>
        <v>Stellantis, Fiat Powertrain Technologies, Termoli Plant / Automotive Cell Company (ACC), Termoli Plant</v>
      </c>
      <c r="E307" s="12" t="s">
        <v>222</v>
      </c>
      <c r="F307" s="12" t="s">
        <v>17</v>
      </c>
      <c r="G307" s="12" t="s">
        <v>46</v>
      </c>
      <c r="H307" s="12"/>
      <c r="I307" s="14">
        <v>45264</v>
      </c>
      <c r="J307" s="12" t="s">
        <v>1510</v>
      </c>
    </row>
    <row r="308" spans="1:10" s="15" customFormat="1" x14ac:dyDescent="0.15">
      <c r="A308" s="11">
        <v>45266</v>
      </c>
      <c r="B308" s="12" t="s">
        <v>35</v>
      </c>
      <c r="C308" s="12" t="s">
        <v>35</v>
      </c>
      <c r="D308" s="13" t="str">
        <f>HYPERLINK("https://www.marklines.com/en/global/1256","Suzuki Motor Gujarat Private Limited (SMG), Hansalpur plant")</f>
        <v>Suzuki Motor Gujarat Private Limited (SMG), Hansalpur plant</v>
      </c>
      <c r="E308" s="12" t="s">
        <v>469</v>
      </c>
      <c r="F308" s="12" t="s">
        <v>25</v>
      </c>
      <c r="G308" s="12" t="s">
        <v>26</v>
      </c>
      <c r="H308" s="12" t="s">
        <v>470</v>
      </c>
      <c r="I308" s="14">
        <v>45264</v>
      </c>
      <c r="J308" s="12" t="s">
        <v>1511</v>
      </c>
    </row>
    <row r="309" spans="1:10" s="15" customFormat="1" x14ac:dyDescent="0.15">
      <c r="A309" s="11">
        <v>45266</v>
      </c>
      <c r="B309" s="12" t="s">
        <v>56</v>
      </c>
      <c r="C309" s="12" t="s">
        <v>56</v>
      </c>
      <c r="D309" s="13" t="str">
        <f>HYPERLINK("https://www.marklines.com/en/global/893","Nissan Mexico, Aguascalientes Plant 1")</f>
        <v>Nissan Mexico, Aguascalientes Plant 1</v>
      </c>
      <c r="E309" s="12" t="s">
        <v>273</v>
      </c>
      <c r="F309" s="12" t="s">
        <v>16</v>
      </c>
      <c r="G309" s="12" t="s">
        <v>91</v>
      </c>
      <c r="H309" s="12"/>
      <c r="I309" s="14">
        <v>45264</v>
      </c>
      <c r="J309" s="12" t="s">
        <v>1512</v>
      </c>
    </row>
    <row r="310" spans="1:10" s="15" customFormat="1" x14ac:dyDescent="0.15">
      <c r="A310" s="11">
        <v>45266</v>
      </c>
      <c r="B310" s="12" t="s">
        <v>437</v>
      </c>
      <c r="C310" s="12" t="s">
        <v>540</v>
      </c>
      <c r="D310" s="13" t="str">
        <f>HYPERLINK("https://www.marklines.com/en/global/297","PT Handal Indonesia Motor (HIM), Bekasi plant (formerly PT. Hyundai Indonesia Motor)")</f>
        <v>PT Handal Indonesia Motor (HIM), Bekasi plant (formerly PT. Hyundai Indonesia Motor)</v>
      </c>
      <c r="E310" s="12" t="s">
        <v>1513</v>
      </c>
      <c r="F310" s="12" t="s">
        <v>34</v>
      </c>
      <c r="G310" s="12" t="s">
        <v>87</v>
      </c>
      <c r="H310" s="12"/>
      <c r="I310" s="14">
        <v>45263</v>
      </c>
      <c r="J310" s="12" t="s">
        <v>1514</v>
      </c>
    </row>
    <row r="311" spans="1:10" s="15" customFormat="1" x14ac:dyDescent="0.15">
      <c r="A311" s="11">
        <v>45266</v>
      </c>
      <c r="B311" s="12" t="s">
        <v>770</v>
      </c>
      <c r="C311" s="12" t="s">
        <v>770</v>
      </c>
      <c r="D311" s="13" t="str">
        <f>HYPERLINK("https://www.marklines.com/en/global/3865","Anhui Jianghuai Automobile Group Corp., Ltd. (JAC)")</f>
        <v>Anhui Jianghuai Automobile Group Corp., Ltd. (JAC)</v>
      </c>
      <c r="E311" s="12" t="s">
        <v>771</v>
      </c>
      <c r="F311" s="12" t="s">
        <v>20</v>
      </c>
      <c r="G311" s="12" t="s">
        <v>27</v>
      </c>
      <c r="H311" s="12" t="s">
        <v>303</v>
      </c>
      <c r="I311" s="14">
        <v>45262</v>
      </c>
      <c r="J311" s="12" t="s">
        <v>1515</v>
      </c>
    </row>
    <row r="312" spans="1:10" s="15" customFormat="1" x14ac:dyDescent="0.15">
      <c r="A312" s="11">
        <v>45266</v>
      </c>
      <c r="B312" s="12" t="s">
        <v>22</v>
      </c>
      <c r="C312" s="12" t="s">
        <v>22</v>
      </c>
      <c r="D312" s="13" t="str">
        <f>HYPERLINK("https://www.marklines.com/en/global/409","Toyota Auto Body, Fujimatsu Plant")</f>
        <v>Toyota Auto Body, Fujimatsu Plant</v>
      </c>
      <c r="E312" s="12" t="s">
        <v>661</v>
      </c>
      <c r="F312" s="12" t="s">
        <v>20</v>
      </c>
      <c r="G312" s="12" t="s">
        <v>23</v>
      </c>
      <c r="H312" s="12" t="s">
        <v>61</v>
      </c>
      <c r="I312" s="14">
        <v>45261</v>
      </c>
      <c r="J312" s="12" t="s">
        <v>1516</v>
      </c>
    </row>
    <row r="313" spans="1:10" s="15" customFormat="1" x14ac:dyDescent="0.15">
      <c r="A313" s="11">
        <v>45266</v>
      </c>
      <c r="B313" s="12" t="s">
        <v>400</v>
      </c>
      <c r="C313" s="12" t="s">
        <v>416</v>
      </c>
      <c r="D313" s="13" t="str">
        <f>HYPERLINK("https://www.marklines.com/en/global/9345","Geely Sichuan Commercial Vehicle Co., Ltd.")</f>
        <v>Geely Sichuan Commercial Vehicle Co., Ltd.</v>
      </c>
      <c r="E313" s="12" t="s">
        <v>493</v>
      </c>
      <c r="F313" s="12" t="s">
        <v>20</v>
      </c>
      <c r="G313" s="12" t="s">
        <v>27</v>
      </c>
      <c r="H313" s="12" t="s">
        <v>429</v>
      </c>
      <c r="I313" s="14">
        <v>45261</v>
      </c>
      <c r="J313" s="12" t="s">
        <v>1517</v>
      </c>
    </row>
    <row r="314" spans="1:10" s="15" customFormat="1" x14ac:dyDescent="0.15">
      <c r="A314" s="11">
        <v>45266</v>
      </c>
      <c r="B314" s="12" t="s">
        <v>321</v>
      </c>
      <c r="C314" s="12" t="s">
        <v>322</v>
      </c>
      <c r="D314" s="13" t="str">
        <f>HYPERLINK("https://www.marklines.com/en/global/9126","BAIC Bluepark Magna Automobile Co., Ltd.  (formerly BAIC (Zhenjiang) Automobile Co., Ltd.)")</f>
        <v>BAIC Bluepark Magna Automobile Co., Ltd.  (formerly BAIC (Zhenjiang) Automobile Co., Ltd.)</v>
      </c>
      <c r="E314" s="12" t="s">
        <v>323</v>
      </c>
      <c r="F314" s="12" t="s">
        <v>20</v>
      </c>
      <c r="G314" s="12" t="s">
        <v>27</v>
      </c>
      <c r="H314" s="12" t="s">
        <v>278</v>
      </c>
      <c r="I314" s="14">
        <v>45261</v>
      </c>
      <c r="J314" s="12" t="s">
        <v>1518</v>
      </c>
    </row>
    <row r="315" spans="1:10" s="15" customFormat="1" x14ac:dyDescent="0.15">
      <c r="A315" s="11">
        <v>45266</v>
      </c>
      <c r="B315" s="12" t="s">
        <v>12</v>
      </c>
      <c r="C315" s="12" t="s">
        <v>19</v>
      </c>
      <c r="D315" s="13" t="str">
        <f>HYPERLINK("https://www.marklines.com/en/global/2847","General Motors Brazil, Sao Jose dos Campos Plant")</f>
        <v>General Motors Brazil, Sao Jose dos Campos Plant</v>
      </c>
      <c r="E315" s="12" t="s">
        <v>740</v>
      </c>
      <c r="F315" s="12" t="s">
        <v>425</v>
      </c>
      <c r="G315" s="12" t="s">
        <v>426</v>
      </c>
      <c r="H315" s="12"/>
      <c r="I315" s="14">
        <v>45261</v>
      </c>
      <c r="J315" s="12" t="s">
        <v>1519</v>
      </c>
    </row>
    <row r="316" spans="1:10" s="15" customFormat="1" x14ac:dyDescent="0.15">
      <c r="A316" s="11">
        <v>45266</v>
      </c>
      <c r="B316" s="12" t="s">
        <v>33</v>
      </c>
      <c r="C316" s="12" t="s">
        <v>332</v>
      </c>
      <c r="D316" s="13" t="str">
        <f>HYPERLINK("https://www.marklines.com/en/global/10365","Northvolt Ett, Skellefteå Gigafactory")</f>
        <v>Northvolt Ett, Skellefteå Gigafactory</v>
      </c>
      <c r="E316" s="12" t="s">
        <v>511</v>
      </c>
      <c r="F316" s="12" t="s">
        <v>17</v>
      </c>
      <c r="G316" s="12" t="s">
        <v>50</v>
      </c>
      <c r="H316" s="12"/>
      <c r="I316" s="14">
        <v>45260</v>
      </c>
      <c r="J316" s="12" t="s">
        <v>1520</v>
      </c>
    </row>
    <row r="317" spans="1:10" s="15" customFormat="1" x14ac:dyDescent="0.15">
      <c r="A317" s="11">
        <v>45266</v>
      </c>
      <c r="B317" s="12" t="s">
        <v>22</v>
      </c>
      <c r="C317" s="12" t="s">
        <v>673</v>
      </c>
      <c r="D317" s="13" t="str">
        <f>HYPERLINK("https://www.marklines.com/en/global/373","Toyota Motor, Motomachi Plant")</f>
        <v>Toyota Motor, Motomachi Plant</v>
      </c>
      <c r="E317" s="12" t="s">
        <v>566</v>
      </c>
      <c r="F317" s="12" t="s">
        <v>20</v>
      </c>
      <c r="G317" s="12" t="s">
        <v>23</v>
      </c>
      <c r="H317" s="12" t="s">
        <v>61</v>
      </c>
      <c r="I317" s="14">
        <v>45260</v>
      </c>
      <c r="J317" s="12" t="s">
        <v>1521</v>
      </c>
    </row>
    <row r="318" spans="1:10" s="15" customFormat="1" x14ac:dyDescent="0.15">
      <c r="A318" s="11">
        <v>45266</v>
      </c>
      <c r="B318" s="12" t="s">
        <v>22</v>
      </c>
      <c r="C318" s="12" t="s">
        <v>22</v>
      </c>
      <c r="D318" s="13" t="str">
        <f>HYPERLINK("https://www.marklines.com/en/global/409","Toyota Auto Body, Fujimatsu Plant")</f>
        <v>Toyota Auto Body, Fujimatsu Plant</v>
      </c>
      <c r="E318" s="12" t="s">
        <v>661</v>
      </c>
      <c r="F318" s="12" t="s">
        <v>20</v>
      </c>
      <c r="G318" s="12" t="s">
        <v>23</v>
      </c>
      <c r="H318" s="12" t="s">
        <v>61</v>
      </c>
      <c r="I318" s="14">
        <v>45260</v>
      </c>
      <c r="J318" s="12" t="s">
        <v>1522</v>
      </c>
    </row>
    <row r="319" spans="1:10" s="15" customFormat="1" x14ac:dyDescent="0.15">
      <c r="A319" s="11">
        <v>45266</v>
      </c>
      <c r="B319" s="12" t="s">
        <v>400</v>
      </c>
      <c r="C319" s="12" t="s">
        <v>400</v>
      </c>
      <c r="D319" s="13" t="str">
        <f>HYPERLINK("https://www.marklines.com/en/global/3807","Zhejiang Geely Holding Group Co., Ltd.")</f>
        <v>Zhejiang Geely Holding Group Co., Ltd.</v>
      </c>
      <c r="E319" s="12" t="s">
        <v>401</v>
      </c>
      <c r="F319" s="12" t="s">
        <v>20</v>
      </c>
      <c r="G319" s="12" t="s">
        <v>27</v>
      </c>
      <c r="H319" s="12" t="s">
        <v>342</v>
      </c>
      <c r="I319" s="14">
        <v>45260</v>
      </c>
      <c r="J319" s="12" t="s">
        <v>1523</v>
      </c>
    </row>
    <row r="320" spans="1:10" s="15" customFormat="1" x14ac:dyDescent="0.15">
      <c r="A320" s="11">
        <v>45266</v>
      </c>
      <c r="B320" s="12" t="s">
        <v>104</v>
      </c>
      <c r="C320" s="12" t="s">
        <v>104</v>
      </c>
      <c r="D320" s="13" t="str">
        <f>HYPERLINK("https://www.marklines.com/en/global/553","Isuzu Motors, Fujisawa Plant")</f>
        <v>Isuzu Motors, Fujisawa Plant</v>
      </c>
      <c r="E320" s="12" t="s">
        <v>134</v>
      </c>
      <c r="F320" s="12" t="s">
        <v>20</v>
      </c>
      <c r="G320" s="12" t="s">
        <v>23</v>
      </c>
      <c r="H320" s="12" t="s">
        <v>64</v>
      </c>
      <c r="I320" s="14">
        <v>45259</v>
      </c>
      <c r="J320" s="12" t="s">
        <v>1524</v>
      </c>
    </row>
    <row r="321" spans="1:10" s="15" customFormat="1" x14ac:dyDescent="0.15">
      <c r="A321" s="11">
        <v>45266</v>
      </c>
      <c r="B321" s="12" t="s">
        <v>22</v>
      </c>
      <c r="C321" s="12" t="s">
        <v>22</v>
      </c>
      <c r="D321" s="13" t="str">
        <f>HYPERLINK("https://www.marklines.com/en/global/411","Toyota Auto Body, Yoshiwara Plant")</f>
        <v>Toyota Auto Body, Yoshiwara Plant</v>
      </c>
      <c r="E321" s="12" t="s">
        <v>662</v>
      </c>
      <c r="F321" s="12" t="s">
        <v>20</v>
      </c>
      <c r="G321" s="12" t="s">
        <v>23</v>
      </c>
      <c r="H321" s="12" t="s">
        <v>61</v>
      </c>
      <c r="I321" s="14">
        <v>45259</v>
      </c>
      <c r="J321" s="12" t="s">
        <v>1525</v>
      </c>
    </row>
    <row r="322" spans="1:10" s="15" customFormat="1" x14ac:dyDescent="0.15">
      <c r="A322" s="11">
        <v>45266</v>
      </c>
      <c r="B322" s="12" t="s">
        <v>408</v>
      </c>
      <c r="C322" s="12" t="s">
        <v>409</v>
      </c>
      <c r="D322" s="13" t="str">
        <f>HYPERLINK("https://www.marklines.com/en/global/9045","SAIC Motor - CP Co., Ltd., Chonburi Plant")</f>
        <v>SAIC Motor - CP Co., Ltd., Chonburi Plant</v>
      </c>
      <c r="E322" s="12" t="s">
        <v>909</v>
      </c>
      <c r="F322" s="12" t="s">
        <v>34</v>
      </c>
      <c r="G322" s="12" t="s">
        <v>71</v>
      </c>
      <c r="H322" s="12" t="s">
        <v>72</v>
      </c>
      <c r="I322" s="14">
        <v>45259</v>
      </c>
      <c r="J322" s="12" t="s">
        <v>1526</v>
      </c>
    </row>
    <row r="323" spans="1:10" s="15" customFormat="1" x14ac:dyDescent="0.15">
      <c r="A323" s="11">
        <v>45266</v>
      </c>
      <c r="B323" s="12" t="s">
        <v>421</v>
      </c>
      <c r="C323" s="12" t="s">
        <v>421</v>
      </c>
      <c r="D323" s="13" t="str">
        <f>HYPERLINK("https://www.marklines.com/en/global/3333","China FAW Group Co., Ltd.  (Formerly China FAW Group Corporation)")</f>
        <v>China FAW Group Co., Ltd.  (Formerly China FAW Group Corporation)</v>
      </c>
      <c r="E323" s="12" t="s">
        <v>1527</v>
      </c>
      <c r="F323" s="12" t="s">
        <v>20</v>
      </c>
      <c r="G323" s="12" t="s">
        <v>27</v>
      </c>
      <c r="H323" s="12" t="s">
        <v>414</v>
      </c>
      <c r="I323" s="14">
        <v>45259</v>
      </c>
      <c r="J323" s="12" t="s">
        <v>1528</v>
      </c>
    </row>
    <row r="324" spans="1:10" s="15" customFormat="1" x14ac:dyDescent="0.15">
      <c r="A324" s="11">
        <v>45266</v>
      </c>
      <c r="B324" s="12" t="s">
        <v>1179</v>
      </c>
      <c r="C324" s="12" t="s">
        <v>1179</v>
      </c>
      <c r="D324" s="13" t="str">
        <f>HYPERLINK("https://www.marklines.com/en/global/9505","Dayun Automobile Co., Ltd. (formerly Shanxi Dayun Automobile Manufacturer Co., Ltd.)")</f>
        <v>Dayun Automobile Co., Ltd. (formerly Shanxi Dayun Automobile Manufacturer Co., Ltd.)</v>
      </c>
      <c r="E324" s="12" t="s">
        <v>1529</v>
      </c>
      <c r="F324" s="12" t="s">
        <v>20</v>
      </c>
      <c r="G324" s="12" t="s">
        <v>27</v>
      </c>
      <c r="H324" s="12" t="s">
        <v>1181</v>
      </c>
      <c r="I324" s="14">
        <v>45259</v>
      </c>
      <c r="J324" s="12" t="s">
        <v>1530</v>
      </c>
    </row>
    <row r="325" spans="1:10" s="15" customFormat="1" x14ac:dyDescent="0.15">
      <c r="A325" s="11">
        <v>45266</v>
      </c>
      <c r="B325" s="12" t="s">
        <v>551</v>
      </c>
      <c r="C325" s="12" t="s">
        <v>551</v>
      </c>
      <c r="D325" s="13" t="str">
        <f>HYPERLINK("https://www.marklines.com/en/global/4011","Dongfeng Commercial Vehicle Co., Ltd.")</f>
        <v>Dongfeng Commercial Vehicle Co., Ltd.</v>
      </c>
      <c r="E325" s="12" t="s">
        <v>1531</v>
      </c>
      <c r="F325" s="12" t="s">
        <v>20</v>
      </c>
      <c r="G325" s="12" t="s">
        <v>27</v>
      </c>
      <c r="H325" s="12" t="s">
        <v>554</v>
      </c>
      <c r="I325" s="14">
        <v>45258</v>
      </c>
      <c r="J325" s="12" t="s">
        <v>1532</v>
      </c>
    </row>
    <row r="326" spans="1:10" s="15" customFormat="1" x14ac:dyDescent="0.15">
      <c r="A326" s="11">
        <v>45265</v>
      </c>
      <c r="B326" s="12" t="s">
        <v>22</v>
      </c>
      <c r="C326" s="12" t="s">
        <v>22</v>
      </c>
      <c r="D326" s="13" t="str">
        <f>HYPERLINK("https://www.marklines.com/en/global/651","Toyota South Africa Motors (Pty) Ltd. (TSAM), Prospecton Plant")</f>
        <v>Toyota South Africa Motors (Pty) Ltd. (TSAM), Prospecton Plant</v>
      </c>
      <c r="E326" s="12" t="s">
        <v>1533</v>
      </c>
      <c r="F326" s="12" t="s">
        <v>69</v>
      </c>
      <c r="G326" s="12" t="s">
        <v>70</v>
      </c>
      <c r="H326" s="12"/>
      <c r="I326" s="14">
        <v>45264</v>
      </c>
      <c r="J326" s="12" t="s">
        <v>1534</v>
      </c>
    </row>
    <row r="327" spans="1:10" s="15" customFormat="1" x14ac:dyDescent="0.15">
      <c r="A327" s="11">
        <v>45265</v>
      </c>
      <c r="B327" s="12" t="s">
        <v>33</v>
      </c>
      <c r="C327" s="12" t="s">
        <v>131</v>
      </c>
      <c r="D327" s="13" t="str">
        <f>HYPERLINK("https://www.marklines.com/en/global/2191","Porsche AG, Leipzig Plant")</f>
        <v>Porsche AG, Leipzig Plant</v>
      </c>
      <c r="E327" s="12" t="s">
        <v>1306</v>
      </c>
      <c r="F327" s="12" t="s">
        <v>17</v>
      </c>
      <c r="G327" s="12" t="s">
        <v>21</v>
      </c>
      <c r="H327" s="12"/>
      <c r="I327" s="14">
        <v>45264</v>
      </c>
      <c r="J327" s="12" t="s">
        <v>1535</v>
      </c>
    </row>
    <row r="328" spans="1:10" s="15" customFormat="1" x14ac:dyDescent="0.15">
      <c r="A328" s="11">
        <v>45265</v>
      </c>
      <c r="B328" s="12" t="s">
        <v>43</v>
      </c>
      <c r="C328" s="12" t="s">
        <v>43</v>
      </c>
      <c r="D328" s="13" t="str">
        <f>HYPERLINK("https://www.marklines.com/en/global/709","Hyundai Motor Manufacturing Russia (HMMR), Kamenka (St. Petersburg)  Plant")</f>
        <v>Hyundai Motor Manufacturing Russia (HMMR), Kamenka (St. Petersburg)  Plant</v>
      </c>
      <c r="E328" s="12" t="s">
        <v>959</v>
      </c>
      <c r="F328" s="12" t="s">
        <v>18</v>
      </c>
      <c r="G328" s="12" t="s">
        <v>14</v>
      </c>
      <c r="H328" s="12"/>
      <c r="I328" s="14">
        <v>45264</v>
      </c>
      <c r="J328" s="12" t="s">
        <v>1536</v>
      </c>
    </row>
    <row r="329" spans="1:10" s="15" customFormat="1" x14ac:dyDescent="0.15">
      <c r="A329" s="11">
        <v>45265</v>
      </c>
      <c r="B329" s="12" t="s">
        <v>35</v>
      </c>
      <c r="C329" s="12" t="s">
        <v>35</v>
      </c>
      <c r="D329" s="13" t="str">
        <f>HYPERLINK("https://www.marklines.com/en/global/1061","Pak Suzuki Motor Co., Ltd. (PSMCL), Karachi Plant")</f>
        <v>Pak Suzuki Motor Co., Ltd. (PSMCL), Karachi Plant</v>
      </c>
      <c r="E329" s="12" t="s">
        <v>474</v>
      </c>
      <c r="F329" s="12" t="s">
        <v>25</v>
      </c>
      <c r="G329" s="12" t="s">
        <v>82</v>
      </c>
      <c r="H329" s="12"/>
      <c r="I329" s="14">
        <v>45264</v>
      </c>
      <c r="J329" s="12" t="s">
        <v>1537</v>
      </c>
    </row>
    <row r="330" spans="1:10" s="15" customFormat="1" x14ac:dyDescent="0.15">
      <c r="A330" s="11">
        <v>45265</v>
      </c>
      <c r="B330" s="12" t="s">
        <v>31</v>
      </c>
      <c r="C330" s="12" t="s">
        <v>31</v>
      </c>
      <c r="D330" s="13" t="str">
        <f>HYPERLINK("https://www.marklines.com/en/global/2205","BMW AG, Munich Plant")</f>
        <v>BMW AG, Munich Plant</v>
      </c>
      <c r="E330" s="12" t="s">
        <v>1094</v>
      </c>
      <c r="F330" s="12" t="s">
        <v>17</v>
      </c>
      <c r="G330" s="12" t="s">
        <v>21</v>
      </c>
      <c r="H330" s="12"/>
      <c r="I330" s="14">
        <v>45264</v>
      </c>
      <c r="J330" s="12" t="s">
        <v>1538</v>
      </c>
    </row>
    <row r="331" spans="1:10" s="15" customFormat="1" x14ac:dyDescent="0.15">
      <c r="A331" s="11">
        <v>45265</v>
      </c>
      <c r="B331" s="12" t="s">
        <v>22</v>
      </c>
      <c r="C331" s="12" t="s">
        <v>673</v>
      </c>
      <c r="D331" s="13" t="str">
        <f>HYPERLINK("https://www.marklines.com/en/global/424","Toyota Motor East Japan, Iwate Plant")</f>
        <v>Toyota Motor East Japan, Iwate Plant</v>
      </c>
      <c r="E331" s="12" t="s">
        <v>670</v>
      </c>
      <c r="F331" s="12" t="s">
        <v>20</v>
      </c>
      <c r="G331" s="12" t="s">
        <v>23</v>
      </c>
      <c r="H331" s="12" t="s">
        <v>671</v>
      </c>
      <c r="I331" s="14">
        <v>45264</v>
      </c>
      <c r="J331" s="12" t="s">
        <v>1539</v>
      </c>
    </row>
    <row r="332" spans="1:10" s="15" customFormat="1" x14ac:dyDescent="0.15">
      <c r="A332" s="11">
        <v>45265</v>
      </c>
      <c r="B332" s="12" t="s">
        <v>22</v>
      </c>
      <c r="C332" s="12" t="s">
        <v>22</v>
      </c>
      <c r="D332" s="13" t="str">
        <f>HYPERLINK("https://www.marklines.com/en/global/1375","Stellantis Europe SpA, Atessa Plant (formerly Sevel S.p.A., Val di Sangro (Atessa) Plant)")</f>
        <v>Stellantis Europe SpA, Atessa Plant (formerly Sevel S.p.A., Val di Sangro (Atessa) Plant)</v>
      </c>
      <c r="E332" s="12" t="s">
        <v>600</v>
      </c>
      <c r="F332" s="12" t="s">
        <v>17</v>
      </c>
      <c r="G332" s="12" t="s">
        <v>46</v>
      </c>
      <c r="H332" s="12"/>
      <c r="I332" s="14">
        <v>45264</v>
      </c>
      <c r="J332" s="12" t="s">
        <v>1540</v>
      </c>
    </row>
    <row r="333" spans="1:10" s="15" customFormat="1" x14ac:dyDescent="0.15">
      <c r="A333" s="11">
        <v>45265</v>
      </c>
      <c r="B333" s="12" t="s">
        <v>22</v>
      </c>
      <c r="C333" s="12" t="s">
        <v>22</v>
      </c>
      <c r="D333" s="13" t="str">
        <f>HYPERLINK("https://www.marklines.com/en/global/1687","Stellantis, Opel Manufacturing Poland Sp. z.o.o., Gliwice Plant (Stellantis Gliwice) (Former General Motors Mfg. Poland Sp. zo.o., Gliwice Plant)")</f>
        <v>Stellantis, Opel Manufacturing Poland Sp. z.o.o., Gliwice Plant (Stellantis Gliwice) (Former General Motors Mfg. Poland Sp. zo.o., Gliwice Plant)</v>
      </c>
      <c r="E333" s="12" t="s">
        <v>1541</v>
      </c>
      <c r="F333" s="12" t="s">
        <v>18</v>
      </c>
      <c r="G333" s="12" t="s">
        <v>30</v>
      </c>
      <c r="H333" s="12"/>
      <c r="I333" s="14">
        <v>45264</v>
      </c>
      <c r="J333" s="12" t="s">
        <v>1540</v>
      </c>
    </row>
    <row r="334" spans="1:10" s="15" customFormat="1" x14ac:dyDescent="0.15">
      <c r="A334" s="11">
        <v>45265</v>
      </c>
      <c r="B334" s="12" t="s">
        <v>45</v>
      </c>
      <c r="C334" s="12" t="s">
        <v>49</v>
      </c>
      <c r="D334" s="13" t="str">
        <f>HYPERLINK("https://www.marklines.com/en/global/1329","Stellantis, FCA Italy, Giambattista Vico (Pomigliano d'Arco) Plant")</f>
        <v>Stellantis, FCA Italy, Giambattista Vico (Pomigliano d'Arco) Plant</v>
      </c>
      <c r="E334" s="12" t="s">
        <v>604</v>
      </c>
      <c r="F334" s="12" t="s">
        <v>17</v>
      </c>
      <c r="G334" s="12" t="s">
        <v>46</v>
      </c>
      <c r="H334" s="12"/>
      <c r="I334" s="14">
        <v>45263</v>
      </c>
      <c r="J334" s="12" t="s">
        <v>1542</v>
      </c>
    </row>
    <row r="335" spans="1:10" s="15" customFormat="1" x14ac:dyDescent="0.15">
      <c r="A335" s="11">
        <v>45265</v>
      </c>
      <c r="B335" s="12" t="s">
        <v>33</v>
      </c>
      <c r="C335" s="12" t="s">
        <v>332</v>
      </c>
      <c r="D335" s="13" t="str">
        <f>HYPERLINK("https://www.marklines.com/en/global/10750","Northvolt Drei, Heide Plant (tentative name）")</f>
        <v>Northvolt Drei, Heide Plant (tentative name）</v>
      </c>
      <c r="E335" s="12" t="s">
        <v>829</v>
      </c>
      <c r="F335" s="12" t="s">
        <v>17</v>
      </c>
      <c r="G335" s="12" t="s">
        <v>21</v>
      </c>
      <c r="H335" s="12"/>
      <c r="I335" s="14">
        <v>45263</v>
      </c>
      <c r="J335" s="12" t="s">
        <v>1543</v>
      </c>
    </row>
    <row r="336" spans="1:10" s="15" customFormat="1" x14ac:dyDescent="0.15">
      <c r="A336" s="11">
        <v>45265</v>
      </c>
      <c r="B336" s="12" t="s">
        <v>13</v>
      </c>
      <c r="C336" s="12" t="s">
        <v>340</v>
      </c>
      <c r="D336" s="13" t="str">
        <f>HYPERLINK("https://www.marklines.com/en/global/10641","NWTN (Zhejiang) Motor Co., Ltd.")</f>
        <v>NWTN (Zhejiang) Motor Co., Ltd.</v>
      </c>
      <c r="E336" s="12" t="s">
        <v>341</v>
      </c>
      <c r="F336" s="12" t="s">
        <v>20</v>
      </c>
      <c r="G336" s="12" t="s">
        <v>27</v>
      </c>
      <c r="H336" s="12" t="s">
        <v>342</v>
      </c>
      <c r="I336" s="14">
        <v>45262</v>
      </c>
      <c r="J336" s="12" t="s">
        <v>1544</v>
      </c>
    </row>
    <row r="337" spans="1:10" s="15" customFormat="1" x14ac:dyDescent="0.15">
      <c r="A337" s="11">
        <v>45265</v>
      </c>
      <c r="B337" s="12" t="s">
        <v>13</v>
      </c>
      <c r="C337" s="12" t="s">
        <v>13</v>
      </c>
      <c r="D337" s="13" t="str">
        <f>HYPERLINK("https://www.marklines.com/en/global/10584","Guoji Zhijun Automotive Co., Ltd.")</f>
        <v>Guoji Zhijun Automotive Co., Ltd.</v>
      </c>
      <c r="E337" s="12" t="s">
        <v>1545</v>
      </c>
      <c r="F337" s="12" t="s">
        <v>20</v>
      </c>
      <c r="G337" s="12" t="s">
        <v>27</v>
      </c>
      <c r="H337" s="12" t="s">
        <v>418</v>
      </c>
      <c r="I337" s="14">
        <v>45260</v>
      </c>
      <c r="J337" s="12" t="s">
        <v>1546</v>
      </c>
    </row>
    <row r="338" spans="1:10" s="15" customFormat="1" x14ac:dyDescent="0.15">
      <c r="A338" s="11">
        <v>45265</v>
      </c>
      <c r="B338" s="12" t="s">
        <v>400</v>
      </c>
      <c r="C338" s="12" t="s">
        <v>708</v>
      </c>
      <c r="D338" s="13" t="str">
        <f>HYPERLINK("https://www.marklines.com/en/global/10660","Wuhan Lotus Technology Co., Ltd.")</f>
        <v>Wuhan Lotus Technology Co., Ltd.</v>
      </c>
      <c r="E338" s="12" t="s">
        <v>711</v>
      </c>
      <c r="F338" s="12" t="s">
        <v>20</v>
      </c>
      <c r="G338" s="12" t="s">
        <v>27</v>
      </c>
      <c r="H338" s="12" t="s">
        <v>554</v>
      </c>
      <c r="I338" s="14">
        <v>45257</v>
      </c>
      <c r="J338" s="12" t="s">
        <v>1547</v>
      </c>
    </row>
    <row r="339" spans="1:10" s="15" customFormat="1" x14ac:dyDescent="0.15">
      <c r="A339" s="11">
        <v>45264</v>
      </c>
      <c r="B339" s="12" t="s">
        <v>45</v>
      </c>
      <c r="C339" s="12" t="s">
        <v>49</v>
      </c>
      <c r="D339" s="13" t="str">
        <f>HYPERLINK("https://www.marklines.com/en/global/1881","Stellantis, Fiat Serbia, Kragujevac Plant")</f>
        <v>Stellantis, Fiat Serbia, Kragujevac Plant</v>
      </c>
      <c r="E339" s="12" t="s">
        <v>1548</v>
      </c>
      <c r="F339" s="12" t="s">
        <v>18</v>
      </c>
      <c r="G339" s="12" t="s">
        <v>1549</v>
      </c>
      <c r="H339" s="12"/>
      <c r="I339" s="14">
        <v>45264</v>
      </c>
      <c r="J339" s="12" t="s">
        <v>1550</v>
      </c>
    </row>
    <row r="340" spans="1:10" s="15" customFormat="1" x14ac:dyDescent="0.15">
      <c r="A340" s="11">
        <v>45264</v>
      </c>
      <c r="B340" s="12" t="s">
        <v>45</v>
      </c>
      <c r="C340" s="12" t="s">
        <v>49</v>
      </c>
      <c r="D340" s="13" t="str">
        <f>HYPERLINK("https://www.marklines.com/en/global/1329","Stellantis, FCA Italy, Giambattista Vico (Pomigliano d'Arco) Plant")</f>
        <v>Stellantis, FCA Italy, Giambattista Vico (Pomigliano d'Arco) Plant</v>
      </c>
      <c r="E340" s="12" t="s">
        <v>604</v>
      </c>
      <c r="F340" s="12" t="s">
        <v>17</v>
      </c>
      <c r="G340" s="12" t="s">
        <v>46</v>
      </c>
      <c r="H340" s="12"/>
      <c r="I340" s="14">
        <v>45264</v>
      </c>
      <c r="J340" s="12" t="s">
        <v>1550</v>
      </c>
    </row>
    <row r="341" spans="1:10" s="15" customFormat="1" x14ac:dyDescent="0.15">
      <c r="A341" s="11">
        <v>45264</v>
      </c>
      <c r="B341" s="12" t="s">
        <v>1207</v>
      </c>
      <c r="C341" s="12" t="s">
        <v>1207</v>
      </c>
      <c r="D341" s="13" t="str">
        <f>HYPERLINK("https://www.marklines.com/en/global/9603","Faraday Future Intelligent Electric Inc., Hanford Plant (FF ieFactory California)")</f>
        <v>Faraday Future Intelligent Electric Inc., Hanford Plant (FF ieFactory California)</v>
      </c>
      <c r="E341" s="12" t="s">
        <v>1208</v>
      </c>
      <c r="F341" s="12" t="s">
        <v>16</v>
      </c>
      <c r="G341" s="12" t="s">
        <v>11</v>
      </c>
      <c r="H341" s="12" t="s">
        <v>248</v>
      </c>
      <c r="I341" s="14">
        <v>45264</v>
      </c>
      <c r="J341" s="12" t="s">
        <v>1551</v>
      </c>
    </row>
    <row r="342" spans="1:10" s="15" customFormat="1" x14ac:dyDescent="0.15">
      <c r="A342" s="11">
        <v>45264</v>
      </c>
      <c r="B342" s="12" t="s">
        <v>1207</v>
      </c>
      <c r="C342" s="12" t="s">
        <v>1207</v>
      </c>
      <c r="D342" s="13" t="str">
        <f>HYPERLINK("https://www.marklines.com/en/global/10523","Faraday Future HQ, R&amp;D Center")</f>
        <v>Faraday Future HQ, R&amp;D Center</v>
      </c>
      <c r="E342" s="12" t="s">
        <v>1210</v>
      </c>
      <c r="F342" s="12" t="s">
        <v>16</v>
      </c>
      <c r="G342" s="12" t="s">
        <v>11</v>
      </c>
      <c r="H342" s="12" t="s">
        <v>248</v>
      </c>
      <c r="I342" s="14">
        <v>45264</v>
      </c>
      <c r="J342" s="12" t="s">
        <v>1551</v>
      </c>
    </row>
    <row r="343" spans="1:10" s="15" customFormat="1" x14ac:dyDescent="0.15">
      <c r="A343" s="11">
        <v>45264</v>
      </c>
      <c r="B343" s="12" t="s">
        <v>33</v>
      </c>
      <c r="C343" s="12" t="s">
        <v>63</v>
      </c>
      <c r="D343" s="13" t="str">
        <f>HYPERLINK("https://www.marklines.com/en/global/1777","Audi Hungaria Zrt., Győr Plant (formerly Audi Hungaria Motor Kft.)")</f>
        <v>Audi Hungaria Zrt., Győr Plant (formerly Audi Hungaria Motor Kft.)</v>
      </c>
      <c r="E343" s="12" t="s">
        <v>1040</v>
      </c>
      <c r="F343" s="12" t="s">
        <v>18</v>
      </c>
      <c r="G343" s="12" t="s">
        <v>132</v>
      </c>
      <c r="H343" s="12"/>
      <c r="I343" s="14">
        <v>45261</v>
      </c>
      <c r="J343" s="12" t="s">
        <v>1552</v>
      </c>
    </row>
    <row r="344" spans="1:10" s="15" customFormat="1" x14ac:dyDescent="0.15">
      <c r="A344" s="11">
        <v>45264</v>
      </c>
      <c r="B344" s="12" t="s">
        <v>33</v>
      </c>
      <c r="C344" s="12" t="s">
        <v>44</v>
      </c>
      <c r="D344" s="13" t="str">
        <f>HYPERLINK("https://www.marklines.com/en/global/2281","Volkswagen AG, Kassel Plant")</f>
        <v>Volkswagen AG, Kassel Plant</v>
      </c>
      <c r="E344" s="12" t="s">
        <v>987</v>
      </c>
      <c r="F344" s="12" t="s">
        <v>17</v>
      </c>
      <c r="G344" s="12" t="s">
        <v>21</v>
      </c>
      <c r="H344" s="12"/>
      <c r="I344" s="14">
        <v>45261</v>
      </c>
      <c r="J344" s="12" t="s">
        <v>1553</v>
      </c>
    </row>
    <row r="345" spans="1:10" s="15" customFormat="1" x14ac:dyDescent="0.15">
      <c r="A345" s="11">
        <v>45264</v>
      </c>
      <c r="B345" s="12" t="s">
        <v>33</v>
      </c>
      <c r="C345" s="12" t="s">
        <v>44</v>
      </c>
      <c r="D345" s="13" t="str">
        <f>HYPERLINK("https://www.marklines.com/en/global/2275","Volkswagen Sachsen GmbH, Dresden Plant")</f>
        <v>Volkswagen Sachsen GmbH, Dresden Plant</v>
      </c>
      <c r="E345" s="12" t="s">
        <v>1554</v>
      </c>
      <c r="F345" s="12" t="s">
        <v>17</v>
      </c>
      <c r="G345" s="12" t="s">
        <v>21</v>
      </c>
      <c r="H345" s="12"/>
      <c r="I345" s="14">
        <v>45261</v>
      </c>
      <c r="J345" s="12" t="s">
        <v>1553</v>
      </c>
    </row>
    <row r="346" spans="1:10" s="15" customFormat="1" x14ac:dyDescent="0.15">
      <c r="A346" s="11">
        <v>45264</v>
      </c>
      <c r="B346" s="12" t="s">
        <v>33</v>
      </c>
      <c r="C346" s="12" t="s">
        <v>44</v>
      </c>
      <c r="D346" s="13" t="str">
        <f>HYPERLINK("https://www.marklines.com/en/global/2277","Volkswagen Sachsen GmbH, Zwickau/Mosel Plant")</f>
        <v>Volkswagen Sachsen GmbH, Zwickau/Mosel Plant</v>
      </c>
      <c r="E346" s="12" t="s">
        <v>135</v>
      </c>
      <c r="F346" s="12" t="s">
        <v>17</v>
      </c>
      <c r="G346" s="12" t="s">
        <v>21</v>
      </c>
      <c r="H346" s="12"/>
      <c r="I346" s="14">
        <v>45261</v>
      </c>
      <c r="J346" s="12" t="s">
        <v>1553</v>
      </c>
    </row>
    <row r="347" spans="1:10" s="15" customFormat="1" x14ac:dyDescent="0.15">
      <c r="A347" s="11">
        <v>45264</v>
      </c>
      <c r="B347" s="12" t="s">
        <v>33</v>
      </c>
      <c r="C347" s="12" t="s">
        <v>1107</v>
      </c>
      <c r="D347" s="13" t="str">
        <f>HYPERLINK("https://www.marklines.com/en/global/2277","Volkswagen Sachsen GmbH, Zwickau/Mosel Plant")</f>
        <v>Volkswagen Sachsen GmbH, Zwickau/Mosel Plant</v>
      </c>
      <c r="E347" s="12" t="s">
        <v>135</v>
      </c>
      <c r="F347" s="12" t="s">
        <v>17</v>
      </c>
      <c r="G347" s="12" t="s">
        <v>21</v>
      </c>
      <c r="H347" s="12"/>
      <c r="I347" s="14">
        <v>45261</v>
      </c>
      <c r="J347" s="12" t="s">
        <v>1553</v>
      </c>
    </row>
    <row r="348" spans="1:10" s="15" customFormat="1" x14ac:dyDescent="0.15">
      <c r="A348" s="11">
        <v>45264</v>
      </c>
      <c r="B348" s="12" t="s">
        <v>13</v>
      </c>
      <c r="C348" s="12" t="s">
        <v>1555</v>
      </c>
      <c r="D348" s="13" t="str">
        <f>HYPERLINK("https://www.marklines.com/en/global/2685","National Electric Vehicle Sweden AB (NEVS, Former: Saab Automobile AB) ")</f>
        <v xml:space="preserve">National Electric Vehicle Sweden AB (NEVS, Former: Saab Automobile AB) </v>
      </c>
      <c r="E348" s="12" t="s">
        <v>1556</v>
      </c>
      <c r="F348" s="12" t="s">
        <v>17</v>
      </c>
      <c r="G348" s="12" t="s">
        <v>50</v>
      </c>
      <c r="H348" s="12"/>
      <c r="I348" s="14">
        <v>45261</v>
      </c>
      <c r="J348" s="12" t="s">
        <v>1557</v>
      </c>
    </row>
    <row r="349" spans="1:10" s="15" customFormat="1" x14ac:dyDescent="0.15">
      <c r="A349" s="11">
        <v>45264</v>
      </c>
      <c r="B349" s="12" t="s">
        <v>13</v>
      </c>
      <c r="C349" s="12" t="s">
        <v>1555</v>
      </c>
      <c r="D349" s="13" t="str">
        <f>HYPERLINK("https://www.marklines.com/en/global/2687","National Electric Vehicle Sweden AB (NEVS), Trollhättan Plant (Formerly Saab Automobile AB) ")</f>
        <v xml:space="preserve">National Electric Vehicle Sweden AB (NEVS), Trollhättan Plant (Formerly Saab Automobile AB) </v>
      </c>
      <c r="E349" s="12" t="s">
        <v>1558</v>
      </c>
      <c r="F349" s="12" t="s">
        <v>17</v>
      </c>
      <c r="G349" s="12" t="s">
        <v>50</v>
      </c>
      <c r="H349" s="12"/>
      <c r="I349" s="14">
        <v>45261</v>
      </c>
      <c r="J349" s="12" t="s">
        <v>1557</v>
      </c>
    </row>
    <row r="350" spans="1:10" s="15" customFormat="1" x14ac:dyDescent="0.15">
      <c r="A350" s="11">
        <v>45264</v>
      </c>
      <c r="B350" s="12" t="s">
        <v>22</v>
      </c>
      <c r="C350" s="12" t="s">
        <v>22</v>
      </c>
      <c r="D350" s="13" t="str">
        <f>HYPERLINK("https://www.marklines.com/en/global/1287","Toyota Kirloskar Motor India (TKM), Bangalore Plant")</f>
        <v>Toyota Kirloskar Motor India (TKM), Bangalore Plant</v>
      </c>
      <c r="E350" s="12" t="s">
        <v>1252</v>
      </c>
      <c r="F350" s="12" t="s">
        <v>25</v>
      </c>
      <c r="G350" s="12" t="s">
        <v>26</v>
      </c>
      <c r="H350" s="12" t="s">
        <v>1235</v>
      </c>
      <c r="I350" s="14">
        <v>45261</v>
      </c>
      <c r="J350" s="12" t="s">
        <v>1559</v>
      </c>
    </row>
    <row r="351" spans="1:10" s="15" customFormat="1" x14ac:dyDescent="0.15">
      <c r="A351" s="11">
        <v>45264</v>
      </c>
      <c r="B351" s="12" t="s">
        <v>22</v>
      </c>
      <c r="C351" s="12" t="s">
        <v>22</v>
      </c>
      <c r="D351" s="13" t="str">
        <f>HYPERLINK("https://www.marklines.com/en/global/1285","Toyota Kirloskar Motor Private Limited (TKM)")</f>
        <v>Toyota Kirloskar Motor Private Limited (TKM)</v>
      </c>
      <c r="E351" s="12" t="s">
        <v>1254</v>
      </c>
      <c r="F351" s="12" t="s">
        <v>25</v>
      </c>
      <c r="G351" s="12" t="s">
        <v>26</v>
      </c>
      <c r="H351" s="12" t="s">
        <v>1235</v>
      </c>
      <c r="I351" s="14">
        <v>45261</v>
      </c>
      <c r="J351" s="12" t="s">
        <v>1559</v>
      </c>
    </row>
    <row r="352" spans="1:10" s="15" customFormat="1" x14ac:dyDescent="0.15">
      <c r="A352" s="11">
        <v>45264</v>
      </c>
      <c r="B352" s="12" t="s">
        <v>45</v>
      </c>
      <c r="C352" s="12" t="s">
        <v>45</v>
      </c>
      <c r="D352" s="13" t="str">
        <f>HYPERLINK("https://www.marklines.com/en/global/153","Stellantis, PSA, Metz-Borny Plant")</f>
        <v>Stellantis, PSA, Metz-Borny Plant</v>
      </c>
      <c r="E352" s="12" t="s">
        <v>727</v>
      </c>
      <c r="F352" s="12" t="s">
        <v>17</v>
      </c>
      <c r="G352" s="12" t="s">
        <v>32</v>
      </c>
      <c r="H352" s="12"/>
      <c r="I352" s="14">
        <v>45260</v>
      </c>
      <c r="J352" s="12" t="s">
        <v>1560</v>
      </c>
    </row>
    <row r="353" spans="1:10" s="15" customFormat="1" x14ac:dyDescent="0.15">
      <c r="A353" s="11">
        <v>45264</v>
      </c>
      <c r="B353" s="12" t="s">
        <v>114</v>
      </c>
      <c r="C353" s="12" t="s">
        <v>114</v>
      </c>
      <c r="D353" s="13" t="str">
        <f>HYPERLINK("https://www.marklines.com/en/global/531","Subaru, Gunma Yajima Plant (Gunma Plant) ")</f>
        <v xml:space="preserve">Subaru, Gunma Yajima Plant (Gunma Plant) </v>
      </c>
      <c r="E353" s="12" t="s">
        <v>1561</v>
      </c>
      <c r="F353" s="12" t="s">
        <v>20</v>
      </c>
      <c r="G353" s="12" t="s">
        <v>23</v>
      </c>
      <c r="H353" s="12" t="s">
        <v>127</v>
      </c>
      <c r="I353" s="14">
        <v>45260</v>
      </c>
      <c r="J353" s="12" t="s">
        <v>1562</v>
      </c>
    </row>
    <row r="354" spans="1:10" s="15" customFormat="1" x14ac:dyDescent="0.15">
      <c r="A354" s="11">
        <v>45264</v>
      </c>
      <c r="B354" s="12" t="s">
        <v>24</v>
      </c>
      <c r="C354" s="12" t="s">
        <v>24</v>
      </c>
      <c r="D354" s="13" t="str">
        <f>HYPERLINK("https://www.marklines.com/en/global/4167","Changan Ford Automobile Co., Ltd.")</f>
        <v>Changan Ford Automobile Co., Ltd.</v>
      </c>
      <c r="E354" s="12" t="s">
        <v>556</v>
      </c>
      <c r="F354" s="12" t="s">
        <v>20</v>
      </c>
      <c r="G354" s="12" t="s">
        <v>27</v>
      </c>
      <c r="H354" s="12" t="s">
        <v>29</v>
      </c>
      <c r="I354" s="14">
        <v>45260</v>
      </c>
      <c r="J354" s="12" t="s">
        <v>1563</v>
      </c>
    </row>
    <row r="355" spans="1:10" s="15" customFormat="1" x14ac:dyDescent="0.15">
      <c r="A355" s="11">
        <v>45264</v>
      </c>
      <c r="B355" s="12" t="s">
        <v>421</v>
      </c>
      <c r="C355" s="12" t="s">
        <v>421</v>
      </c>
      <c r="D355" s="13" t="str">
        <f>HYPERLINK("https://www.marklines.com/en/global/3333","China FAW Group Co., Ltd.  (Formerly China FAW Group Corporation)")</f>
        <v>China FAW Group Co., Ltd.  (Formerly China FAW Group Corporation)</v>
      </c>
      <c r="E355" s="12" t="s">
        <v>1527</v>
      </c>
      <c r="F355" s="12" t="s">
        <v>20</v>
      </c>
      <c r="G355" s="12" t="s">
        <v>27</v>
      </c>
      <c r="H355" s="12" t="s">
        <v>414</v>
      </c>
      <c r="I355" s="14">
        <v>45259</v>
      </c>
      <c r="J355" s="12" t="s">
        <v>1564</v>
      </c>
    </row>
    <row r="356" spans="1:10" s="15" customFormat="1" x14ac:dyDescent="0.15">
      <c r="A356" s="11">
        <v>45264</v>
      </c>
      <c r="B356" s="12" t="s">
        <v>400</v>
      </c>
      <c r="C356" s="12" t="s">
        <v>400</v>
      </c>
      <c r="D356" s="13" t="str">
        <f>HYPERLINK("https://www.marklines.com/en/global/3807","Zhejiang Geely Holding Group Co., Ltd.")</f>
        <v>Zhejiang Geely Holding Group Co., Ltd.</v>
      </c>
      <c r="E356" s="12" t="s">
        <v>401</v>
      </c>
      <c r="F356" s="12" t="s">
        <v>20</v>
      </c>
      <c r="G356" s="12" t="s">
        <v>27</v>
      </c>
      <c r="H356" s="12" t="s">
        <v>342</v>
      </c>
      <c r="I356" s="14">
        <v>45259</v>
      </c>
      <c r="J356" s="12" t="s">
        <v>1565</v>
      </c>
    </row>
    <row r="357" spans="1:10" s="15" customFormat="1" x14ac:dyDescent="0.15">
      <c r="A357" s="11">
        <v>45264</v>
      </c>
      <c r="B357" s="12" t="s">
        <v>276</v>
      </c>
      <c r="C357" s="12" t="s">
        <v>276</v>
      </c>
      <c r="D357" s="13" t="str">
        <f>HYPERLINK("https://www.marklines.com/en/global/9503","Shanghai NIO Automobile Co., Ltd.")</f>
        <v>Shanghai NIO Automobile Co., Ltd.</v>
      </c>
      <c r="E357" s="12" t="s">
        <v>646</v>
      </c>
      <c r="F357" s="12" t="s">
        <v>20</v>
      </c>
      <c r="G357" s="12" t="s">
        <v>27</v>
      </c>
      <c r="H357" s="12" t="s">
        <v>314</v>
      </c>
      <c r="I357" s="14">
        <v>45259</v>
      </c>
      <c r="J357" s="12" t="s">
        <v>1565</v>
      </c>
    </row>
    <row r="358" spans="1:10" s="15" customFormat="1" x14ac:dyDescent="0.15">
      <c r="A358" s="11">
        <v>45264</v>
      </c>
      <c r="B358" s="12" t="s">
        <v>421</v>
      </c>
      <c r="C358" s="12" t="s">
        <v>421</v>
      </c>
      <c r="D358" s="13" t="str">
        <f>HYPERLINK("https://www.marklines.com/en/global/3333","China FAW Group Co., Ltd.  (Formerly China FAW Group Corporation)")</f>
        <v>China FAW Group Co., Ltd.  (Formerly China FAW Group Corporation)</v>
      </c>
      <c r="E358" s="12" t="s">
        <v>1527</v>
      </c>
      <c r="F358" s="12" t="s">
        <v>20</v>
      </c>
      <c r="G358" s="12" t="s">
        <v>27</v>
      </c>
      <c r="H358" s="12" t="s">
        <v>414</v>
      </c>
      <c r="I358" s="14">
        <v>45258</v>
      </c>
      <c r="J358" s="12" t="s">
        <v>1566</v>
      </c>
    </row>
    <row r="359" spans="1:10" s="15" customFormat="1" x14ac:dyDescent="0.15">
      <c r="A359" s="11">
        <v>45264</v>
      </c>
      <c r="B359" s="12" t="s">
        <v>421</v>
      </c>
      <c r="C359" s="12" t="s">
        <v>421</v>
      </c>
      <c r="D359" s="13" t="str">
        <f>HYPERLINK("https://www.marklines.com/en/global/3335","FAW Jiefang Group Co., Ltd  ( Formerly FAW Car Co., Ltd. )")</f>
        <v>FAW Jiefang Group Co., Ltd  ( Formerly FAW Car Co., Ltd. )</v>
      </c>
      <c r="E359" s="12" t="s">
        <v>422</v>
      </c>
      <c r="F359" s="12" t="s">
        <v>20</v>
      </c>
      <c r="G359" s="12" t="s">
        <v>27</v>
      </c>
      <c r="H359" s="12" t="s">
        <v>414</v>
      </c>
      <c r="I359" s="14">
        <v>45258</v>
      </c>
      <c r="J359" s="12" t="s">
        <v>1567</v>
      </c>
    </row>
    <row r="360" spans="1:10" s="15" customFormat="1" x14ac:dyDescent="0.15">
      <c r="A360" s="11">
        <v>45264</v>
      </c>
      <c r="B360" s="12" t="s">
        <v>43</v>
      </c>
      <c r="C360" s="12" t="s">
        <v>269</v>
      </c>
      <c r="D360" s="13" t="str">
        <f>HYPERLINK("https://www.marklines.com/en/global/3769","Jiangsu Yueda Kia Motors Co., Ltd. (Second Plant) (formerly Kia Motors Co., Ltd. (Second Plant))")</f>
        <v>Jiangsu Yueda Kia Motors Co., Ltd. (Second Plant) (formerly Kia Motors Co., Ltd. (Second Plant))</v>
      </c>
      <c r="E360" s="12" t="s">
        <v>1568</v>
      </c>
      <c r="F360" s="12" t="s">
        <v>20</v>
      </c>
      <c r="G360" s="12" t="s">
        <v>27</v>
      </c>
      <c r="H360" s="12" t="s">
        <v>278</v>
      </c>
      <c r="I360" s="14">
        <v>45258</v>
      </c>
      <c r="J360" s="12" t="s">
        <v>1569</v>
      </c>
    </row>
    <row r="361" spans="1:10" s="15" customFormat="1" x14ac:dyDescent="0.15">
      <c r="A361" s="11">
        <v>45264</v>
      </c>
      <c r="B361" s="12" t="s">
        <v>437</v>
      </c>
      <c r="C361" s="12" t="s">
        <v>437</v>
      </c>
      <c r="D361" s="13" t="str">
        <f>HYPERLINK("https://www.marklines.com/en/global/3879","Chery Automobile Co., Ltd. ")</f>
        <v xml:space="preserve">Chery Automobile Co., Ltd. </v>
      </c>
      <c r="E361" s="12" t="s">
        <v>848</v>
      </c>
      <c r="F361" s="12" t="s">
        <v>20</v>
      </c>
      <c r="G361" s="12" t="s">
        <v>27</v>
      </c>
      <c r="H361" s="12" t="s">
        <v>303</v>
      </c>
      <c r="I361" s="14">
        <v>45258</v>
      </c>
      <c r="J361" s="12" t="s">
        <v>1570</v>
      </c>
    </row>
    <row r="362" spans="1:10" s="15" customFormat="1" x14ac:dyDescent="0.15">
      <c r="A362" s="11">
        <v>45264</v>
      </c>
      <c r="B362" s="12" t="s">
        <v>344</v>
      </c>
      <c r="C362" s="12" t="s">
        <v>345</v>
      </c>
      <c r="D362" s="13" t="str">
        <f>HYPERLINK("https://www.marklines.com/en/global/9538","Hozon New Energy Automobile Co., Ltd. (formerly Zhejiang Hozon New Energy Automobile Co., Ltd.)")</f>
        <v>Hozon New Energy Automobile Co., Ltd. (formerly Zhejiang Hozon New Energy Automobile Co., Ltd.)</v>
      </c>
      <c r="E362" s="12" t="s">
        <v>360</v>
      </c>
      <c r="F362" s="12" t="s">
        <v>20</v>
      </c>
      <c r="G362" s="12" t="s">
        <v>27</v>
      </c>
      <c r="H362" s="12" t="s">
        <v>342</v>
      </c>
      <c r="I362" s="14">
        <v>45255</v>
      </c>
      <c r="J362" s="12" t="s">
        <v>1571</v>
      </c>
    </row>
    <row r="363" spans="1:10" s="15" customFormat="1" x14ac:dyDescent="0.15">
      <c r="A363" s="11">
        <v>45264</v>
      </c>
      <c r="B363" s="12" t="s">
        <v>344</v>
      </c>
      <c r="C363" s="12" t="s">
        <v>345</v>
      </c>
      <c r="D363" s="13" t="str">
        <f>HYPERLINK("https://www.marklines.com/en/global/10404","Hozon New Energy Automobile Co., Ltd. Yichun Branch")</f>
        <v>Hozon New Energy Automobile Co., Ltd. Yichun Branch</v>
      </c>
      <c r="E363" s="12" t="s">
        <v>944</v>
      </c>
      <c r="F363" s="12" t="s">
        <v>20</v>
      </c>
      <c r="G363" s="12" t="s">
        <v>27</v>
      </c>
      <c r="H363" s="12" t="s">
        <v>418</v>
      </c>
      <c r="I363" s="14">
        <v>45255</v>
      </c>
      <c r="J363" s="12" t="s">
        <v>1571</v>
      </c>
    </row>
    <row r="364" spans="1:10" s="15" customFormat="1" x14ac:dyDescent="0.15">
      <c r="A364" s="11">
        <v>45262</v>
      </c>
      <c r="B364" s="12" t="s">
        <v>33</v>
      </c>
      <c r="C364" s="12" t="s">
        <v>80</v>
      </c>
      <c r="D364" s="13" t="str">
        <f>HYPERLINK("https://www.marklines.com/en/global/1741","Škoda Auto, Kvasiny Plant")</f>
        <v>Škoda Auto, Kvasiny Plant</v>
      </c>
      <c r="E364" s="12" t="s">
        <v>377</v>
      </c>
      <c r="F364" s="12" t="s">
        <v>18</v>
      </c>
      <c r="G364" s="12" t="s">
        <v>81</v>
      </c>
      <c r="H364" s="12"/>
      <c r="I364" s="14">
        <v>45261</v>
      </c>
      <c r="J364" s="12" t="s">
        <v>1572</v>
      </c>
    </row>
    <row r="365" spans="1:10" s="15" customFormat="1" x14ac:dyDescent="0.15">
      <c r="A365" s="11">
        <v>45262</v>
      </c>
      <c r="B365" s="12" t="s">
        <v>33</v>
      </c>
      <c r="C365" s="12" t="s">
        <v>80</v>
      </c>
      <c r="D365" s="13" t="str">
        <f>HYPERLINK("https://www.marklines.com/en/global/1771","Volkswagen Slovakia, Bratislava Plant")</f>
        <v>Volkswagen Slovakia, Bratislava Plant</v>
      </c>
      <c r="E365" s="12" t="s">
        <v>109</v>
      </c>
      <c r="F365" s="12" t="s">
        <v>18</v>
      </c>
      <c r="G365" s="12" t="s">
        <v>55</v>
      </c>
      <c r="H365" s="12"/>
      <c r="I365" s="14">
        <v>45261</v>
      </c>
      <c r="J365" s="12" t="s">
        <v>1572</v>
      </c>
    </row>
    <row r="366" spans="1:10" s="15" customFormat="1" x14ac:dyDescent="0.15">
      <c r="A366" s="11">
        <v>45262</v>
      </c>
      <c r="B366" s="12" t="s">
        <v>33</v>
      </c>
      <c r="C366" s="12" t="s">
        <v>80</v>
      </c>
      <c r="D366" s="13" t="str">
        <f>HYPERLINK("https://www.marklines.com/en/global/1739","Škoda Auto, Mladá Boleslav Plant")</f>
        <v>Škoda Auto, Mladá Boleslav Plant</v>
      </c>
      <c r="E366" s="12" t="s">
        <v>376</v>
      </c>
      <c r="F366" s="12" t="s">
        <v>18</v>
      </c>
      <c r="G366" s="12" t="s">
        <v>81</v>
      </c>
      <c r="H366" s="12"/>
      <c r="I366" s="14">
        <v>45261</v>
      </c>
      <c r="J366" s="12" t="s">
        <v>1572</v>
      </c>
    </row>
    <row r="367" spans="1:10" s="15" customFormat="1" x14ac:dyDescent="0.15">
      <c r="A367" s="11">
        <v>45262</v>
      </c>
      <c r="B367" s="12" t="s">
        <v>56</v>
      </c>
      <c r="C367" s="12" t="s">
        <v>56</v>
      </c>
      <c r="D367" s="13" t="str">
        <f>HYPERLINK("https://www.marklines.com/en/global/3189","Nissan North America, Smyrna Plant")</f>
        <v>Nissan North America, Smyrna Plant</v>
      </c>
      <c r="E367" s="12" t="s">
        <v>489</v>
      </c>
      <c r="F367" s="12" t="s">
        <v>16</v>
      </c>
      <c r="G367" s="12" t="s">
        <v>11</v>
      </c>
      <c r="H367" s="12" t="s">
        <v>490</v>
      </c>
      <c r="I367" s="14">
        <v>45260</v>
      </c>
      <c r="J367" s="12" t="s">
        <v>1573</v>
      </c>
    </row>
    <row r="368" spans="1:10" s="15" customFormat="1" x14ac:dyDescent="0.15">
      <c r="A368" s="11">
        <v>45262</v>
      </c>
      <c r="B368" s="12" t="s">
        <v>56</v>
      </c>
      <c r="C368" s="12" t="s">
        <v>56</v>
      </c>
      <c r="D368" s="13" t="str">
        <f>HYPERLINK("https://www.marklines.com/en/global/2361","Nissan Motor Manufacturing UK (NMUK), Sunderland Plant")</f>
        <v>Nissan Motor Manufacturing UK (NMUK), Sunderland Plant</v>
      </c>
      <c r="E368" s="12" t="s">
        <v>1206</v>
      </c>
      <c r="F368" s="12" t="s">
        <v>17</v>
      </c>
      <c r="G368" s="12" t="s">
        <v>47</v>
      </c>
      <c r="H368" s="12"/>
      <c r="I368" s="14">
        <v>45260</v>
      </c>
      <c r="J368" s="12" t="s">
        <v>1573</v>
      </c>
    </row>
    <row r="369" spans="1:10" s="15" customFormat="1" x14ac:dyDescent="0.15">
      <c r="A369" s="11">
        <v>45262</v>
      </c>
      <c r="B369" s="12" t="s">
        <v>254</v>
      </c>
      <c r="C369" s="12" t="s">
        <v>254</v>
      </c>
      <c r="D369" s="13" t="str">
        <f>HYPERLINK("https://www.marklines.com/en/global/10321","Tesla Gigafactory Texas")</f>
        <v>Tesla Gigafactory Texas</v>
      </c>
      <c r="E369" s="12" t="s">
        <v>255</v>
      </c>
      <c r="F369" s="12" t="s">
        <v>16</v>
      </c>
      <c r="G369" s="12" t="s">
        <v>11</v>
      </c>
      <c r="H369" s="12" t="s">
        <v>256</v>
      </c>
      <c r="I369" s="14">
        <v>45260</v>
      </c>
      <c r="J369" s="12" t="s">
        <v>1574</v>
      </c>
    </row>
    <row r="370" spans="1:10" s="15" customFormat="1" x14ac:dyDescent="0.15">
      <c r="A370" s="11">
        <v>45262</v>
      </c>
      <c r="B370" s="12" t="s">
        <v>65</v>
      </c>
      <c r="C370" s="12" t="s">
        <v>66</v>
      </c>
      <c r="D370" s="13" t="str">
        <f>HYPERLINK("https://www.marklines.com/en/global/843","Stellantis, FCA Mexico, Toluca Assembly Plant")</f>
        <v>Stellantis, FCA Mexico, Toluca Assembly Plant</v>
      </c>
      <c r="E370" s="12" t="s">
        <v>1575</v>
      </c>
      <c r="F370" s="12" t="s">
        <v>16</v>
      </c>
      <c r="G370" s="12" t="s">
        <v>91</v>
      </c>
      <c r="H370" s="12"/>
      <c r="I370" s="14">
        <v>45258</v>
      </c>
      <c r="J370" s="12" t="s">
        <v>1576</v>
      </c>
    </row>
    <row r="371" spans="1:10" s="15" customFormat="1" x14ac:dyDescent="0.15">
      <c r="A371" s="11">
        <v>45261</v>
      </c>
      <c r="B371" s="12" t="s">
        <v>33</v>
      </c>
      <c r="C371" s="12" t="s">
        <v>332</v>
      </c>
      <c r="D371" s="13" t="str">
        <f>HYPERLINK("https://www.marklines.com/en/global/10650","PowerCo SE, Sagunto Gigafactory")</f>
        <v>PowerCo SE, Sagunto Gigafactory</v>
      </c>
      <c r="E371" s="12" t="s">
        <v>103</v>
      </c>
      <c r="F371" s="12" t="s">
        <v>17</v>
      </c>
      <c r="G371" s="12" t="s">
        <v>62</v>
      </c>
      <c r="H371" s="12"/>
      <c r="I371" s="14">
        <v>45261</v>
      </c>
      <c r="J371" s="12" t="s">
        <v>1337</v>
      </c>
    </row>
    <row r="372" spans="1:10" s="15" customFormat="1" x14ac:dyDescent="0.15">
      <c r="A372" s="11">
        <v>45261</v>
      </c>
      <c r="B372" s="12" t="s">
        <v>45</v>
      </c>
      <c r="C372" s="12" t="s">
        <v>45</v>
      </c>
      <c r="D372" s="13" t="str">
        <f>HYPERLINK("https://www.marklines.com/en/global/1939","Stellantis, Peugeot Citroen Automoviles Espana S.A., Vigo Plant")</f>
        <v>Stellantis, Peugeot Citroen Automoviles Espana S.A., Vigo Plant</v>
      </c>
      <c r="E372" s="12" t="s">
        <v>287</v>
      </c>
      <c r="F372" s="12" t="s">
        <v>17</v>
      </c>
      <c r="G372" s="12" t="s">
        <v>62</v>
      </c>
      <c r="H372" s="12"/>
      <c r="I372" s="14">
        <v>45260</v>
      </c>
      <c r="J372" s="12" t="s">
        <v>1338</v>
      </c>
    </row>
    <row r="373" spans="1:10" s="15" customFormat="1" x14ac:dyDescent="0.15">
      <c r="A373" s="11">
        <v>45261</v>
      </c>
      <c r="B373" s="12" t="s">
        <v>33</v>
      </c>
      <c r="C373" s="12" t="s">
        <v>1339</v>
      </c>
      <c r="D373" s="13" t="str">
        <f>HYPERLINK("https://www.marklines.com/en/global/1961","SEAT Componentes, El Prat de Llobregat Plant")</f>
        <v>SEAT Componentes, El Prat de Llobregat Plant</v>
      </c>
      <c r="E373" s="12" t="s">
        <v>1340</v>
      </c>
      <c r="F373" s="12" t="s">
        <v>17</v>
      </c>
      <c r="G373" s="12" t="s">
        <v>62</v>
      </c>
      <c r="H373" s="12"/>
      <c r="I373" s="14">
        <v>45260</v>
      </c>
      <c r="J373" s="12" t="s">
        <v>1341</v>
      </c>
    </row>
    <row r="374" spans="1:10" s="15" customFormat="1" x14ac:dyDescent="0.15">
      <c r="A374" s="11">
        <v>45261</v>
      </c>
      <c r="B374" s="12" t="s">
        <v>33</v>
      </c>
      <c r="C374" s="12" t="s">
        <v>1339</v>
      </c>
      <c r="D374" s="13" t="str">
        <f>HYPERLINK("https://www.marklines.com/en/global/1957","SEAT S.A., Barcelona Plant")</f>
        <v>SEAT S.A., Barcelona Plant</v>
      </c>
      <c r="E374" s="12" t="s">
        <v>1342</v>
      </c>
      <c r="F374" s="12" t="s">
        <v>17</v>
      </c>
      <c r="G374" s="12" t="s">
        <v>62</v>
      </c>
      <c r="H374" s="12"/>
      <c r="I374" s="14">
        <v>45260</v>
      </c>
      <c r="J374" s="12" t="s">
        <v>1341</v>
      </c>
    </row>
    <row r="375" spans="1:10" s="15" customFormat="1" x14ac:dyDescent="0.15">
      <c r="A375" s="11">
        <v>45261</v>
      </c>
      <c r="B375" s="12" t="s">
        <v>33</v>
      </c>
      <c r="C375" s="12" t="s">
        <v>1339</v>
      </c>
      <c r="D375" s="13" t="str">
        <f>HYPERLINK("https://www.marklines.com/en/global/1955","SEAT S.A., Martorell Plant")</f>
        <v>SEAT S.A., Martorell Plant</v>
      </c>
      <c r="E375" s="12" t="s">
        <v>1134</v>
      </c>
      <c r="F375" s="12" t="s">
        <v>17</v>
      </c>
      <c r="G375" s="12" t="s">
        <v>62</v>
      </c>
      <c r="H375" s="12"/>
      <c r="I375" s="14">
        <v>45260</v>
      </c>
      <c r="J375" s="12" t="s">
        <v>1341</v>
      </c>
    </row>
    <row r="376" spans="1:10" s="15" customFormat="1" x14ac:dyDescent="0.15">
      <c r="A376" s="11">
        <v>45261</v>
      </c>
      <c r="B376" s="12" t="s">
        <v>45</v>
      </c>
      <c r="C376" s="12" t="s">
        <v>120</v>
      </c>
      <c r="D376" s="13" t="str">
        <f>HYPERLINK("https://www.marklines.com/en/global/1931","Stellantis, Opel Espana de Automoviles, S.A., Zaragoza (Figueruelas) Plant")</f>
        <v>Stellantis, Opel Espana de Automoviles, S.A., Zaragoza (Figueruelas) Plant</v>
      </c>
      <c r="E376" s="12" t="s">
        <v>284</v>
      </c>
      <c r="F376" s="12" t="s">
        <v>17</v>
      </c>
      <c r="G376" s="12" t="s">
        <v>62</v>
      </c>
      <c r="H376" s="12"/>
      <c r="I376" s="14">
        <v>45260</v>
      </c>
      <c r="J376" s="12" t="s">
        <v>1343</v>
      </c>
    </row>
    <row r="377" spans="1:10" s="15" customFormat="1" x14ac:dyDescent="0.15">
      <c r="A377" s="11">
        <v>45261</v>
      </c>
      <c r="B377" s="12" t="s">
        <v>408</v>
      </c>
      <c r="C377" s="12" t="s">
        <v>409</v>
      </c>
      <c r="D377" s="13" t="str">
        <f>HYPERLINK("https://www.marklines.com/en/global/1159","MG Motor India Pvt. Ltd., Panchmahal (Halol) Plant (former General Motors India)")</f>
        <v>MG Motor India Pvt. Ltd., Panchmahal (Halol) Plant (former General Motors India)</v>
      </c>
      <c r="E377" s="12" t="s">
        <v>1344</v>
      </c>
      <c r="F377" s="12" t="s">
        <v>25</v>
      </c>
      <c r="G377" s="12" t="s">
        <v>26</v>
      </c>
      <c r="H377" s="12" t="s">
        <v>470</v>
      </c>
      <c r="I377" s="14">
        <v>45260</v>
      </c>
      <c r="J377" s="12" t="s">
        <v>1345</v>
      </c>
    </row>
    <row r="378" spans="1:10" s="15" customFormat="1" x14ac:dyDescent="0.15">
      <c r="A378" s="11">
        <v>45261</v>
      </c>
      <c r="B378" s="12" t="s">
        <v>33</v>
      </c>
      <c r="C378" s="12" t="s">
        <v>131</v>
      </c>
      <c r="D378" s="13" t="str">
        <f>HYPERLINK("https://www.marklines.com/en/global/10283","Porsche Engineering Group GmbH, Weissach")</f>
        <v>Porsche Engineering Group GmbH, Weissach</v>
      </c>
      <c r="E378" s="12" t="s">
        <v>1346</v>
      </c>
      <c r="F378" s="12" t="s">
        <v>17</v>
      </c>
      <c r="G378" s="12" t="s">
        <v>21</v>
      </c>
      <c r="H378" s="12"/>
      <c r="I378" s="14">
        <v>45259</v>
      </c>
      <c r="J378" s="12" t="s">
        <v>1347</v>
      </c>
    </row>
    <row r="379" spans="1:10" s="15" customFormat="1" x14ac:dyDescent="0.15">
      <c r="A379" s="11">
        <v>45261</v>
      </c>
      <c r="B379" s="12" t="s">
        <v>1282</v>
      </c>
      <c r="C379" s="12" t="s">
        <v>1282</v>
      </c>
      <c r="D379" s="13" t="str">
        <f>HYPERLINK("https://www.marklines.com/en/global/9553","Leapmotor Co., Ltd. ")</f>
        <v xml:space="preserve">Leapmotor Co., Ltd. </v>
      </c>
      <c r="E379" s="12" t="s">
        <v>1283</v>
      </c>
      <c r="F379" s="12" t="s">
        <v>20</v>
      </c>
      <c r="G379" s="12" t="s">
        <v>27</v>
      </c>
      <c r="H379" s="12" t="s">
        <v>342</v>
      </c>
      <c r="I379" s="14">
        <v>45225</v>
      </c>
      <c r="J379" s="12" t="s">
        <v>1348</v>
      </c>
    </row>
    <row r="380" spans="1:10" s="15" customFormat="1" x14ac:dyDescent="0.15">
      <c r="A380" s="11">
        <v>45260</v>
      </c>
      <c r="B380" s="12" t="s">
        <v>243</v>
      </c>
      <c r="C380" s="12" t="s">
        <v>1349</v>
      </c>
      <c r="D380" s="13" t="str">
        <f>HYPERLINK("https://www.marklines.com/en/global/1849","SC Automobile Dacia SA, Mioveni Plant - Vehicle Assembly ")</f>
        <v xml:space="preserve">SC Automobile Dacia SA, Mioveni Plant - Vehicle Assembly </v>
      </c>
      <c r="E380" s="12" t="s">
        <v>1350</v>
      </c>
      <c r="F380" s="12" t="s">
        <v>18</v>
      </c>
      <c r="G380" s="12" t="s">
        <v>755</v>
      </c>
      <c r="H380" s="12"/>
      <c r="I380" s="14">
        <v>45259</v>
      </c>
      <c r="J380" s="12" t="s">
        <v>1351</v>
      </c>
    </row>
    <row r="381" spans="1:10" s="15" customFormat="1" x14ac:dyDescent="0.15">
      <c r="A381" s="11">
        <v>45260</v>
      </c>
      <c r="B381" s="12" t="s">
        <v>1352</v>
      </c>
      <c r="C381" s="12" t="s">
        <v>1352</v>
      </c>
      <c r="D381" s="13" t="str">
        <f>HYPERLINK("https://www.marklines.com/en/global/799","OAO UAZ (Ulyanovsky Avtomobilny Zavod), Ulyanovsk Plant")</f>
        <v>OAO UAZ (Ulyanovsky Avtomobilny Zavod), Ulyanovsk Plant</v>
      </c>
      <c r="E381" s="12" t="s">
        <v>95</v>
      </c>
      <c r="F381" s="12" t="s">
        <v>18</v>
      </c>
      <c r="G381" s="12" t="s">
        <v>14</v>
      </c>
      <c r="H381" s="12"/>
      <c r="I381" s="14">
        <v>45259</v>
      </c>
      <c r="J381" s="12" t="s">
        <v>1353</v>
      </c>
    </row>
    <row r="382" spans="1:10" s="15" customFormat="1" x14ac:dyDescent="0.15">
      <c r="A382" s="11">
        <v>45260</v>
      </c>
      <c r="B382" s="12" t="s">
        <v>15</v>
      </c>
      <c r="C382" s="12" t="s">
        <v>15</v>
      </c>
      <c r="D382" s="13" t="str">
        <f>HYPERLINK("https://www.marklines.com/en/global/3981","Dongfeng Honda Automobile Co., Ltd. ")</f>
        <v xml:space="preserve">Dongfeng Honda Automobile Co., Ltd. </v>
      </c>
      <c r="E382" s="12" t="s">
        <v>1000</v>
      </c>
      <c r="F382" s="12" t="s">
        <v>20</v>
      </c>
      <c r="G382" s="12" t="s">
        <v>27</v>
      </c>
      <c r="H382" s="12" t="s">
        <v>554</v>
      </c>
      <c r="I382" s="14">
        <v>45259</v>
      </c>
      <c r="J382" s="12" t="s">
        <v>1354</v>
      </c>
    </row>
    <row r="383" spans="1:10" s="15" customFormat="1" x14ac:dyDescent="0.15">
      <c r="A383" s="11">
        <v>45260</v>
      </c>
      <c r="B383" s="12" t="s">
        <v>15</v>
      </c>
      <c r="C383" s="12" t="s">
        <v>15</v>
      </c>
      <c r="D383" s="13" t="str">
        <f>HYPERLINK("https://www.marklines.com/en/global/439","Honda Motor, Saitama Factory Automobile Plant")</f>
        <v>Honda Motor, Saitama Factory Automobile Plant</v>
      </c>
      <c r="E383" s="12" t="s">
        <v>1355</v>
      </c>
      <c r="F383" s="12" t="s">
        <v>20</v>
      </c>
      <c r="G383" s="12" t="s">
        <v>23</v>
      </c>
      <c r="H383" s="12" t="s">
        <v>1356</v>
      </c>
      <c r="I383" s="14">
        <v>45259</v>
      </c>
      <c r="J383" s="12" t="s">
        <v>1354</v>
      </c>
    </row>
    <row r="384" spans="1:10" s="15" customFormat="1" x14ac:dyDescent="0.15">
      <c r="A384" s="11">
        <v>45260</v>
      </c>
      <c r="B384" s="12" t="s">
        <v>45</v>
      </c>
      <c r="C384" s="12" t="s">
        <v>45</v>
      </c>
      <c r="D384" s="13" t="str">
        <f>HYPERLINK("https://www.marklines.com/en/global/1939","Stellantis, Peugeot Citroen Automoviles Espana S.A., Vigo Plant")</f>
        <v>Stellantis, Peugeot Citroen Automoviles Espana S.A., Vigo Plant</v>
      </c>
      <c r="E384" s="12" t="s">
        <v>287</v>
      </c>
      <c r="F384" s="12" t="s">
        <v>17</v>
      </c>
      <c r="G384" s="12" t="s">
        <v>62</v>
      </c>
      <c r="H384" s="12"/>
      <c r="I384" s="14">
        <v>45258</v>
      </c>
      <c r="J384" s="12" t="s">
        <v>1357</v>
      </c>
    </row>
    <row r="385" spans="1:10" s="15" customFormat="1" x14ac:dyDescent="0.15">
      <c r="A385" s="11">
        <v>45260</v>
      </c>
      <c r="B385" s="12" t="s">
        <v>41</v>
      </c>
      <c r="C385" s="12" t="s">
        <v>42</v>
      </c>
      <c r="D385" s="13" t="str">
        <f>HYPERLINK("https://www.marklines.com/en/global/10245","Group Research &amp; MBC Development (Sindelfingen)")</f>
        <v>Group Research &amp; MBC Development (Sindelfingen)</v>
      </c>
      <c r="E385" s="12" t="s">
        <v>224</v>
      </c>
      <c r="F385" s="12" t="s">
        <v>17</v>
      </c>
      <c r="G385" s="12" t="s">
        <v>21</v>
      </c>
      <c r="H385" s="12"/>
      <c r="I385" s="14">
        <v>45258</v>
      </c>
      <c r="J385" s="12" t="s">
        <v>1358</v>
      </c>
    </row>
    <row r="386" spans="1:10" s="15" customFormat="1" x14ac:dyDescent="0.15">
      <c r="A386" s="11">
        <v>45260</v>
      </c>
      <c r="B386" s="12" t="s">
        <v>33</v>
      </c>
      <c r="C386" s="12" t="s">
        <v>332</v>
      </c>
      <c r="D386" s="13" t="str">
        <f>HYPERLINK("https://www.marklines.com/en/global/817","AGR Automotive Group (AGR LLC), Kaluga plant (formerly Volkswagen Russia)")</f>
        <v>AGR Automotive Group (AGR LLC), Kaluga plant (formerly Volkswagen Russia)</v>
      </c>
      <c r="E386" s="12" t="s">
        <v>1359</v>
      </c>
      <c r="F386" s="12" t="s">
        <v>18</v>
      </c>
      <c r="G386" s="12" t="s">
        <v>14</v>
      </c>
      <c r="H386" s="12"/>
      <c r="I386" s="14">
        <v>45258</v>
      </c>
      <c r="J386" s="12" t="s">
        <v>1360</v>
      </c>
    </row>
    <row r="387" spans="1:10" s="15" customFormat="1" x14ac:dyDescent="0.15">
      <c r="A387" s="11">
        <v>45260</v>
      </c>
      <c r="B387" s="12" t="s">
        <v>13</v>
      </c>
      <c r="C387" s="12" t="s">
        <v>13</v>
      </c>
      <c r="D387" s="13" t="str">
        <f>HYPERLINK("https://www.marklines.com/en/global/817","AGR Automotive Group (AGR LLC), Kaluga plant (formerly Volkswagen Russia)")</f>
        <v>AGR Automotive Group (AGR LLC), Kaluga plant (formerly Volkswagen Russia)</v>
      </c>
      <c r="E387" s="12" t="s">
        <v>1359</v>
      </c>
      <c r="F387" s="12" t="s">
        <v>18</v>
      </c>
      <c r="G387" s="12" t="s">
        <v>14</v>
      </c>
      <c r="H387" s="12"/>
      <c r="I387" s="14">
        <v>45258</v>
      </c>
      <c r="J387" s="12" t="s">
        <v>1360</v>
      </c>
    </row>
    <row r="388" spans="1:10" s="15" customFormat="1" x14ac:dyDescent="0.15">
      <c r="A388" s="11">
        <v>45260</v>
      </c>
      <c r="B388" s="12" t="s">
        <v>22</v>
      </c>
      <c r="C388" s="12" t="s">
        <v>22</v>
      </c>
      <c r="D388" s="13" t="str">
        <f>HYPERLINK("https://www.marklines.com/en/global/409","Toyota Auto Body, Fujimatsu Plant")</f>
        <v>Toyota Auto Body, Fujimatsu Plant</v>
      </c>
      <c r="E388" s="12" t="s">
        <v>661</v>
      </c>
      <c r="F388" s="12" t="s">
        <v>20</v>
      </c>
      <c r="G388" s="12" t="s">
        <v>23</v>
      </c>
      <c r="H388" s="12" t="s">
        <v>61</v>
      </c>
      <c r="I388" s="14">
        <v>45258</v>
      </c>
      <c r="J388" s="12" t="s">
        <v>1361</v>
      </c>
    </row>
    <row r="389" spans="1:10" s="15" customFormat="1" x14ac:dyDescent="0.15">
      <c r="A389" s="11">
        <v>45260</v>
      </c>
      <c r="B389" s="12" t="s">
        <v>41</v>
      </c>
      <c r="C389" s="12" t="s">
        <v>42</v>
      </c>
      <c r="D389" s="13" t="str">
        <f>HYPERLINK("https://www.marklines.com/en/global/3049","Mercedes-Benz U.S. International (MBUSI), Tuscaloosa (Vance) Plant")</f>
        <v>Mercedes-Benz U.S. International (MBUSI), Tuscaloosa (Vance) Plant</v>
      </c>
      <c r="E389" s="12" t="s">
        <v>259</v>
      </c>
      <c r="F389" s="12" t="s">
        <v>16</v>
      </c>
      <c r="G389" s="12" t="s">
        <v>11</v>
      </c>
      <c r="H389" s="12" t="s">
        <v>260</v>
      </c>
      <c r="I389" s="14">
        <v>45258</v>
      </c>
      <c r="J389" s="12" t="s">
        <v>1362</v>
      </c>
    </row>
    <row r="390" spans="1:10" s="15" customFormat="1" x14ac:dyDescent="0.15">
      <c r="A390" s="11">
        <v>45260</v>
      </c>
      <c r="B390" s="12" t="s">
        <v>41</v>
      </c>
      <c r="C390" s="12" t="s">
        <v>42</v>
      </c>
      <c r="D390" s="13" t="str">
        <f>HYPERLINK("https://www.marklines.com/en/global/2237","Mercedes-Benz Group AG, Bremen Plant")</f>
        <v>Mercedes-Benz Group AG, Bremen Plant</v>
      </c>
      <c r="E390" s="12" t="s">
        <v>1363</v>
      </c>
      <c r="F390" s="12" t="s">
        <v>17</v>
      </c>
      <c r="G390" s="12" t="s">
        <v>21</v>
      </c>
      <c r="H390" s="12"/>
      <c r="I390" s="14">
        <v>45258</v>
      </c>
      <c r="J390" s="12" t="s">
        <v>1362</v>
      </c>
    </row>
    <row r="391" spans="1:10" s="15" customFormat="1" x14ac:dyDescent="0.15">
      <c r="A391" s="11">
        <v>45260</v>
      </c>
      <c r="B391" s="12" t="s">
        <v>13</v>
      </c>
      <c r="C391" s="12" t="s">
        <v>1364</v>
      </c>
      <c r="D391" s="13" t="str">
        <f>HYPERLINK("https://www.marklines.com/en/global/10447","Beijing Automobile Works (Qingdao) Co., Ltd.")</f>
        <v>Beijing Automobile Works (Qingdao) Co., Ltd.</v>
      </c>
      <c r="E391" s="12" t="s">
        <v>1365</v>
      </c>
      <c r="F391" s="12" t="s">
        <v>20</v>
      </c>
      <c r="G391" s="12" t="s">
        <v>27</v>
      </c>
      <c r="H391" s="12" t="s">
        <v>354</v>
      </c>
      <c r="I391" s="14">
        <v>45257</v>
      </c>
      <c r="J391" s="12" t="s">
        <v>1366</v>
      </c>
    </row>
    <row r="392" spans="1:10" s="15" customFormat="1" x14ac:dyDescent="0.15">
      <c r="A392" s="11">
        <v>45260</v>
      </c>
      <c r="B392" s="12" t="s">
        <v>45</v>
      </c>
      <c r="C392" s="12" t="s">
        <v>45</v>
      </c>
      <c r="D392" s="13" t="str">
        <f>HYPERLINK("https://www.marklines.com/en/global/9536","Zhejiang Leapmotor Technology Co., Ltd.")</f>
        <v>Zhejiang Leapmotor Technology Co., Ltd.</v>
      </c>
      <c r="E392" s="12" t="s">
        <v>1367</v>
      </c>
      <c r="F392" s="12" t="s">
        <v>20</v>
      </c>
      <c r="G392" s="12" t="s">
        <v>27</v>
      </c>
      <c r="H392" s="12" t="s">
        <v>342</v>
      </c>
      <c r="I392" s="14">
        <v>45254</v>
      </c>
      <c r="J392" s="12" t="s">
        <v>1368</v>
      </c>
    </row>
    <row r="393" spans="1:10" s="15" customFormat="1" x14ac:dyDescent="0.15">
      <c r="A393" s="11">
        <v>45260</v>
      </c>
      <c r="B393" s="12" t="s">
        <v>1282</v>
      </c>
      <c r="C393" s="12" t="s">
        <v>1282</v>
      </c>
      <c r="D393" s="13" t="str">
        <f>HYPERLINK("https://www.marklines.com/en/global/9536","Zhejiang Leapmotor Technology Co., Ltd.")</f>
        <v>Zhejiang Leapmotor Technology Co., Ltd.</v>
      </c>
      <c r="E393" s="12" t="s">
        <v>1367</v>
      </c>
      <c r="F393" s="12" t="s">
        <v>20</v>
      </c>
      <c r="G393" s="12" t="s">
        <v>27</v>
      </c>
      <c r="H393" s="12" t="s">
        <v>342</v>
      </c>
      <c r="I393" s="14">
        <v>45254</v>
      </c>
      <c r="J393" s="12" t="s">
        <v>1368</v>
      </c>
    </row>
    <row r="394" spans="1:10" s="15" customFormat="1" x14ac:dyDescent="0.15">
      <c r="A394" s="11">
        <v>45260</v>
      </c>
      <c r="B394" s="12" t="s">
        <v>1282</v>
      </c>
      <c r="C394" s="12" t="s">
        <v>1282</v>
      </c>
      <c r="D394" s="13" t="str">
        <f>HYPERLINK("https://www.marklines.com/en/global/9553","Leapmotor Co., Ltd. ")</f>
        <v xml:space="preserve">Leapmotor Co., Ltd. </v>
      </c>
      <c r="E394" s="12" t="s">
        <v>1283</v>
      </c>
      <c r="F394" s="12" t="s">
        <v>20</v>
      </c>
      <c r="G394" s="12" t="s">
        <v>27</v>
      </c>
      <c r="H394" s="12" t="s">
        <v>342</v>
      </c>
      <c r="I394" s="14">
        <v>45254</v>
      </c>
      <c r="J394" s="12" t="s">
        <v>1368</v>
      </c>
    </row>
    <row r="395" spans="1:10" s="15" customFormat="1" x14ac:dyDescent="0.15">
      <c r="A395" s="11">
        <v>45260</v>
      </c>
      <c r="B395" s="12" t="s">
        <v>720</v>
      </c>
      <c r="C395" s="12" t="s">
        <v>721</v>
      </c>
      <c r="D395" s="13" t="str">
        <f>HYPERLINK("https://www.marklines.com/en/global/517","Mitsubishi Motors, Mizushima Plant")</f>
        <v>Mitsubishi Motors, Mizushima Plant</v>
      </c>
      <c r="E395" s="12" t="s">
        <v>1369</v>
      </c>
      <c r="F395" s="12" t="s">
        <v>20</v>
      </c>
      <c r="G395" s="12" t="s">
        <v>23</v>
      </c>
      <c r="H395" s="12" t="s">
        <v>1370</v>
      </c>
      <c r="I395" s="14">
        <v>45254</v>
      </c>
      <c r="J395" s="12" t="s">
        <v>1371</v>
      </c>
    </row>
    <row r="396" spans="1:10" s="15" customFormat="1" x14ac:dyDescent="0.15">
      <c r="A396" s="11">
        <v>45260</v>
      </c>
      <c r="B396" s="12" t="s">
        <v>104</v>
      </c>
      <c r="C396" s="12" t="s">
        <v>1372</v>
      </c>
      <c r="D396" s="13" t="str">
        <f>HYPERLINK("https://www.marklines.com/en/global/573","UD Trucks, Ageo Plant")</f>
        <v>UD Trucks, Ageo Plant</v>
      </c>
      <c r="E396" s="12" t="s">
        <v>1373</v>
      </c>
      <c r="F396" s="12" t="s">
        <v>20</v>
      </c>
      <c r="G396" s="12" t="s">
        <v>23</v>
      </c>
      <c r="H396" s="12" t="s">
        <v>1356</v>
      </c>
      <c r="I396" s="14">
        <v>45252</v>
      </c>
      <c r="J396" s="12" t="s">
        <v>1374</v>
      </c>
    </row>
    <row r="397" spans="1:10" s="15" customFormat="1" x14ac:dyDescent="0.15">
      <c r="A397" s="11">
        <v>45260</v>
      </c>
      <c r="B397" s="12" t="s">
        <v>400</v>
      </c>
      <c r="C397" s="12" t="s">
        <v>1375</v>
      </c>
      <c r="D397" s="13" t="str">
        <f>HYPERLINK("https://www.marklines.com/en/global/3681","Shandong TKing Ouling Automobile Manufacture Co., Ltd.")</f>
        <v>Shandong TKing Ouling Automobile Manufacture Co., Ltd.</v>
      </c>
      <c r="E397" s="12" t="s">
        <v>420</v>
      </c>
      <c r="F397" s="12" t="s">
        <v>20</v>
      </c>
      <c r="G397" s="12" t="s">
        <v>27</v>
      </c>
      <c r="H397" s="12" t="s">
        <v>354</v>
      </c>
      <c r="I397" s="14">
        <v>45252</v>
      </c>
      <c r="J397" s="12" t="s">
        <v>1376</v>
      </c>
    </row>
    <row r="398" spans="1:10" s="15" customFormat="1" x14ac:dyDescent="0.15">
      <c r="A398" s="11">
        <v>45260</v>
      </c>
      <c r="B398" s="12" t="s">
        <v>56</v>
      </c>
      <c r="C398" s="12" t="s">
        <v>56</v>
      </c>
      <c r="D398" s="13" t="str">
        <f>HYPERLINK("https://www.marklines.com/en/global/10077","Nissan Design Latin America (São Paulo)")</f>
        <v>Nissan Design Latin America (São Paulo)</v>
      </c>
      <c r="E398" s="12" t="s">
        <v>1377</v>
      </c>
      <c r="F398" s="12" t="s">
        <v>425</v>
      </c>
      <c r="G398" s="12" t="s">
        <v>426</v>
      </c>
      <c r="H398" s="12"/>
      <c r="I398" s="14">
        <v>45251</v>
      </c>
      <c r="J398" s="12" t="s">
        <v>1378</v>
      </c>
    </row>
    <row r="399" spans="1:10" s="15" customFormat="1" x14ac:dyDescent="0.15">
      <c r="A399" s="11">
        <v>45260</v>
      </c>
      <c r="B399" s="12" t="s">
        <v>56</v>
      </c>
      <c r="C399" s="12" t="s">
        <v>56</v>
      </c>
      <c r="D399" s="13" t="str">
        <f>HYPERLINK("https://www.marklines.com/en/global/10075","Nissan Do Brasil Automoveis Ltda. (Sao Jose dos Pinhais)")</f>
        <v>Nissan Do Brasil Automoveis Ltda. (Sao Jose dos Pinhais)</v>
      </c>
      <c r="E399" s="12" t="s">
        <v>1379</v>
      </c>
      <c r="F399" s="12" t="s">
        <v>425</v>
      </c>
      <c r="G399" s="12" t="s">
        <v>426</v>
      </c>
      <c r="H399" s="12"/>
      <c r="I399" s="14">
        <v>45251</v>
      </c>
      <c r="J399" s="12" t="s">
        <v>1378</v>
      </c>
    </row>
    <row r="400" spans="1:10" s="15" customFormat="1" x14ac:dyDescent="0.15">
      <c r="A400" s="11">
        <v>45260</v>
      </c>
      <c r="B400" s="12" t="s">
        <v>56</v>
      </c>
      <c r="C400" s="12" t="s">
        <v>56</v>
      </c>
      <c r="D400" s="13" t="str">
        <f>HYPERLINK("https://www.marklines.com/en/global/8688","Nissan Mexico, Aguascalientes Plant 2 (3rd plant in Mexico)")</f>
        <v>Nissan Mexico, Aguascalientes Plant 2 (3rd plant in Mexico)</v>
      </c>
      <c r="E400" s="12" t="s">
        <v>1380</v>
      </c>
      <c r="F400" s="12" t="s">
        <v>16</v>
      </c>
      <c r="G400" s="12" t="s">
        <v>91</v>
      </c>
      <c r="H400" s="12"/>
      <c r="I400" s="14">
        <v>45251</v>
      </c>
      <c r="J400" s="12" t="s">
        <v>1378</v>
      </c>
    </row>
    <row r="401" spans="1:10" s="15" customFormat="1" x14ac:dyDescent="0.15">
      <c r="A401" s="11">
        <v>45260</v>
      </c>
      <c r="B401" s="12" t="s">
        <v>56</v>
      </c>
      <c r="C401" s="12" t="s">
        <v>56</v>
      </c>
      <c r="D401" s="13" t="str">
        <f>HYPERLINK("https://www.marklines.com/en/global/893","Nissan Mexico, Aguascalientes Plant 1")</f>
        <v>Nissan Mexico, Aguascalientes Plant 1</v>
      </c>
      <c r="E401" s="12" t="s">
        <v>273</v>
      </c>
      <c r="F401" s="12" t="s">
        <v>16</v>
      </c>
      <c r="G401" s="12" t="s">
        <v>91</v>
      </c>
      <c r="H401" s="12"/>
      <c r="I401" s="14">
        <v>45251</v>
      </c>
      <c r="J401" s="12" t="s">
        <v>1378</v>
      </c>
    </row>
    <row r="402" spans="1:10" s="15" customFormat="1" x14ac:dyDescent="0.15">
      <c r="A402" s="11">
        <v>45260</v>
      </c>
      <c r="B402" s="12" t="s">
        <v>56</v>
      </c>
      <c r="C402" s="12" t="s">
        <v>56</v>
      </c>
      <c r="D402" s="13" t="str">
        <f>HYPERLINK("https://www.marklines.com/en/global/895","Nissan Mexico, Cuernavaca (Civac) Plant")</f>
        <v>Nissan Mexico, Cuernavaca (Civac) Plant</v>
      </c>
      <c r="E402" s="12" t="s">
        <v>275</v>
      </c>
      <c r="F402" s="12" t="s">
        <v>16</v>
      </c>
      <c r="G402" s="12" t="s">
        <v>91</v>
      </c>
      <c r="H402" s="12"/>
      <c r="I402" s="14">
        <v>45251</v>
      </c>
      <c r="J402" s="12" t="s">
        <v>1378</v>
      </c>
    </row>
    <row r="403" spans="1:10" s="15" customFormat="1" x14ac:dyDescent="0.15">
      <c r="A403" s="11">
        <v>45260</v>
      </c>
      <c r="B403" s="12" t="s">
        <v>56</v>
      </c>
      <c r="C403" s="12" t="s">
        <v>56</v>
      </c>
      <c r="D403" s="13" t="str">
        <f>HYPERLINK("https://www.marklines.com/en/global/8604","Nissan do Brasil Automóveis Ltda., Resende Plant")</f>
        <v>Nissan do Brasil Automóveis Ltda., Resende Plant</v>
      </c>
      <c r="E403" s="12" t="s">
        <v>1003</v>
      </c>
      <c r="F403" s="12" t="s">
        <v>425</v>
      </c>
      <c r="G403" s="12" t="s">
        <v>426</v>
      </c>
      <c r="H403" s="12"/>
      <c r="I403" s="14">
        <v>45251</v>
      </c>
      <c r="J403" s="12" t="s">
        <v>1378</v>
      </c>
    </row>
    <row r="404" spans="1:10" s="15" customFormat="1" x14ac:dyDescent="0.15">
      <c r="A404" s="11">
        <v>45260</v>
      </c>
      <c r="B404" s="12" t="s">
        <v>56</v>
      </c>
      <c r="C404" s="12" t="s">
        <v>56</v>
      </c>
      <c r="D404" s="13" t="str">
        <f>HYPERLINK("https://www.marklines.com/en/global/10051","Nissan Technical Center North America - Mexico (Toluca)")</f>
        <v>Nissan Technical Center North America - Mexico (Toluca)</v>
      </c>
      <c r="E404" s="12" t="s">
        <v>1381</v>
      </c>
      <c r="F404" s="12" t="s">
        <v>16</v>
      </c>
      <c r="G404" s="12" t="s">
        <v>91</v>
      </c>
      <c r="H404" s="12"/>
      <c r="I404" s="14">
        <v>45251</v>
      </c>
      <c r="J404" s="12" t="s">
        <v>1378</v>
      </c>
    </row>
    <row r="405" spans="1:10" s="15" customFormat="1" x14ac:dyDescent="0.15">
      <c r="A405" s="11">
        <v>45260</v>
      </c>
      <c r="B405" s="12" t="s">
        <v>56</v>
      </c>
      <c r="C405" s="12" t="s">
        <v>56</v>
      </c>
      <c r="D405" s="13" t="str">
        <f>HYPERLINK("https://www.marklines.com/en/global/2803","Renault Argentina S.A., Cordoba Plant")</f>
        <v>Renault Argentina S.A., Cordoba Plant</v>
      </c>
      <c r="E405" s="12" t="s">
        <v>1382</v>
      </c>
      <c r="F405" s="12" t="s">
        <v>425</v>
      </c>
      <c r="G405" s="12" t="s">
        <v>505</v>
      </c>
      <c r="H405" s="12"/>
      <c r="I405" s="14">
        <v>45251</v>
      </c>
      <c r="J405" s="12" t="s">
        <v>1378</v>
      </c>
    </row>
    <row r="406" spans="1:10" s="15" customFormat="1" x14ac:dyDescent="0.15">
      <c r="A406" s="11">
        <v>45259</v>
      </c>
      <c r="B406" s="12" t="s">
        <v>45</v>
      </c>
      <c r="C406" s="12" t="s">
        <v>606</v>
      </c>
      <c r="D406" s="13" t="str">
        <f>HYPERLINK("https://www.marklines.com/en/global/1323","Stellantis, FCA Italy, Cassino Plant")</f>
        <v>Stellantis, FCA Italy, Cassino Plant</v>
      </c>
      <c r="E406" s="12" t="s">
        <v>608</v>
      </c>
      <c r="F406" s="12" t="s">
        <v>17</v>
      </c>
      <c r="G406" s="12" t="s">
        <v>46</v>
      </c>
      <c r="H406" s="12"/>
      <c r="I406" s="14">
        <v>45258</v>
      </c>
      <c r="J406" s="12" t="s">
        <v>1383</v>
      </c>
    </row>
    <row r="407" spans="1:10" s="15" customFormat="1" x14ac:dyDescent="0.15">
      <c r="A407" s="11">
        <v>45259</v>
      </c>
      <c r="B407" s="12" t="s">
        <v>45</v>
      </c>
      <c r="C407" s="12" t="s">
        <v>609</v>
      </c>
      <c r="D407" s="13" t="str">
        <f>HYPERLINK("https://www.marklines.com/en/global/1323","Stellantis, FCA Italy, Cassino Plant")</f>
        <v>Stellantis, FCA Italy, Cassino Plant</v>
      </c>
      <c r="E407" s="12" t="s">
        <v>608</v>
      </c>
      <c r="F407" s="12" t="s">
        <v>17</v>
      </c>
      <c r="G407" s="12" t="s">
        <v>46</v>
      </c>
      <c r="H407" s="12"/>
      <c r="I407" s="14">
        <v>45258</v>
      </c>
      <c r="J407" s="12" t="s">
        <v>1383</v>
      </c>
    </row>
    <row r="408" spans="1:10" s="15" customFormat="1" x14ac:dyDescent="0.15">
      <c r="A408" s="11">
        <v>45259</v>
      </c>
      <c r="B408" s="12" t="s">
        <v>22</v>
      </c>
      <c r="C408" s="12" t="s">
        <v>22</v>
      </c>
      <c r="D408" s="13" t="str">
        <f>HYPERLINK("https://www.marklines.com/en/global/10275","Toyota Motor North America Research and Development (TMNA R&amp;D) - Ann Arbor")</f>
        <v>Toyota Motor North America Research and Development (TMNA R&amp;D) - Ann Arbor</v>
      </c>
      <c r="E408" s="12" t="s">
        <v>1384</v>
      </c>
      <c r="F408" s="12" t="s">
        <v>16</v>
      </c>
      <c r="G408" s="12" t="s">
        <v>11</v>
      </c>
      <c r="H408" s="12" t="s">
        <v>40</v>
      </c>
      <c r="I408" s="14">
        <v>45258</v>
      </c>
      <c r="J408" s="12" t="s">
        <v>1385</v>
      </c>
    </row>
    <row r="409" spans="1:10" s="15" customFormat="1" x14ac:dyDescent="0.15">
      <c r="A409" s="11">
        <v>45259</v>
      </c>
      <c r="B409" s="12" t="s">
        <v>22</v>
      </c>
      <c r="C409" s="12" t="s">
        <v>22</v>
      </c>
      <c r="D409" s="13" t="str">
        <f>HYPERLINK("https://www.marklines.com/en/global/10016","Toyota Motor North America Research and Development (TMNA R&amp;D) - Saline ")</f>
        <v xml:space="preserve">Toyota Motor North America Research and Development (TMNA R&amp;D) - Saline </v>
      </c>
      <c r="E409" s="12" t="s">
        <v>1386</v>
      </c>
      <c r="F409" s="12" t="s">
        <v>16</v>
      </c>
      <c r="G409" s="12" t="s">
        <v>11</v>
      </c>
      <c r="H409" s="12" t="s">
        <v>40</v>
      </c>
      <c r="I409" s="14">
        <v>45258</v>
      </c>
      <c r="J409" s="12" t="s">
        <v>1385</v>
      </c>
    </row>
    <row r="410" spans="1:10" s="15" customFormat="1" x14ac:dyDescent="0.15">
      <c r="A410" s="11">
        <v>45259</v>
      </c>
      <c r="B410" s="12" t="s">
        <v>22</v>
      </c>
      <c r="C410" s="12" t="s">
        <v>22</v>
      </c>
      <c r="D410" s="13" t="str">
        <f>HYPERLINK("https://www.marklines.com/en/global/10019","Toyota Motor North America Research and Development, California (TMNA R&amp;D California) (Gardena)")</f>
        <v>Toyota Motor North America Research and Development, California (TMNA R&amp;D California) (Gardena)</v>
      </c>
      <c r="E410" s="12" t="s">
        <v>1387</v>
      </c>
      <c r="F410" s="12" t="s">
        <v>16</v>
      </c>
      <c r="G410" s="12" t="s">
        <v>11</v>
      </c>
      <c r="H410" s="12" t="s">
        <v>248</v>
      </c>
      <c r="I410" s="14">
        <v>45258</v>
      </c>
      <c r="J410" s="12" t="s">
        <v>1385</v>
      </c>
    </row>
    <row r="411" spans="1:10" s="15" customFormat="1" x14ac:dyDescent="0.15">
      <c r="A411" s="11">
        <v>45259</v>
      </c>
      <c r="B411" s="12" t="s">
        <v>22</v>
      </c>
      <c r="C411" s="12" t="s">
        <v>22</v>
      </c>
      <c r="D411" s="13" t="str">
        <f>HYPERLINK("https://www.marklines.com/en/global/907","Toyota Motor Manufacturing de Baja California, S.de R.L. de C.V. (TMMBC), Tijuana Plant")</f>
        <v>Toyota Motor Manufacturing de Baja California, S.de R.L. de C.V. (TMMBC), Tijuana Plant</v>
      </c>
      <c r="E411" s="12" t="s">
        <v>1388</v>
      </c>
      <c r="F411" s="12" t="s">
        <v>16</v>
      </c>
      <c r="G411" s="12" t="s">
        <v>91</v>
      </c>
      <c r="H411" s="12"/>
      <c r="I411" s="14">
        <v>45258</v>
      </c>
      <c r="J411" s="12" t="s">
        <v>1385</v>
      </c>
    </row>
    <row r="412" spans="1:10" s="15" customFormat="1" x14ac:dyDescent="0.15">
      <c r="A412" s="11">
        <v>45259</v>
      </c>
      <c r="B412" s="12" t="s">
        <v>22</v>
      </c>
      <c r="C412" s="12" t="s">
        <v>22</v>
      </c>
      <c r="D412" s="13" t="str">
        <f>HYPERLINK("https://www.marklines.com/en/global/9330","Toyota Motor Mexico (TMMGT), Guanajuato Plant")</f>
        <v>Toyota Motor Mexico (TMMGT), Guanajuato Plant</v>
      </c>
      <c r="E412" s="12" t="s">
        <v>1389</v>
      </c>
      <c r="F412" s="12" t="s">
        <v>16</v>
      </c>
      <c r="G412" s="12" t="s">
        <v>91</v>
      </c>
      <c r="H412" s="12"/>
      <c r="I412" s="14">
        <v>45258</v>
      </c>
      <c r="J412" s="12" t="s">
        <v>1385</v>
      </c>
    </row>
    <row r="413" spans="1:10" s="15" customFormat="1" x14ac:dyDescent="0.15">
      <c r="A413" s="11">
        <v>45259</v>
      </c>
      <c r="B413" s="12" t="s">
        <v>22</v>
      </c>
      <c r="C413" s="12" t="s">
        <v>22</v>
      </c>
      <c r="D413" s="13" t="str">
        <f>HYPERLINK("https://www.marklines.com/en/global/10023","Calty Design Research, Inc. (Newport Beach)")</f>
        <v>Calty Design Research, Inc. (Newport Beach)</v>
      </c>
      <c r="E413" s="12" t="s">
        <v>1390</v>
      </c>
      <c r="F413" s="12" t="s">
        <v>16</v>
      </c>
      <c r="G413" s="12" t="s">
        <v>11</v>
      </c>
      <c r="H413" s="12" t="s">
        <v>248</v>
      </c>
      <c r="I413" s="14">
        <v>45258</v>
      </c>
      <c r="J413" s="12" t="s">
        <v>1385</v>
      </c>
    </row>
    <row r="414" spans="1:10" s="15" customFormat="1" x14ac:dyDescent="0.15">
      <c r="A414" s="11">
        <v>45259</v>
      </c>
      <c r="B414" s="12" t="s">
        <v>22</v>
      </c>
      <c r="C414" s="12" t="s">
        <v>22</v>
      </c>
      <c r="D414" s="13" t="str">
        <f>HYPERLINK("https://www.marklines.com/en/global/10024","Calty Design Research, Inc. (Ann Arbor)")</f>
        <v>Calty Design Research, Inc. (Ann Arbor)</v>
      </c>
      <c r="E414" s="12" t="s">
        <v>1391</v>
      </c>
      <c r="F414" s="12" t="s">
        <v>16</v>
      </c>
      <c r="G414" s="12" t="s">
        <v>11</v>
      </c>
      <c r="H414" s="12" t="s">
        <v>40</v>
      </c>
      <c r="I414" s="14">
        <v>45258</v>
      </c>
      <c r="J414" s="12" t="s">
        <v>1385</v>
      </c>
    </row>
    <row r="415" spans="1:10" s="15" customFormat="1" x14ac:dyDescent="0.15">
      <c r="A415" s="11">
        <v>45259</v>
      </c>
      <c r="B415" s="12" t="s">
        <v>22</v>
      </c>
      <c r="C415" s="12" t="s">
        <v>22</v>
      </c>
      <c r="D415" s="13" t="str">
        <f>HYPERLINK("https://www.marklines.com/en/global/10017","Collaborative Safety Research Center (CSRC) (on the premises of TMNA R&amp;D) (Ann Arbor)")</f>
        <v>Collaborative Safety Research Center (CSRC) (on the premises of TMNA R&amp;D) (Ann Arbor)</v>
      </c>
      <c r="E415" s="12" t="s">
        <v>1392</v>
      </c>
      <c r="F415" s="12" t="s">
        <v>16</v>
      </c>
      <c r="G415" s="12" t="s">
        <v>11</v>
      </c>
      <c r="H415" s="12" t="s">
        <v>40</v>
      </c>
      <c r="I415" s="14">
        <v>45258</v>
      </c>
      <c r="J415" s="12" t="s">
        <v>1385</v>
      </c>
    </row>
    <row r="416" spans="1:10" s="15" customFormat="1" x14ac:dyDescent="0.15">
      <c r="A416" s="11">
        <v>45259</v>
      </c>
      <c r="B416" s="12" t="s">
        <v>31</v>
      </c>
      <c r="C416" s="12" t="s">
        <v>31</v>
      </c>
      <c r="D416" s="13" t="str">
        <f>HYPERLINK("https://www.marklines.com/en/global/2207","BMW AG, Dingolfing Plant")</f>
        <v>BMW AG, Dingolfing Plant</v>
      </c>
      <c r="E416" s="12" t="s">
        <v>702</v>
      </c>
      <c r="F416" s="12" t="s">
        <v>17</v>
      </c>
      <c r="G416" s="12" t="s">
        <v>21</v>
      </c>
      <c r="H416" s="12"/>
      <c r="I416" s="14">
        <v>45257</v>
      </c>
      <c r="J416" s="12" t="s">
        <v>1393</v>
      </c>
    </row>
    <row r="417" spans="1:10" s="15" customFormat="1" x14ac:dyDescent="0.15">
      <c r="A417" s="11">
        <v>45259</v>
      </c>
      <c r="B417" s="12" t="s">
        <v>31</v>
      </c>
      <c r="C417" s="12" t="s">
        <v>31</v>
      </c>
      <c r="D417" s="13" t="str">
        <f>HYPERLINK("https://www.marklines.com/en/global/2215","BMW AG, Leipzig Plant")</f>
        <v>BMW AG, Leipzig Plant</v>
      </c>
      <c r="E417" s="12" t="s">
        <v>704</v>
      </c>
      <c r="F417" s="12" t="s">
        <v>17</v>
      </c>
      <c r="G417" s="12" t="s">
        <v>21</v>
      </c>
      <c r="H417" s="12"/>
      <c r="I417" s="14">
        <v>45257</v>
      </c>
      <c r="J417" s="12" t="s">
        <v>1393</v>
      </c>
    </row>
    <row r="418" spans="1:10" s="15" customFormat="1" x14ac:dyDescent="0.15">
      <c r="A418" s="11">
        <v>45259</v>
      </c>
      <c r="B418" s="12" t="s">
        <v>31</v>
      </c>
      <c r="C418" s="12" t="s">
        <v>31</v>
      </c>
      <c r="D418" s="13" t="str">
        <f>HYPERLINK("https://www.marklines.com/en/global/2209","BMW AG, Regensburg Plant")</f>
        <v>BMW AG, Regensburg Plant</v>
      </c>
      <c r="E418" s="12" t="s">
        <v>226</v>
      </c>
      <c r="F418" s="12" t="s">
        <v>17</v>
      </c>
      <c r="G418" s="12" t="s">
        <v>21</v>
      </c>
      <c r="H418" s="12"/>
      <c r="I418" s="14">
        <v>45257</v>
      </c>
      <c r="J418" s="12" t="s">
        <v>1393</v>
      </c>
    </row>
    <row r="419" spans="1:10" s="15" customFormat="1" x14ac:dyDescent="0.15">
      <c r="A419" s="11">
        <v>45259</v>
      </c>
      <c r="B419" s="12" t="s">
        <v>31</v>
      </c>
      <c r="C419" s="12" t="s">
        <v>31</v>
      </c>
      <c r="D419" s="13" t="str">
        <f>HYPERLINK("https://www.marklines.com/en/global/10316","BMW Cell Manufacturing Competence Center (CMCC), Parsdorf")</f>
        <v>BMW Cell Manufacturing Competence Center (CMCC), Parsdorf</v>
      </c>
      <c r="E419" s="12" t="s">
        <v>695</v>
      </c>
      <c r="F419" s="12" t="s">
        <v>17</v>
      </c>
      <c r="G419" s="12" t="s">
        <v>21</v>
      </c>
      <c r="H419" s="12"/>
      <c r="I419" s="14">
        <v>45257</v>
      </c>
      <c r="J419" s="12" t="s">
        <v>1394</v>
      </c>
    </row>
    <row r="420" spans="1:10" s="15" customFormat="1" x14ac:dyDescent="0.15">
      <c r="A420" s="11">
        <v>45259</v>
      </c>
      <c r="B420" s="12" t="s">
        <v>495</v>
      </c>
      <c r="C420" s="12" t="s">
        <v>495</v>
      </c>
      <c r="D420" s="13" t="str">
        <f>HYPERLINK("https://www.marklines.com/en/global/3449","China Changan Automobile Group Co., Ltd. ")</f>
        <v xml:space="preserve">China Changan Automobile Group Co., Ltd. </v>
      </c>
      <c r="E420" s="12" t="s">
        <v>496</v>
      </c>
      <c r="F420" s="12" t="s">
        <v>20</v>
      </c>
      <c r="G420" s="12" t="s">
        <v>27</v>
      </c>
      <c r="H420" s="12" t="s">
        <v>456</v>
      </c>
      <c r="I420" s="14">
        <v>45255</v>
      </c>
      <c r="J420" s="12" t="s">
        <v>1395</v>
      </c>
    </row>
    <row r="421" spans="1:10" s="15" customFormat="1" x14ac:dyDescent="0.15">
      <c r="A421" s="11">
        <v>45259</v>
      </c>
      <c r="B421" s="12" t="s">
        <v>243</v>
      </c>
      <c r="C421" s="12" t="s">
        <v>243</v>
      </c>
      <c r="D421" s="13" t="str">
        <f>HYPERLINK("https://www.marklines.com/en/global/1947","Renault Spain, Valladolid Plant")</f>
        <v>Renault Spain, Valladolid Plant</v>
      </c>
      <c r="E421" s="12" t="s">
        <v>903</v>
      </c>
      <c r="F421" s="12" t="s">
        <v>17</v>
      </c>
      <c r="G421" s="12" t="s">
        <v>62</v>
      </c>
      <c r="H421" s="12"/>
      <c r="I421" s="14">
        <v>45254</v>
      </c>
      <c r="J421" s="12" t="s">
        <v>1396</v>
      </c>
    </row>
    <row r="422" spans="1:10" s="15" customFormat="1" x14ac:dyDescent="0.15">
      <c r="A422" s="11">
        <v>45259</v>
      </c>
      <c r="B422" s="12" t="s">
        <v>243</v>
      </c>
      <c r="C422" s="12" t="s">
        <v>243</v>
      </c>
      <c r="D422" s="13" t="str">
        <f>HYPERLINK("https://www.marklines.com/en/global/1943","Renault Spain, Palencia Plant")</f>
        <v>Renault Spain, Palencia Plant</v>
      </c>
      <c r="E422" s="12" t="s">
        <v>905</v>
      </c>
      <c r="F422" s="12" t="s">
        <v>17</v>
      </c>
      <c r="G422" s="12" t="s">
        <v>62</v>
      </c>
      <c r="H422" s="12"/>
      <c r="I422" s="14">
        <v>45254</v>
      </c>
      <c r="J422" s="12" t="s">
        <v>1396</v>
      </c>
    </row>
    <row r="423" spans="1:10" s="15" customFormat="1" x14ac:dyDescent="0.15">
      <c r="A423" s="11">
        <v>45259</v>
      </c>
      <c r="B423" s="12" t="s">
        <v>243</v>
      </c>
      <c r="C423" s="12" t="s">
        <v>243</v>
      </c>
      <c r="D423" s="13" t="str">
        <f>HYPERLINK("https://www.marklines.com/en/global/179","Renault S.A., Cléon Plant")</f>
        <v>Renault S.A., Cléon Plant</v>
      </c>
      <c r="E423" s="12" t="s">
        <v>524</v>
      </c>
      <c r="F423" s="12" t="s">
        <v>17</v>
      </c>
      <c r="G423" s="12" t="s">
        <v>32</v>
      </c>
      <c r="H423" s="12"/>
      <c r="I423" s="14">
        <v>45254</v>
      </c>
      <c r="J423" s="12" t="s">
        <v>1396</v>
      </c>
    </row>
    <row r="424" spans="1:10" s="15" customFormat="1" x14ac:dyDescent="0.15">
      <c r="A424" s="11">
        <v>45259</v>
      </c>
      <c r="B424" s="12" t="s">
        <v>33</v>
      </c>
      <c r="C424" s="12" t="s">
        <v>332</v>
      </c>
      <c r="D424" s="13" t="str">
        <f>HYPERLINK("https://www.marklines.com/en/global/10605","Mobility Asia Smart Technology Co., Ltd.")</f>
        <v>Mobility Asia Smart Technology Co., Ltd.</v>
      </c>
      <c r="E424" s="12" t="s">
        <v>1028</v>
      </c>
      <c r="F424" s="12" t="s">
        <v>20</v>
      </c>
      <c r="G424" s="12" t="s">
        <v>27</v>
      </c>
      <c r="H424" s="12" t="s">
        <v>456</v>
      </c>
      <c r="I424" s="14">
        <v>45254</v>
      </c>
      <c r="J424" s="12" t="s">
        <v>1397</v>
      </c>
    </row>
    <row r="425" spans="1:10" s="15" customFormat="1" x14ac:dyDescent="0.15">
      <c r="A425" s="11">
        <v>45259</v>
      </c>
      <c r="B425" s="12" t="s">
        <v>33</v>
      </c>
      <c r="C425" s="12" t="s">
        <v>332</v>
      </c>
      <c r="D425" s="13" t="str">
        <f>HYPERLINK("https://www.marklines.com/en/global/3341","FAW-Volkswagen Automotive Co., Ltd.")</f>
        <v>FAW-Volkswagen Automotive Co., Ltd.</v>
      </c>
      <c r="E425" s="12" t="s">
        <v>413</v>
      </c>
      <c r="F425" s="12" t="s">
        <v>20</v>
      </c>
      <c r="G425" s="12" t="s">
        <v>27</v>
      </c>
      <c r="H425" s="12" t="s">
        <v>414</v>
      </c>
      <c r="I425" s="14">
        <v>45254</v>
      </c>
      <c r="J425" s="12" t="s">
        <v>1397</v>
      </c>
    </row>
    <row r="426" spans="1:10" s="15" customFormat="1" x14ac:dyDescent="0.15">
      <c r="A426" s="11">
        <v>45259</v>
      </c>
      <c r="B426" s="12" t="s">
        <v>33</v>
      </c>
      <c r="C426" s="12" t="s">
        <v>332</v>
      </c>
      <c r="D426" s="13" t="str">
        <f>HYPERLINK("https://www.marklines.com/en/global/10708","Hefei Gotion High-tech Power Energy Co., Ltd.")</f>
        <v>Hefei Gotion High-tech Power Energy Co., Ltd.</v>
      </c>
      <c r="E426" s="12" t="s">
        <v>1398</v>
      </c>
      <c r="F426" s="12" t="s">
        <v>20</v>
      </c>
      <c r="G426" s="12" t="s">
        <v>27</v>
      </c>
      <c r="H426" s="12" t="s">
        <v>303</v>
      </c>
      <c r="I426" s="14">
        <v>45254</v>
      </c>
      <c r="J426" s="12" t="s">
        <v>1397</v>
      </c>
    </row>
    <row r="427" spans="1:10" s="15" customFormat="1" x14ac:dyDescent="0.15">
      <c r="A427" s="11">
        <v>45259</v>
      </c>
      <c r="B427" s="12" t="s">
        <v>33</v>
      </c>
      <c r="C427" s="12" t="s">
        <v>332</v>
      </c>
      <c r="D427" s="13" t="str">
        <f>HYPERLINK("https://www.marklines.com/en/global/9517","Volkswagen (Anhui) Automotive Company Limited  (formerly JAC Volkswagen Automotive Co., Ltd.)")</f>
        <v>Volkswagen (Anhui) Automotive Company Limited  (formerly JAC Volkswagen Automotive Co., Ltd.)</v>
      </c>
      <c r="E427" s="12" t="s">
        <v>1399</v>
      </c>
      <c r="F427" s="12" t="s">
        <v>20</v>
      </c>
      <c r="G427" s="12" t="s">
        <v>27</v>
      </c>
      <c r="H427" s="12" t="s">
        <v>303</v>
      </c>
      <c r="I427" s="14">
        <v>45254</v>
      </c>
      <c r="J427" s="12" t="s">
        <v>1397</v>
      </c>
    </row>
    <row r="428" spans="1:10" s="15" customFormat="1" x14ac:dyDescent="0.15">
      <c r="A428" s="11">
        <v>45259</v>
      </c>
      <c r="B428" s="12" t="s">
        <v>33</v>
      </c>
      <c r="C428" s="12" t="s">
        <v>332</v>
      </c>
      <c r="D428" s="13" t="str">
        <f>HYPERLINK("https://www.marklines.com/en/global/10714","Volkswagen (China) Technology Co., Ltd. (VCTC)")</f>
        <v>Volkswagen (China) Technology Co., Ltd. (VCTC)</v>
      </c>
      <c r="E428" s="12" t="s">
        <v>1400</v>
      </c>
      <c r="F428" s="12" t="s">
        <v>20</v>
      </c>
      <c r="G428" s="12" t="s">
        <v>27</v>
      </c>
      <c r="H428" s="12" t="s">
        <v>303</v>
      </c>
      <c r="I428" s="14">
        <v>45254</v>
      </c>
      <c r="J428" s="12" t="s">
        <v>1397</v>
      </c>
    </row>
    <row r="429" spans="1:10" s="15" customFormat="1" x14ac:dyDescent="0.15">
      <c r="A429" s="11">
        <v>45259</v>
      </c>
      <c r="B429" s="12" t="s">
        <v>33</v>
      </c>
      <c r="C429" s="12" t="s">
        <v>332</v>
      </c>
      <c r="D429" s="13" t="str">
        <f>HYPERLINK("https://www.marklines.com/en/global/3615","SAIC Volkswagen Automotive Co., Ltd.")</f>
        <v>SAIC Volkswagen Automotive Co., Ltd.</v>
      </c>
      <c r="E429" s="12" t="s">
        <v>1401</v>
      </c>
      <c r="F429" s="12" t="s">
        <v>20</v>
      </c>
      <c r="G429" s="12" t="s">
        <v>27</v>
      </c>
      <c r="H429" s="12" t="s">
        <v>314</v>
      </c>
      <c r="I429" s="14">
        <v>45254</v>
      </c>
      <c r="J429" s="12" t="s">
        <v>1397</v>
      </c>
    </row>
    <row r="430" spans="1:10" s="15" customFormat="1" x14ac:dyDescent="0.15">
      <c r="A430" s="11">
        <v>45259</v>
      </c>
      <c r="B430" s="12" t="s">
        <v>33</v>
      </c>
      <c r="C430" s="12" t="s">
        <v>332</v>
      </c>
      <c r="D430" s="13" t="str">
        <f>HYPERLINK("https://www.marklines.com/en/global/3481","Volkswagen (China) Investment Co., Ltd. ")</f>
        <v xml:space="preserve">Volkswagen (China) Investment Co., Ltd. </v>
      </c>
      <c r="E430" s="12" t="s">
        <v>1023</v>
      </c>
      <c r="F430" s="12" t="s">
        <v>20</v>
      </c>
      <c r="G430" s="12" t="s">
        <v>27</v>
      </c>
      <c r="H430" s="12" t="s">
        <v>456</v>
      </c>
      <c r="I430" s="14">
        <v>45254</v>
      </c>
      <c r="J430" s="12" t="s">
        <v>1397</v>
      </c>
    </row>
    <row r="431" spans="1:10" s="15" customFormat="1" x14ac:dyDescent="0.15">
      <c r="A431" s="11">
        <v>45259</v>
      </c>
      <c r="B431" s="12" t="s">
        <v>33</v>
      </c>
      <c r="C431" s="12" t="s">
        <v>332</v>
      </c>
      <c r="D431" s="13" t="str">
        <f>HYPERLINK("https://www.marklines.com/en/global/9485","Guangzhou Xiaopeng Motors Technology Co., Ltd. ")</f>
        <v xml:space="preserve">Guangzhou Xiaopeng Motors Technology Co., Ltd. </v>
      </c>
      <c r="E431" s="12" t="s">
        <v>1402</v>
      </c>
      <c r="F431" s="12" t="s">
        <v>20</v>
      </c>
      <c r="G431" s="12" t="s">
        <v>27</v>
      </c>
      <c r="H431" s="12" t="s">
        <v>357</v>
      </c>
      <c r="I431" s="14">
        <v>45254</v>
      </c>
      <c r="J431" s="12" t="s">
        <v>1397</v>
      </c>
    </row>
    <row r="432" spans="1:10" s="15" customFormat="1" x14ac:dyDescent="0.15">
      <c r="A432" s="11">
        <v>45259</v>
      </c>
      <c r="B432" s="12" t="s">
        <v>652</v>
      </c>
      <c r="C432" s="12" t="s">
        <v>652</v>
      </c>
      <c r="D432" s="13" t="str">
        <f>HYPERLINK("https://www.marklines.com/en/global/9485","Guangzhou Xiaopeng Motors Technology Co., Ltd. ")</f>
        <v xml:space="preserve">Guangzhou Xiaopeng Motors Technology Co., Ltd. </v>
      </c>
      <c r="E432" s="12" t="s">
        <v>1402</v>
      </c>
      <c r="F432" s="12" t="s">
        <v>20</v>
      </c>
      <c r="G432" s="12" t="s">
        <v>27</v>
      </c>
      <c r="H432" s="12" t="s">
        <v>357</v>
      </c>
      <c r="I432" s="14">
        <v>45254</v>
      </c>
      <c r="J432" s="12" t="s">
        <v>1397</v>
      </c>
    </row>
    <row r="433" spans="1:10" s="15" customFormat="1" x14ac:dyDescent="0.15">
      <c r="A433" s="11">
        <v>45259</v>
      </c>
      <c r="B433" s="12" t="s">
        <v>36</v>
      </c>
      <c r="C433" s="12" t="s">
        <v>36</v>
      </c>
      <c r="D433" s="13" t="str">
        <f>HYPERLINK("https://www.marklines.com/en/global/3533","Great Wall Motor Company Limited (GWM)")</f>
        <v>Great Wall Motor Company Limited (GWM)</v>
      </c>
      <c r="E433" s="12" t="s">
        <v>266</v>
      </c>
      <c r="F433" s="12" t="s">
        <v>20</v>
      </c>
      <c r="G433" s="12" t="s">
        <v>27</v>
      </c>
      <c r="H433" s="12" t="s">
        <v>267</v>
      </c>
      <c r="I433" s="14">
        <v>45253</v>
      </c>
      <c r="J433" s="12" t="s">
        <v>1403</v>
      </c>
    </row>
    <row r="434" spans="1:10" s="15" customFormat="1" x14ac:dyDescent="0.15">
      <c r="A434" s="11">
        <v>45259</v>
      </c>
      <c r="B434" s="12" t="s">
        <v>45</v>
      </c>
      <c r="C434" s="12" t="s">
        <v>45</v>
      </c>
      <c r="D434" s="13" t="str">
        <f>HYPERLINK("https://www.marklines.com/en/global/10577","NextStar Energy, Windsor Battery Plant")</f>
        <v>NextStar Energy, Windsor Battery Plant</v>
      </c>
      <c r="E434" s="12" t="s">
        <v>481</v>
      </c>
      <c r="F434" s="12" t="s">
        <v>16</v>
      </c>
      <c r="G434" s="12" t="s">
        <v>446</v>
      </c>
      <c r="H434" s="12"/>
      <c r="I434" s="14">
        <v>45253</v>
      </c>
      <c r="J434" s="12" t="s">
        <v>1404</v>
      </c>
    </row>
    <row r="435" spans="1:10" s="15" customFormat="1" x14ac:dyDescent="0.15">
      <c r="A435" s="11">
        <v>45259</v>
      </c>
      <c r="B435" s="12" t="s">
        <v>33</v>
      </c>
      <c r="C435" s="12" t="s">
        <v>332</v>
      </c>
      <c r="D435" s="13" t="str">
        <f>HYPERLINK("https://www.marklines.com/en/global/9517","Volkswagen (Anhui) Automotive Company Limited  (formerly JAC Volkswagen Automotive Co., Ltd.)")</f>
        <v>Volkswagen (Anhui) Automotive Company Limited  (formerly JAC Volkswagen Automotive Co., Ltd.)</v>
      </c>
      <c r="E435" s="12" t="s">
        <v>1399</v>
      </c>
      <c r="F435" s="12" t="s">
        <v>20</v>
      </c>
      <c r="G435" s="12" t="s">
        <v>27</v>
      </c>
      <c r="H435" s="12" t="s">
        <v>303</v>
      </c>
      <c r="I435" s="14">
        <v>45251</v>
      </c>
      <c r="J435" s="12" t="s">
        <v>1405</v>
      </c>
    </row>
    <row r="436" spans="1:10" s="15" customFormat="1" x14ac:dyDescent="0.15">
      <c r="A436" s="11">
        <v>45258</v>
      </c>
      <c r="B436" s="12" t="s">
        <v>45</v>
      </c>
      <c r="C436" s="12" t="s">
        <v>45</v>
      </c>
      <c r="D436" s="13" t="str">
        <f>HYPERLINK("https://www.marklines.com/en/global/10274","Automotive Cell Company (ACC)")</f>
        <v>Automotive Cell Company (ACC)</v>
      </c>
      <c r="E436" s="12" t="s">
        <v>898</v>
      </c>
      <c r="F436" s="12" t="s">
        <v>17</v>
      </c>
      <c r="G436" s="12" t="s">
        <v>32</v>
      </c>
      <c r="H436" s="12"/>
      <c r="I436" s="14">
        <v>45258</v>
      </c>
      <c r="J436" s="12" t="s">
        <v>1406</v>
      </c>
    </row>
    <row r="437" spans="1:10" s="15" customFormat="1" x14ac:dyDescent="0.15">
      <c r="A437" s="11">
        <v>45258</v>
      </c>
      <c r="B437" s="12" t="s">
        <v>45</v>
      </c>
      <c r="C437" s="12" t="s">
        <v>45</v>
      </c>
      <c r="D437" s="13" t="str">
        <f>HYPERLINK("https://www.marklines.com/en/global/10614","Automotive Cell Company (ACC), Douvrin/Billy-Berclau Plant")</f>
        <v>Automotive Cell Company (ACC), Douvrin/Billy-Berclau Plant</v>
      </c>
      <c r="E437" s="12" t="s">
        <v>461</v>
      </c>
      <c r="F437" s="12" t="s">
        <v>17</v>
      </c>
      <c r="G437" s="12" t="s">
        <v>32</v>
      </c>
      <c r="H437" s="12"/>
      <c r="I437" s="14">
        <v>45258</v>
      </c>
      <c r="J437" s="12" t="s">
        <v>1406</v>
      </c>
    </row>
    <row r="438" spans="1:10" s="15" customFormat="1" x14ac:dyDescent="0.15">
      <c r="A438" s="11">
        <v>45258</v>
      </c>
      <c r="B438" s="12" t="s">
        <v>43</v>
      </c>
      <c r="C438" s="12" t="s">
        <v>43</v>
      </c>
      <c r="D438" s="13" t="str">
        <f>HYPERLINK("https://www.marklines.com/en/global/2437","Hyundai Motor, Asan Plant")</f>
        <v>Hyundai Motor, Asan Plant</v>
      </c>
      <c r="E438" s="12" t="s">
        <v>1407</v>
      </c>
      <c r="F438" s="12" t="s">
        <v>20</v>
      </c>
      <c r="G438" s="12" t="s">
        <v>79</v>
      </c>
      <c r="H438" s="12"/>
      <c r="I438" s="14">
        <v>45258</v>
      </c>
      <c r="J438" s="12" t="s">
        <v>1408</v>
      </c>
    </row>
    <row r="439" spans="1:10" s="15" customFormat="1" x14ac:dyDescent="0.15">
      <c r="A439" s="11">
        <v>45258</v>
      </c>
      <c r="B439" s="12" t="s">
        <v>45</v>
      </c>
      <c r="C439" s="12" t="s">
        <v>45</v>
      </c>
      <c r="D439" s="13" t="str">
        <f>HYPERLINK("https://www.marklines.com/en/global/1939","Stellantis, Peugeot Citroen Automoviles Espana S.A., Vigo Plant")</f>
        <v>Stellantis, Peugeot Citroen Automoviles Espana S.A., Vigo Plant</v>
      </c>
      <c r="E439" s="12" t="s">
        <v>287</v>
      </c>
      <c r="F439" s="12" t="s">
        <v>17</v>
      </c>
      <c r="G439" s="12" t="s">
        <v>62</v>
      </c>
      <c r="H439" s="12"/>
      <c r="I439" s="14">
        <v>45257</v>
      </c>
      <c r="J439" s="12" t="s">
        <v>1409</v>
      </c>
    </row>
    <row r="440" spans="1:10" s="15" customFormat="1" x14ac:dyDescent="0.15">
      <c r="A440" s="11">
        <v>45258</v>
      </c>
      <c r="B440" s="12" t="s">
        <v>13</v>
      </c>
      <c r="C440" s="12" t="s">
        <v>340</v>
      </c>
      <c r="D440" s="13" t="str">
        <f>HYPERLINK("https://www.marklines.com/en/global/10641","NWTN (Zhejiang) Motor Co., Ltd.")</f>
        <v>NWTN (Zhejiang) Motor Co., Ltd.</v>
      </c>
      <c r="E440" s="12" t="s">
        <v>341</v>
      </c>
      <c r="F440" s="12" t="s">
        <v>20</v>
      </c>
      <c r="G440" s="12" t="s">
        <v>27</v>
      </c>
      <c r="H440" s="12" t="s">
        <v>342</v>
      </c>
      <c r="I440" s="14">
        <v>45257</v>
      </c>
      <c r="J440" s="12" t="s">
        <v>1410</v>
      </c>
    </row>
    <row r="441" spans="1:10" s="15" customFormat="1" x14ac:dyDescent="0.15">
      <c r="A441" s="11">
        <v>45258</v>
      </c>
      <c r="B441" s="12" t="s">
        <v>13</v>
      </c>
      <c r="C441" s="12" t="s">
        <v>13</v>
      </c>
      <c r="D441" s="13" t="str">
        <f>HYPERLINK("https://www.marklines.com/en/global/123","INEOS Automotive S.A.S., Hambach plant (formerly smart France S.A.S.)")</f>
        <v>INEOS Automotive S.A.S., Hambach plant (formerly smart France S.A.S.)</v>
      </c>
      <c r="E441" s="12" t="s">
        <v>1411</v>
      </c>
      <c r="F441" s="12" t="s">
        <v>17</v>
      </c>
      <c r="G441" s="12" t="s">
        <v>32</v>
      </c>
      <c r="H441" s="12"/>
      <c r="I441" s="14">
        <v>45257</v>
      </c>
      <c r="J441" s="12" t="s">
        <v>1412</v>
      </c>
    </row>
    <row r="442" spans="1:10" s="15" customFormat="1" x14ac:dyDescent="0.15">
      <c r="A442" s="11">
        <v>45258</v>
      </c>
      <c r="B442" s="12" t="s">
        <v>993</v>
      </c>
      <c r="C442" s="12" t="s">
        <v>993</v>
      </c>
      <c r="D442" s="13" t="str">
        <f>HYPERLINK("https://www.marklines.com/en/global/10596","Lion Electric, Joliet plant")</f>
        <v>Lion Electric, Joliet plant</v>
      </c>
      <c r="E442" s="12" t="s">
        <v>994</v>
      </c>
      <c r="F442" s="12" t="s">
        <v>16</v>
      </c>
      <c r="G442" s="12" t="s">
        <v>11</v>
      </c>
      <c r="H442" s="12" t="s">
        <v>39</v>
      </c>
      <c r="I442" s="14">
        <v>45257</v>
      </c>
      <c r="J442" s="12" t="s">
        <v>1413</v>
      </c>
    </row>
    <row r="443" spans="1:10" s="15" customFormat="1" x14ac:dyDescent="0.15">
      <c r="A443" s="11">
        <v>45258</v>
      </c>
      <c r="B443" s="12" t="s">
        <v>993</v>
      </c>
      <c r="C443" s="12" t="s">
        <v>993</v>
      </c>
      <c r="D443" s="13" t="str">
        <f>HYPERLINK("https://www.marklines.com/en/global/10597","Lion Electric, Canada Plant")</f>
        <v>Lion Electric, Canada Plant</v>
      </c>
      <c r="E443" s="12" t="s">
        <v>996</v>
      </c>
      <c r="F443" s="12" t="s">
        <v>16</v>
      </c>
      <c r="G443" s="12" t="s">
        <v>446</v>
      </c>
      <c r="H443" s="12"/>
      <c r="I443" s="14">
        <v>45257</v>
      </c>
      <c r="J443" s="12" t="s">
        <v>1413</v>
      </c>
    </row>
    <row r="444" spans="1:10" s="15" customFormat="1" x14ac:dyDescent="0.15">
      <c r="A444" s="11">
        <v>45258</v>
      </c>
      <c r="B444" s="12" t="s">
        <v>33</v>
      </c>
      <c r="C444" s="12" t="s">
        <v>131</v>
      </c>
      <c r="D444" s="13" t="str">
        <f>HYPERLINK("https://www.marklines.com/en/global/2191","Porsche AG, Leipzig Plant")</f>
        <v>Porsche AG, Leipzig Plant</v>
      </c>
      <c r="E444" s="12" t="s">
        <v>1306</v>
      </c>
      <c r="F444" s="12" t="s">
        <v>17</v>
      </c>
      <c r="G444" s="12" t="s">
        <v>21</v>
      </c>
      <c r="H444" s="12"/>
      <c r="I444" s="14">
        <v>45254</v>
      </c>
      <c r="J444" s="12" t="s">
        <v>1414</v>
      </c>
    </row>
    <row r="445" spans="1:10" s="15" customFormat="1" x14ac:dyDescent="0.15">
      <c r="A445" s="11">
        <v>45258</v>
      </c>
      <c r="B445" s="12" t="s">
        <v>33</v>
      </c>
      <c r="C445" s="12" t="s">
        <v>44</v>
      </c>
      <c r="D445" s="13" t="str">
        <f>HYPERLINK("https://www.marklines.com/en/global/9216","Volkswagen Poznan Sp. z o.o., Wrzesnia Plant")</f>
        <v>Volkswagen Poznan Sp. z o.o., Wrzesnia Plant</v>
      </c>
      <c r="E445" s="12" t="s">
        <v>1415</v>
      </c>
      <c r="F445" s="12" t="s">
        <v>18</v>
      </c>
      <c r="G445" s="12" t="s">
        <v>30</v>
      </c>
      <c r="H445" s="12"/>
      <c r="I445" s="14">
        <v>45254</v>
      </c>
      <c r="J445" s="12" t="s">
        <v>1416</v>
      </c>
    </row>
    <row r="446" spans="1:10" s="15" customFormat="1" x14ac:dyDescent="0.15">
      <c r="A446" s="11">
        <v>45258</v>
      </c>
      <c r="B446" s="12" t="s">
        <v>33</v>
      </c>
      <c r="C446" s="12" t="s">
        <v>44</v>
      </c>
      <c r="D446" s="13" t="str">
        <f>HYPERLINK("https://www.marklines.com/en/global/1711","Volkswagen Poznań Sp. z o.o., Poznań (Antoninek) Plant")</f>
        <v>Volkswagen Poznań Sp. z o.o., Poznań (Antoninek) Plant</v>
      </c>
      <c r="E446" s="12" t="s">
        <v>1417</v>
      </c>
      <c r="F446" s="12" t="s">
        <v>18</v>
      </c>
      <c r="G446" s="12" t="s">
        <v>30</v>
      </c>
      <c r="H446" s="12"/>
      <c r="I446" s="14">
        <v>45254</v>
      </c>
      <c r="J446" s="12" t="s">
        <v>1416</v>
      </c>
    </row>
    <row r="447" spans="1:10" s="15" customFormat="1" x14ac:dyDescent="0.15">
      <c r="A447" s="11">
        <v>45258</v>
      </c>
      <c r="B447" s="12" t="s">
        <v>12</v>
      </c>
      <c r="C447" s="12" t="s">
        <v>12</v>
      </c>
      <c r="D447" s="13" t="str">
        <f>HYPERLINK("https://www.marklines.com/en/global/2459","General Motors, Factory ZERO (Detroit-Hamtramck Plant) ")</f>
        <v xml:space="preserve">General Motors, Factory ZERO (Detroit-Hamtramck Plant) </v>
      </c>
      <c r="E447" s="12" t="s">
        <v>528</v>
      </c>
      <c r="F447" s="12" t="s">
        <v>16</v>
      </c>
      <c r="G447" s="12" t="s">
        <v>11</v>
      </c>
      <c r="H447" s="12" t="s">
        <v>40</v>
      </c>
      <c r="I447" s="14">
        <v>45252</v>
      </c>
      <c r="J447" s="12" t="s">
        <v>1418</v>
      </c>
    </row>
    <row r="448" spans="1:10" s="15" customFormat="1" x14ac:dyDescent="0.15">
      <c r="A448" s="11">
        <v>45258</v>
      </c>
      <c r="B448" s="12" t="s">
        <v>114</v>
      </c>
      <c r="C448" s="12" t="s">
        <v>114</v>
      </c>
      <c r="D448" s="13" t="str">
        <f>HYPERLINK("https://www.marklines.com/en/global/3215","Subaru of Indiana Automotive Inc. (SIA), Lafayette Plant")</f>
        <v>Subaru of Indiana Automotive Inc. (SIA), Lafayette Plant</v>
      </c>
      <c r="E448" s="12" t="s">
        <v>1419</v>
      </c>
      <c r="F448" s="12" t="s">
        <v>16</v>
      </c>
      <c r="G448" s="12" t="s">
        <v>11</v>
      </c>
      <c r="H448" s="12" t="s">
        <v>296</v>
      </c>
      <c r="I448" s="14">
        <v>45252</v>
      </c>
      <c r="J448" s="12" t="s">
        <v>1420</v>
      </c>
    </row>
    <row r="449" spans="1:10" s="15" customFormat="1" x14ac:dyDescent="0.15">
      <c r="A449" s="11">
        <v>45258</v>
      </c>
      <c r="B449" s="12" t="s">
        <v>770</v>
      </c>
      <c r="C449" s="12" t="s">
        <v>770</v>
      </c>
      <c r="D449" s="13" t="str">
        <f>HYPERLINK("https://www.marklines.com/en/global/9569","Anhui Jianghuai Automobile Group Corp., Ltd. Light Commercial Vehicle Branch")</f>
        <v>Anhui Jianghuai Automobile Group Corp., Ltd. Light Commercial Vehicle Branch</v>
      </c>
      <c r="E449" s="12" t="s">
        <v>1421</v>
      </c>
      <c r="F449" s="12" t="s">
        <v>20</v>
      </c>
      <c r="G449" s="12" t="s">
        <v>27</v>
      </c>
      <c r="H449" s="12" t="s">
        <v>303</v>
      </c>
      <c r="I449" s="14">
        <v>45248</v>
      </c>
      <c r="J449" s="12" t="s">
        <v>1422</v>
      </c>
    </row>
    <row r="450" spans="1:10" s="15" customFormat="1" x14ac:dyDescent="0.15">
      <c r="A450" s="11">
        <v>45258</v>
      </c>
      <c r="B450" s="12" t="s">
        <v>83</v>
      </c>
      <c r="C450" s="12" t="s">
        <v>83</v>
      </c>
      <c r="D450" s="13" t="str">
        <f>HYPERLINK("https://www.marklines.com/en/global/813","former Volvo Trucks Russia (ZAO Volvo Vostok), Kaluga Plant")</f>
        <v>former Volvo Trucks Russia (ZAO Volvo Vostok), Kaluga Plant</v>
      </c>
      <c r="E450" s="12" t="s">
        <v>1423</v>
      </c>
      <c r="F450" s="12" t="s">
        <v>18</v>
      </c>
      <c r="G450" s="12" t="s">
        <v>14</v>
      </c>
      <c r="H450" s="12"/>
      <c r="I450" s="14">
        <v>45247</v>
      </c>
      <c r="J450" s="12" t="s">
        <v>1424</v>
      </c>
    </row>
    <row r="451" spans="1:10" s="15" customFormat="1" x14ac:dyDescent="0.15">
      <c r="A451" s="11">
        <v>45258</v>
      </c>
      <c r="B451" s="12" t="s">
        <v>12</v>
      </c>
      <c r="C451" s="12" t="s">
        <v>529</v>
      </c>
      <c r="D451" s="13" t="str">
        <f>HYPERLINK("https://www.marklines.com/en/global/9108","SAIC General Motors Corporation Limited, Cadillac Plant")</f>
        <v>SAIC General Motors Corporation Limited, Cadillac Plant</v>
      </c>
      <c r="E451" s="12" t="s">
        <v>1425</v>
      </c>
      <c r="F451" s="12" t="s">
        <v>20</v>
      </c>
      <c r="G451" s="12" t="s">
        <v>27</v>
      </c>
      <c r="H451" s="12" t="s">
        <v>314</v>
      </c>
      <c r="I451" s="14">
        <v>45247</v>
      </c>
      <c r="J451" s="12" t="s">
        <v>1426</v>
      </c>
    </row>
    <row r="452" spans="1:10" s="15" customFormat="1" x14ac:dyDescent="0.15">
      <c r="A452" s="11">
        <v>45258</v>
      </c>
      <c r="B452" s="12" t="s">
        <v>12</v>
      </c>
      <c r="C452" s="12" t="s">
        <v>529</v>
      </c>
      <c r="D452" s="13" t="str">
        <f>HYPERLINK("https://www.marklines.com/en/global/8736","SAIC General Motors Co., Ltd. Wuhan Branch")</f>
        <v>SAIC General Motors Co., Ltd. Wuhan Branch</v>
      </c>
      <c r="E452" s="12" t="s">
        <v>1427</v>
      </c>
      <c r="F452" s="12" t="s">
        <v>20</v>
      </c>
      <c r="G452" s="12" t="s">
        <v>27</v>
      </c>
      <c r="H452" s="12" t="s">
        <v>554</v>
      </c>
      <c r="I452" s="14">
        <v>45247</v>
      </c>
      <c r="J452" s="12" t="s">
        <v>1426</v>
      </c>
    </row>
    <row r="453" spans="1:10" s="15" customFormat="1" x14ac:dyDescent="0.15">
      <c r="A453" s="11">
        <v>45258</v>
      </c>
      <c r="B453" s="12" t="s">
        <v>344</v>
      </c>
      <c r="C453" s="12" t="s">
        <v>345</v>
      </c>
      <c r="D453" s="13" t="str">
        <f>HYPERLINK("https://www.marklines.com/en/global/10712","Neta Zhihe New Energy Vehicle Technology (Shanghai) Co., Ltd.")</f>
        <v>Neta Zhihe New Energy Vehicle Technology (Shanghai) Co., Ltd.</v>
      </c>
      <c r="E453" s="12" t="s">
        <v>346</v>
      </c>
      <c r="F453" s="12" t="s">
        <v>20</v>
      </c>
      <c r="G453" s="12" t="s">
        <v>27</v>
      </c>
      <c r="H453" s="12" t="s">
        <v>314</v>
      </c>
      <c r="I453" s="14">
        <v>45247</v>
      </c>
      <c r="J453" s="12" t="s">
        <v>1428</v>
      </c>
    </row>
    <row r="454" spans="1:10" s="15" customFormat="1" x14ac:dyDescent="0.15">
      <c r="A454" s="11">
        <v>45258</v>
      </c>
      <c r="B454" s="12" t="s">
        <v>437</v>
      </c>
      <c r="C454" s="12" t="s">
        <v>437</v>
      </c>
      <c r="D454" s="13" t="str">
        <f>HYPERLINK("https://www.marklines.com/en/global/3879","Chery Automobile Co., Ltd. ")</f>
        <v xml:space="preserve">Chery Automobile Co., Ltd. </v>
      </c>
      <c r="E454" s="12" t="s">
        <v>848</v>
      </c>
      <c r="F454" s="12" t="s">
        <v>20</v>
      </c>
      <c r="G454" s="12" t="s">
        <v>27</v>
      </c>
      <c r="H454" s="12" t="s">
        <v>303</v>
      </c>
      <c r="I454" s="14">
        <v>45247</v>
      </c>
      <c r="J454" s="12" t="s">
        <v>1429</v>
      </c>
    </row>
    <row r="455" spans="1:10" s="15" customFormat="1" x14ac:dyDescent="0.15">
      <c r="A455" s="11">
        <v>45258</v>
      </c>
      <c r="B455" s="12" t="s">
        <v>22</v>
      </c>
      <c r="C455" s="12" t="s">
        <v>22</v>
      </c>
      <c r="D455" s="13" t="str">
        <f>HYPERLINK("https://www.marklines.com/en/global/10764","LG Energy Solution Michigan, Inc.")</f>
        <v>LG Energy Solution Michigan, Inc.</v>
      </c>
      <c r="E455" s="12" t="s">
        <v>1430</v>
      </c>
      <c r="F455" s="12" t="s">
        <v>16</v>
      </c>
      <c r="G455" s="12" t="s">
        <v>11</v>
      </c>
      <c r="H455" s="12" t="s">
        <v>40</v>
      </c>
      <c r="I455" s="14">
        <v>45244</v>
      </c>
      <c r="J455" s="12" t="s">
        <v>1431</v>
      </c>
    </row>
    <row r="456" spans="1:10" s="15" customFormat="1" x14ac:dyDescent="0.15">
      <c r="A456" s="11">
        <v>45258</v>
      </c>
      <c r="B456" s="12" t="s">
        <v>24</v>
      </c>
      <c r="C456" s="12" t="s">
        <v>24</v>
      </c>
      <c r="D456" s="13" t="str">
        <f>HYPERLINK("https://www.marklines.com/en/global/10431","Ford, BlueOval City/ BlueOval SK battery plant")</f>
        <v>Ford, BlueOval City/ BlueOval SK battery plant</v>
      </c>
      <c r="E456" s="12" t="s">
        <v>579</v>
      </c>
      <c r="F456" s="12" t="s">
        <v>16</v>
      </c>
      <c r="G456" s="12" t="s">
        <v>11</v>
      </c>
      <c r="H456" s="12" t="s">
        <v>490</v>
      </c>
      <c r="I456" s="14">
        <v>45240</v>
      </c>
      <c r="J456" s="12" t="s">
        <v>1432</v>
      </c>
    </row>
    <row r="457" spans="1:10" s="15" customFormat="1" x14ac:dyDescent="0.15">
      <c r="A457" s="11">
        <v>45257</v>
      </c>
      <c r="B457" s="12" t="s">
        <v>22</v>
      </c>
      <c r="C457" s="12" t="s">
        <v>22</v>
      </c>
      <c r="D457" s="13" t="str">
        <f>HYPERLINK("https://www.marklines.com/en/global/2087","Toyota Motor Thailand (TMT), Samrong (Samutprakarn) Plant")</f>
        <v>Toyota Motor Thailand (TMT), Samrong (Samutprakarn) Plant</v>
      </c>
      <c r="E457" s="12" t="s">
        <v>1433</v>
      </c>
      <c r="F457" s="12" t="s">
        <v>34</v>
      </c>
      <c r="G457" s="12" t="s">
        <v>71</v>
      </c>
      <c r="H457" s="12" t="s">
        <v>397</v>
      </c>
      <c r="I457" s="14">
        <v>45257</v>
      </c>
      <c r="J457" s="12" t="s">
        <v>1434</v>
      </c>
    </row>
    <row r="458" spans="1:10" s="15" customFormat="1" x14ac:dyDescent="0.15">
      <c r="A458" s="11">
        <v>45257</v>
      </c>
      <c r="B458" s="12" t="s">
        <v>45</v>
      </c>
      <c r="C458" s="12" t="s">
        <v>45</v>
      </c>
      <c r="D458" s="13" t="str">
        <f>HYPERLINK("https://www.marklines.com/en/global/1939","Stellantis, Peugeot Citroen Automoviles Espana S.A., Vigo Plant")</f>
        <v>Stellantis, Peugeot Citroen Automoviles Espana S.A., Vigo Plant</v>
      </c>
      <c r="E458" s="12" t="s">
        <v>287</v>
      </c>
      <c r="F458" s="12" t="s">
        <v>17</v>
      </c>
      <c r="G458" s="12" t="s">
        <v>62</v>
      </c>
      <c r="H458" s="12"/>
      <c r="I458" s="14">
        <v>45255</v>
      </c>
      <c r="J458" s="12" t="s">
        <v>1435</v>
      </c>
    </row>
    <row r="459" spans="1:10" s="15" customFormat="1" x14ac:dyDescent="0.15">
      <c r="A459" s="11">
        <v>45257</v>
      </c>
      <c r="B459" s="12" t="s">
        <v>35</v>
      </c>
      <c r="C459" s="12" t="s">
        <v>35</v>
      </c>
      <c r="D459" s="13" t="str">
        <f>HYPERLINK("https://www.marklines.com/en/global/1251","Maruti Suzuki India Ltd. (MSIL)")</f>
        <v>Maruti Suzuki India Ltd. (MSIL)</v>
      </c>
      <c r="E459" s="12" t="s">
        <v>467</v>
      </c>
      <c r="F459" s="12" t="s">
        <v>25</v>
      </c>
      <c r="G459" s="12" t="s">
        <v>26</v>
      </c>
      <c r="H459" s="12" t="s">
        <v>468</v>
      </c>
      <c r="I459" s="14">
        <v>45254</v>
      </c>
      <c r="J459" s="12" t="s">
        <v>1436</v>
      </c>
    </row>
    <row r="460" spans="1:10" s="15" customFormat="1" x14ac:dyDescent="0.15">
      <c r="A460" s="11">
        <v>45257</v>
      </c>
      <c r="B460" s="12" t="s">
        <v>35</v>
      </c>
      <c r="C460" s="12" t="s">
        <v>35</v>
      </c>
      <c r="D460" s="13" t="str">
        <f>HYPERLINK("https://www.marklines.com/en/global/1256","Suzuki Motor Gujarat Private Limited (SMG), Hansalpur plant")</f>
        <v>Suzuki Motor Gujarat Private Limited (SMG), Hansalpur plant</v>
      </c>
      <c r="E460" s="12" t="s">
        <v>469</v>
      </c>
      <c r="F460" s="12" t="s">
        <v>25</v>
      </c>
      <c r="G460" s="12" t="s">
        <v>26</v>
      </c>
      <c r="H460" s="12" t="s">
        <v>470</v>
      </c>
      <c r="I460" s="14">
        <v>45254</v>
      </c>
      <c r="J460" s="12" t="s">
        <v>1436</v>
      </c>
    </row>
    <row r="461" spans="1:10" s="15" customFormat="1" x14ac:dyDescent="0.15">
      <c r="A461" s="11">
        <v>45257</v>
      </c>
      <c r="B461" s="12" t="s">
        <v>437</v>
      </c>
      <c r="C461" s="12" t="s">
        <v>1437</v>
      </c>
      <c r="D461" s="13" t="str">
        <f>HYPERLINK("https://www.marklines.com/en/global/3879","Chery Automobile Co., Ltd. ")</f>
        <v xml:space="preserve">Chery Automobile Co., Ltd. </v>
      </c>
      <c r="E461" s="12" t="s">
        <v>848</v>
      </c>
      <c r="F461" s="12" t="s">
        <v>20</v>
      </c>
      <c r="G461" s="12" t="s">
        <v>27</v>
      </c>
      <c r="H461" s="12" t="s">
        <v>303</v>
      </c>
      <c r="I461" s="14">
        <v>45254</v>
      </c>
      <c r="J461" s="12" t="s">
        <v>1438</v>
      </c>
    </row>
    <row r="462" spans="1:10" s="15" customFormat="1" x14ac:dyDescent="0.15">
      <c r="A462" s="11">
        <v>45257</v>
      </c>
      <c r="B462" s="12" t="s">
        <v>28</v>
      </c>
      <c r="C462" s="12" t="s">
        <v>1439</v>
      </c>
      <c r="D462" s="13" t="str">
        <f>HYPERLINK("https://www.marklines.com/en/global/2137","Daimler Buses GmbH, Mannheim Plant (formerly EvoBus）")</f>
        <v>Daimler Buses GmbH, Mannheim Plant (formerly EvoBus）</v>
      </c>
      <c r="E462" s="12" t="s">
        <v>1440</v>
      </c>
      <c r="F462" s="12" t="s">
        <v>17</v>
      </c>
      <c r="G462" s="12" t="s">
        <v>21</v>
      </c>
      <c r="H462" s="12"/>
      <c r="I462" s="14">
        <v>45253</v>
      </c>
      <c r="J462" s="12" t="s">
        <v>1441</v>
      </c>
    </row>
    <row r="463" spans="1:10" s="15" customFormat="1" x14ac:dyDescent="0.15">
      <c r="A463" s="11">
        <v>45257</v>
      </c>
      <c r="B463" s="12" t="s">
        <v>301</v>
      </c>
      <c r="C463" s="12" t="s">
        <v>301</v>
      </c>
      <c r="D463" s="13" t="str">
        <f>HYPERLINK("https://www.marklines.com/en/global/9273","Yibin Kaiyi Automobile Co., Ltd. (Formerly Wuhu Cowin Automobile Co., Ltd.)")</f>
        <v>Yibin Kaiyi Automobile Co., Ltd. (Formerly Wuhu Cowin Automobile Co., Ltd.)</v>
      </c>
      <c r="E463" s="12" t="s">
        <v>302</v>
      </c>
      <c r="F463" s="12" t="s">
        <v>20</v>
      </c>
      <c r="G463" s="12" t="s">
        <v>27</v>
      </c>
      <c r="H463" s="12" t="s">
        <v>303</v>
      </c>
      <c r="I463" s="14">
        <v>45252</v>
      </c>
      <c r="J463" s="12" t="s">
        <v>1442</v>
      </c>
    </row>
    <row r="464" spans="1:10" s="15" customFormat="1" x14ac:dyDescent="0.15">
      <c r="A464" s="11">
        <v>45257</v>
      </c>
      <c r="B464" s="12" t="s">
        <v>366</v>
      </c>
      <c r="C464" s="12" t="s">
        <v>622</v>
      </c>
      <c r="D464" s="13" t="str">
        <f>HYPERLINK("https://www.marklines.com/en/global/9824","GAC Aion New Energy Automobile Co., Ltd.")</f>
        <v>GAC Aion New Energy Automobile Co., Ltd.</v>
      </c>
      <c r="E464" s="12" t="s">
        <v>623</v>
      </c>
      <c r="F464" s="12" t="s">
        <v>20</v>
      </c>
      <c r="G464" s="12" t="s">
        <v>27</v>
      </c>
      <c r="H464" s="12" t="s">
        <v>357</v>
      </c>
      <c r="I464" s="14">
        <v>45251</v>
      </c>
      <c r="J464" s="12" t="s">
        <v>1443</v>
      </c>
    </row>
    <row r="465" spans="1:10" s="15" customFormat="1" x14ac:dyDescent="0.15">
      <c r="A465" s="11">
        <v>45257</v>
      </c>
      <c r="B465" s="12" t="s">
        <v>495</v>
      </c>
      <c r="C465" s="12" t="s">
        <v>495</v>
      </c>
      <c r="D465" s="13" t="str">
        <f>HYPERLINK("https://www.marklines.com/en/global/3449","China Changan Automobile Group Co., Ltd. ")</f>
        <v xml:space="preserve">China Changan Automobile Group Co., Ltd. </v>
      </c>
      <c r="E465" s="12" t="s">
        <v>496</v>
      </c>
      <c r="F465" s="12" t="s">
        <v>20</v>
      </c>
      <c r="G465" s="12" t="s">
        <v>27</v>
      </c>
      <c r="H465" s="12" t="s">
        <v>456</v>
      </c>
      <c r="I465" s="14">
        <v>45251</v>
      </c>
      <c r="J465" s="12" t="s">
        <v>1444</v>
      </c>
    </row>
    <row r="466" spans="1:10" s="15" customFormat="1" x14ac:dyDescent="0.15">
      <c r="A466" s="11">
        <v>45257</v>
      </c>
      <c r="B466" s="12" t="s">
        <v>276</v>
      </c>
      <c r="C466" s="12" t="s">
        <v>276</v>
      </c>
      <c r="D466" s="13" t="str">
        <f>HYPERLINK("https://www.marklines.com/en/global/9503","Shanghai NIO Automobile Co., Ltd.")</f>
        <v>Shanghai NIO Automobile Co., Ltd.</v>
      </c>
      <c r="E466" s="12" t="s">
        <v>646</v>
      </c>
      <c r="F466" s="12" t="s">
        <v>20</v>
      </c>
      <c r="G466" s="12" t="s">
        <v>27</v>
      </c>
      <c r="H466" s="12" t="s">
        <v>314</v>
      </c>
      <c r="I466" s="14">
        <v>45251</v>
      </c>
      <c r="J466" s="12" t="s">
        <v>1444</v>
      </c>
    </row>
    <row r="467" spans="1:10" s="15" customFormat="1" x14ac:dyDescent="0.15">
      <c r="A467" s="11">
        <v>45257</v>
      </c>
      <c r="B467" s="12" t="s">
        <v>13</v>
      </c>
      <c r="C467" s="12" t="s">
        <v>1445</v>
      </c>
      <c r="D467" s="13" t="str">
        <f>HYPERLINK("https://www.marklines.com/en/global/3749","Nanjing Golden Dragon Bus Co., Ltd.")</f>
        <v>Nanjing Golden Dragon Bus Co., Ltd.</v>
      </c>
      <c r="E467" s="12" t="s">
        <v>1446</v>
      </c>
      <c r="F467" s="12" t="s">
        <v>20</v>
      </c>
      <c r="G467" s="12" t="s">
        <v>27</v>
      </c>
      <c r="H467" s="12" t="s">
        <v>278</v>
      </c>
      <c r="I467" s="14">
        <v>45249</v>
      </c>
      <c r="J467" s="12" t="s">
        <v>1447</v>
      </c>
    </row>
    <row r="468" spans="1:10" s="15" customFormat="1" x14ac:dyDescent="0.15">
      <c r="A468" s="11">
        <v>45257</v>
      </c>
      <c r="B468" s="12" t="s">
        <v>33</v>
      </c>
      <c r="C468" s="12" t="s">
        <v>44</v>
      </c>
      <c r="D468" s="13" t="str">
        <f>HYPERLINK("https://www.marklines.com/en/global/4119","FAW-Volkswagen Automotive Co., Ltd. Foshan Branch")</f>
        <v>FAW-Volkswagen Automotive Co., Ltd. Foshan Branch</v>
      </c>
      <c r="E468" s="12" t="s">
        <v>1031</v>
      </c>
      <c r="F468" s="12" t="s">
        <v>20</v>
      </c>
      <c r="G468" s="12" t="s">
        <v>27</v>
      </c>
      <c r="H468" s="12" t="s">
        <v>357</v>
      </c>
      <c r="I468" s="14">
        <v>45248</v>
      </c>
      <c r="J468" s="12" t="s">
        <v>1448</v>
      </c>
    </row>
    <row r="469" spans="1:10" s="15" customFormat="1" x14ac:dyDescent="0.15">
      <c r="A469" s="11">
        <v>45257</v>
      </c>
      <c r="B469" s="12" t="s">
        <v>408</v>
      </c>
      <c r="C469" s="12" t="s">
        <v>924</v>
      </c>
      <c r="D469" s="13" t="str">
        <f>HYPERLINK("https://www.marklines.com/en/global/9598","SAIC MAXUS Automotive Co., Ltd. Nanjing Branch")</f>
        <v>SAIC MAXUS Automotive Co., Ltd. Nanjing Branch</v>
      </c>
      <c r="E469" s="12" t="s">
        <v>1449</v>
      </c>
      <c r="F469" s="12" t="s">
        <v>20</v>
      </c>
      <c r="G469" s="12" t="s">
        <v>27</v>
      </c>
      <c r="H469" s="12" t="s">
        <v>278</v>
      </c>
      <c r="I469" s="14">
        <v>45248</v>
      </c>
      <c r="J469" s="12" t="s">
        <v>1450</v>
      </c>
    </row>
    <row r="470" spans="1:10" s="15" customFormat="1" x14ac:dyDescent="0.15">
      <c r="A470" s="11">
        <v>45257</v>
      </c>
      <c r="B470" s="12" t="s">
        <v>56</v>
      </c>
      <c r="C470" s="12" t="s">
        <v>56</v>
      </c>
      <c r="D470" s="13" t="str">
        <f>HYPERLINK("https://www.marklines.com/en/global/3955","Guangzhou Fengshen Automobile Co., Ltd. Zhengzhou Branch (formerly Dongfeng Nissan Passenger Vehicle Company (Zhengzhou Plant))")</f>
        <v>Guangzhou Fengshen Automobile Co., Ltd. Zhengzhou Branch (formerly Dongfeng Nissan Passenger Vehicle Company (Zhengzhou Plant))</v>
      </c>
      <c r="E470" s="12" t="s">
        <v>844</v>
      </c>
      <c r="F470" s="12" t="s">
        <v>20</v>
      </c>
      <c r="G470" s="12" t="s">
        <v>27</v>
      </c>
      <c r="H470" s="12" t="s">
        <v>404</v>
      </c>
      <c r="I470" s="14">
        <v>45247</v>
      </c>
      <c r="J470" s="12" t="s">
        <v>1451</v>
      </c>
    </row>
    <row r="471" spans="1:10" s="15" customFormat="1" x14ac:dyDescent="0.15">
      <c r="A471" s="11">
        <v>45257</v>
      </c>
      <c r="B471" s="12" t="s">
        <v>56</v>
      </c>
      <c r="C471" s="12" t="s">
        <v>56</v>
      </c>
      <c r="D471" s="13" t="str">
        <f>HYPERLINK("https://www.marklines.com/en/global/4101","Dongfeng Nissan Passenger Vehicle Company (DFN)")</f>
        <v>Dongfeng Nissan Passenger Vehicle Company (DFN)</v>
      </c>
      <c r="E471" s="12" t="s">
        <v>406</v>
      </c>
      <c r="F471" s="12" t="s">
        <v>20</v>
      </c>
      <c r="G471" s="12" t="s">
        <v>27</v>
      </c>
      <c r="H471" s="12" t="s">
        <v>357</v>
      </c>
      <c r="I471" s="14">
        <v>45247</v>
      </c>
      <c r="J471" s="12" t="s">
        <v>1451</v>
      </c>
    </row>
    <row r="472" spans="1:10" s="15" customFormat="1" x14ac:dyDescent="0.15">
      <c r="A472" s="11">
        <v>45257</v>
      </c>
      <c r="B472" s="12" t="s">
        <v>31</v>
      </c>
      <c r="C472" s="12" t="s">
        <v>31</v>
      </c>
      <c r="D472" s="13" t="str">
        <f>HYPERLINK("https://www.marklines.com/en/global/3375","BMW Brilliance Automotive Limited (BBA), Dadong Plant")</f>
        <v>BMW Brilliance Automotive Limited (BBA), Dadong Plant</v>
      </c>
      <c r="E472" s="12" t="s">
        <v>1452</v>
      </c>
      <c r="F472" s="12" t="s">
        <v>20</v>
      </c>
      <c r="G472" s="12" t="s">
        <v>27</v>
      </c>
      <c r="H472" s="12" t="s">
        <v>509</v>
      </c>
      <c r="I472" s="14">
        <v>45247</v>
      </c>
      <c r="J472" s="12" t="s">
        <v>1453</v>
      </c>
    </row>
    <row r="473" spans="1:10" s="15" customFormat="1" x14ac:dyDescent="0.15">
      <c r="A473" s="11">
        <v>45257</v>
      </c>
      <c r="B473" s="12" t="s">
        <v>24</v>
      </c>
      <c r="C473" s="12" t="s">
        <v>24</v>
      </c>
      <c r="D473" s="13" t="str">
        <f>HYPERLINK("https://www.marklines.com/en/global/3909","Jiangling Motors Co., Ltd. Xiaolan Branch")</f>
        <v>Jiangling Motors Co., Ltd. Xiaolan Branch</v>
      </c>
      <c r="E473" s="12" t="s">
        <v>954</v>
      </c>
      <c r="F473" s="12" t="s">
        <v>20</v>
      </c>
      <c r="G473" s="12" t="s">
        <v>27</v>
      </c>
      <c r="H473" s="12" t="s">
        <v>418</v>
      </c>
      <c r="I473" s="14">
        <v>45247</v>
      </c>
      <c r="J473" s="12" t="s">
        <v>1454</v>
      </c>
    </row>
    <row r="474" spans="1:10" s="15" customFormat="1" x14ac:dyDescent="0.15">
      <c r="A474" s="11">
        <v>45257</v>
      </c>
      <c r="B474" s="12" t="s">
        <v>24</v>
      </c>
      <c r="C474" s="12" t="s">
        <v>24</v>
      </c>
      <c r="D474" s="13" t="str">
        <f>HYPERLINK("https://www.marklines.com/en/global/4167","Changan Ford Automobile Co., Ltd.")</f>
        <v>Changan Ford Automobile Co., Ltd.</v>
      </c>
      <c r="E474" s="12" t="s">
        <v>556</v>
      </c>
      <c r="F474" s="12" t="s">
        <v>20</v>
      </c>
      <c r="G474" s="12" t="s">
        <v>27</v>
      </c>
      <c r="H474" s="12" t="s">
        <v>29</v>
      </c>
      <c r="I474" s="14">
        <v>45247</v>
      </c>
      <c r="J474" s="12" t="s">
        <v>1454</v>
      </c>
    </row>
    <row r="475" spans="1:10" s="15" customFormat="1" x14ac:dyDescent="0.15">
      <c r="A475" s="11">
        <v>45257</v>
      </c>
      <c r="B475" s="12" t="s">
        <v>117</v>
      </c>
      <c r="C475" s="12" t="s">
        <v>1455</v>
      </c>
      <c r="D475" s="13" t="str">
        <f>HYPERLINK("https://www.marklines.com/en/global/9540","SERES Automobile Co., Ltd. (formerly Chongqing Jinkang New Energy Automobile Co., Ltd.)")</f>
        <v>SERES Automobile Co., Ltd. (formerly Chongqing Jinkang New Energy Automobile Co., Ltd.)</v>
      </c>
      <c r="E475" s="12" t="s">
        <v>869</v>
      </c>
      <c r="F475" s="12" t="s">
        <v>20</v>
      </c>
      <c r="G475" s="12" t="s">
        <v>27</v>
      </c>
      <c r="H475" s="12" t="s">
        <v>29</v>
      </c>
      <c r="I475" s="14">
        <v>45247</v>
      </c>
      <c r="J475" s="12" t="s">
        <v>1456</v>
      </c>
    </row>
    <row r="476" spans="1:10" s="15" customFormat="1" x14ac:dyDescent="0.15">
      <c r="A476" s="11">
        <v>45257</v>
      </c>
      <c r="B476" s="12" t="s">
        <v>117</v>
      </c>
      <c r="C476" s="12" t="s">
        <v>1455</v>
      </c>
      <c r="D476" s="13" t="str">
        <f>HYPERLINK("https://www.marklines.com/en/global/10563","SERES Automobile (Hubei) Co., Ltd. Chongqing Shapingba Branch  (formerly DFSK Motor Co., Ltd Shapingba Branch)")</f>
        <v>SERES Automobile (Hubei) Co., Ltd. Chongqing Shapingba Branch  (formerly DFSK Motor Co., Ltd Shapingba Branch)</v>
      </c>
      <c r="E476" s="12" t="s">
        <v>1457</v>
      </c>
      <c r="F476" s="12" t="s">
        <v>20</v>
      </c>
      <c r="G476" s="12" t="s">
        <v>27</v>
      </c>
      <c r="H476" s="12" t="s">
        <v>29</v>
      </c>
      <c r="I476" s="14">
        <v>45247</v>
      </c>
      <c r="J476" s="12" t="s">
        <v>1456</v>
      </c>
    </row>
    <row r="477" spans="1:10" s="15" customFormat="1" x14ac:dyDescent="0.15">
      <c r="A477" s="11">
        <v>45257</v>
      </c>
      <c r="B477" s="12" t="s">
        <v>41</v>
      </c>
      <c r="C477" s="12" t="s">
        <v>42</v>
      </c>
      <c r="D477" s="13" t="str">
        <f>HYPERLINK("https://www.marklines.com/en/global/3427","Beijing Benz Automotive Co., Ltd. (BBAC)")</f>
        <v>Beijing Benz Automotive Co., Ltd. (BBAC)</v>
      </c>
      <c r="E477" s="12" t="s">
        <v>1458</v>
      </c>
      <c r="F477" s="12" t="s">
        <v>20</v>
      </c>
      <c r="G477" s="12" t="s">
        <v>27</v>
      </c>
      <c r="H477" s="12" t="s">
        <v>456</v>
      </c>
      <c r="I477" s="14">
        <v>45247</v>
      </c>
      <c r="J477" s="12" t="s">
        <v>1459</v>
      </c>
    </row>
    <row r="478" spans="1:10" s="15" customFormat="1" x14ac:dyDescent="0.15">
      <c r="A478" s="11">
        <v>45257</v>
      </c>
      <c r="B478" s="12" t="s">
        <v>408</v>
      </c>
      <c r="C478" s="12" t="s">
        <v>924</v>
      </c>
      <c r="D478" s="13" t="str">
        <f>HYPERLINK("https://www.marklines.com/en/global/9598","SAIC MAXUS Automotive Co., Ltd. Nanjing Branch")</f>
        <v>SAIC MAXUS Automotive Co., Ltd. Nanjing Branch</v>
      </c>
      <c r="E478" s="12" t="s">
        <v>1449</v>
      </c>
      <c r="F478" s="12" t="s">
        <v>20</v>
      </c>
      <c r="G478" s="12" t="s">
        <v>27</v>
      </c>
      <c r="H478" s="12" t="s">
        <v>278</v>
      </c>
      <c r="I478" s="14">
        <v>45247</v>
      </c>
      <c r="J478" s="12" t="s">
        <v>1460</v>
      </c>
    </row>
    <row r="479" spans="1:10" s="15" customFormat="1" x14ac:dyDescent="0.15">
      <c r="A479" s="11">
        <v>45257</v>
      </c>
      <c r="B479" s="12" t="s">
        <v>400</v>
      </c>
      <c r="C479" s="12" t="s">
        <v>1461</v>
      </c>
      <c r="D479" s="13" t="str">
        <f>HYPERLINK("https://www.marklines.com/en/global/9811","Zhejiang Geely Automobile Co., Ltd. Hangzhou Branch")</f>
        <v>Zhejiang Geely Automobile Co., Ltd. Hangzhou Branch</v>
      </c>
      <c r="E479" s="12" t="s">
        <v>1462</v>
      </c>
      <c r="F479" s="12" t="s">
        <v>20</v>
      </c>
      <c r="G479" s="12" t="s">
        <v>27</v>
      </c>
      <c r="H479" s="12" t="s">
        <v>342</v>
      </c>
      <c r="I479" s="14">
        <v>45247</v>
      </c>
      <c r="J479" s="12" t="s">
        <v>1463</v>
      </c>
    </row>
    <row r="480" spans="1:10" s="15" customFormat="1" x14ac:dyDescent="0.15">
      <c r="A480" s="11">
        <v>45257</v>
      </c>
      <c r="B480" s="12" t="s">
        <v>770</v>
      </c>
      <c r="C480" s="12" t="s">
        <v>770</v>
      </c>
      <c r="D480" s="13" t="str">
        <f>HYPERLINK("https://www.marklines.com/en/global/10356","Anhui Jianghuai Automobile Group Co., Ltd. Car Branch")</f>
        <v>Anhui Jianghuai Automobile Group Co., Ltd. Car Branch</v>
      </c>
      <c r="E480" s="12" t="s">
        <v>1464</v>
      </c>
      <c r="F480" s="12" t="s">
        <v>20</v>
      </c>
      <c r="G480" s="12" t="s">
        <v>27</v>
      </c>
      <c r="H480" s="12" t="s">
        <v>303</v>
      </c>
      <c r="I480" s="14">
        <v>45247</v>
      </c>
      <c r="J480" s="12" t="s">
        <v>1465</v>
      </c>
    </row>
    <row r="481" spans="1:10" s="15" customFormat="1" x14ac:dyDescent="0.15">
      <c r="A481" s="11">
        <v>45255</v>
      </c>
      <c r="B481" s="12" t="s">
        <v>720</v>
      </c>
      <c r="C481" s="12" t="s">
        <v>721</v>
      </c>
      <c r="D481" s="13" t="str">
        <f>HYPERLINK("https://www.marklines.com/en/global/2889","HPE Automotores do Brasil Ltda., Catalao Plant")</f>
        <v>HPE Automotores do Brasil Ltda., Catalao Plant</v>
      </c>
      <c r="E481" s="12" t="s">
        <v>1466</v>
      </c>
      <c r="F481" s="12" t="s">
        <v>425</v>
      </c>
      <c r="G481" s="12" t="s">
        <v>426</v>
      </c>
      <c r="H481" s="12"/>
      <c r="I481" s="14">
        <v>45254</v>
      </c>
      <c r="J481" s="12" t="s">
        <v>1467</v>
      </c>
    </row>
    <row r="482" spans="1:10" s="15" customFormat="1" x14ac:dyDescent="0.15">
      <c r="A482" s="11">
        <v>45255</v>
      </c>
      <c r="B482" s="12" t="s">
        <v>45</v>
      </c>
      <c r="C482" s="12" t="s">
        <v>45</v>
      </c>
      <c r="D482" s="13" t="str">
        <f>HYPERLINK("https://www.marklines.com/en/global/1327","Stellantis, FCA Italy, Mirafiori (Turin) Plant")</f>
        <v>Stellantis, FCA Italy, Mirafiori (Turin) Plant</v>
      </c>
      <c r="E482" s="12" t="s">
        <v>612</v>
      </c>
      <c r="F482" s="12" t="s">
        <v>17</v>
      </c>
      <c r="G482" s="12" t="s">
        <v>46</v>
      </c>
      <c r="H482" s="12"/>
      <c r="I482" s="14">
        <v>45253</v>
      </c>
      <c r="J482" s="12" t="s">
        <v>1468</v>
      </c>
    </row>
    <row r="483" spans="1:10" s="15" customFormat="1" x14ac:dyDescent="0.15">
      <c r="A483" s="11">
        <v>45254</v>
      </c>
      <c r="B483" s="12" t="s">
        <v>56</v>
      </c>
      <c r="C483" s="12" t="s">
        <v>56</v>
      </c>
      <c r="D483" s="13" t="str">
        <f>HYPERLINK("https://www.marklines.com/en/global/10054","Nissan Technical Centre Europe (NTCE) (Cranfield)")</f>
        <v>Nissan Technical Centre Europe (NTCE) (Cranfield)</v>
      </c>
      <c r="E483" s="12" t="s">
        <v>1202</v>
      </c>
      <c r="F483" s="12" t="s">
        <v>17</v>
      </c>
      <c r="G483" s="12" t="s">
        <v>47</v>
      </c>
      <c r="H483" s="12"/>
      <c r="I483" s="14">
        <v>45254</v>
      </c>
      <c r="J483" s="12" t="s">
        <v>1203</v>
      </c>
    </row>
    <row r="484" spans="1:10" s="15" customFormat="1" x14ac:dyDescent="0.15">
      <c r="A484" s="11">
        <v>45254</v>
      </c>
      <c r="B484" s="12" t="s">
        <v>56</v>
      </c>
      <c r="C484" s="12" t="s">
        <v>56</v>
      </c>
      <c r="D484" s="13" t="str">
        <f>HYPERLINK("https://www.marklines.com/en/global/10401","AESC UK Ltd., Sunderland Plant (formerly Envision AESC UK Ltd.)")</f>
        <v>AESC UK Ltd., Sunderland Plant (formerly Envision AESC UK Ltd.)</v>
      </c>
      <c r="E484" s="12" t="s">
        <v>1204</v>
      </c>
      <c r="F484" s="12" t="s">
        <v>17</v>
      </c>
      <c r="G484" s="12" t="s">
        <v>47</v>
      </c>
      <c r="H484" s="12"/>
      <c r="I484" s="14">
        <v>45254</v>
      </c>
      <c r="J484" s="12" t="s">
        <v>1205</v>
      </c>
    </row>
    <row r="485" spans="1:10" s="15" customFormat="1" x14ac:dyDescent="0.15">
      <c r="A485" s="11">
        <v>45254</v>
      </c>
      <c r="B485" s="12" t="s">
        <v>56</v>
      </c>
      <c r="C485" s="12" t="s">
        <v>56</v>
      </c>
      <c r="D485" s="13" t="str">
        <f>HYPERLINK("https://www.marklines.com/en/global/2361","Nissan Motor Manufacturing UK (NMUK), Sunderland Plant")</f>
        <v>Nissan Motor Manufacturing UK (NMUK), Sunderland Plant</v>
      </c>
      <c r="E485" s="12" t="s">
        <v>1206</v>
      </c>
      <c r="F485" s="12" t="s">
        <v>17</v>
      </c>
      <c r="G485" s="12" t="s">
        <v>47</v>
      </c>
      <c r="H485" s="12"/>
      <c r="I485" s="14">
        <v>45254</v>
      </c>
      <c r="J485" s="12" t="s">
        <v>1205</v>
      </c>
    </row>
    <row r="486" spans="1:10" s="15" customFormat="1" x14ac:dyDescent="0.15">
      <c r="A486" s="11">
        <v>45254</v>
      </c>
      <c r="B486" s="12" t="s">
        <v>1207</v>
      </c>
      <c r="C486" s="12" t="s">
        <v>1207</v>
      </c>
      <c r="D486" s="13" t="str">
        <f>HYPERLINK("https://www.marklines.com/en/global/9603","Faraday Future Intelligent Electric Inc., Hanford Plant (FF ieFactory California)")</f>
        <v>Faraday Future Intelligent Electric Inc., Hanford Plant (FF ieFactory California)</v>
      </c>
      <c r="E486" s="12" t="s">
        <v>1208</v>
      </c>
      <c r="F486" s="12" t="s">
        <v>16</v>
      </c>
      <c r="G486" s="12" t="s">
        <v>11</v>
      </c>
      <c r="H486" s="12" t="s">
        <v>248</v>
      </c>
      <c r="I486" s="14">
        <v>45253</v>
      </c>
      <c r="J486" s="12" t="s">
        <v>1209</v>
      </c>
    </row>
    <row r="487" spans="1:10" s="15" customFormat="1" x14ac:dyDescent="0.15">
      <c r="A487" s="11">
        <v>45254</v>
      </c>
      <c r="B487" s="12" t="s">
        <v>1207</v>
      </c>
      <c r="C487" s="12" t="s">
        <v>1207</v>
      </c>
      <c r="D487" s="13" t="str">
        <f>HYPERLINK("https://www.marklines.com/en/global/10523","Faraday Future HQ, R&amp;D Center")</f>
        <v>Faraday Future HQ, R&amp;D Center</v>
      </c>
      <c r="E487" s="12" t="s">
        <v>1210</v>
      </c>
      <c r="F487" s="12" t="s">
        <v>16</v>
      </c>
      <c r="G487" s="12" t="s">
        <v>11</v>
      </c>
      <c r="H487" s="12" t="s">
        <v>248</v>
      </c>
      <c r="I487" s="14">
        <v>45253</v>
      </c>
      <c r="J487" s="12" t="s">
        <v>1209</v>
      </c>
    </row>
    <row r="488" spans="1:10" s="15" customFormat="1" x14ac:dyDescent="0.15">
      <c r="A488" s="11">
        <v>45254</v>
      </c>
      <c r="B488" s="12" t="s">
        <v>13</v>
      </c>
      <c r="C488" s="12" t="s">
        <v>59</v>
      </c>
      <c r="D488" s="13" t="str">
        <f>HYPERLINK("https://www.marklines.com/en/global/2749","Valmet Automotive Inc., Uusikaupunki Plant")</f>
        <v>Valmet Automotive Inc., Uusikaupunki Plant</v>
      </c>
      <c r="E488" s="12" t="s">
        <v>143</v>
      </c>
      <c r="F488" s="12" t="s">
        <v>17</v>
      </c>
      <c r="G488" s="12" t="s">
        <v>144</v>
      </c>
      <c r="H488" s="12"/>
      <c r="I488" s="14">
        <v>45253</v>
      </c>
      <c r="J488" s="12" t="s">
        <v>1211</v>
      </c>
    </row>
    <row r="489" spans="1:10" s="15" customFormat="1" x14ac:dyDescent="0.15">
      <c r="A489" s="11">
        <v>45254</v>
      </c>
      <c r="B489" s="12" t="s">
        <v>45</v>
      </c>
      <c r="C489" s="12" t="s">
        <v>45</v>
      </c>
      <c r="D489" s="13" t="str">
        <f>HYPERLINK("https://www.marklines.com/en/global/1939","Stellantis, Peugeot Citroen Automoviles Espana S.A., Vigo Plant")</f>
        <v>Stellantis, Peugeot Citroen Automoviles Espana S.A., Vigo Plant</v>
      </c>
      <c r="E489" s="12" t="s">
        <v>287</v>
      </c>
      <c r="F489" s="12" t="s">
        <v>17</v>
      </c>
      <c r="G489" s="12" t="s">
        <v>62</v>
      </c>
      <c r="H489" s="12"/>
      <c r="I489" s="14">
        <v>45253</v>
      </c>
      <c r="J489" s="12" t="s">
        <v>1212</v>
      </c>
    </row>
    <row r="490" spans="1:10" s="15" customFormat="1" x14ac:dyDescent="0.15">
      <c r="A490" s="11">
        <v>45254</v>
      </c>
      <c r="B490" s="12" t="s">
        <v>83</v>
      </c>
      <c r="C490" s="12" t="s">
        <v>83</v>
      </c>
      <c r="D490" s="13" t="str">
        <f>HYPERLINK("https://www.marklines.com/en/global/1510","Volvo Europa Truck N.V., Gent (Ghent) Plant")</f>
        <v>Volvo Europa Truck N.V., Gent (Ghent) Plant</v>
      </c>
      <c r="E490" s="12" t="s">
        <v>1213</v>
      </c>
      <c r="F490" s="12" t="s">
        <v>17</v>
      </c>
      <c r="G490" s="12" t="s">
        <v>737</v>
      </c>
      <c r="H490" s="12"/>
      <c r="I490" s="14">
        <v>45253</v>
      </c>
      <c r="J490" s="12" t="s">
        <v>1214</v>
      </c>
    </row>
    <row r="491" spans="1:10" s="15" customFormat="1" x14ac:dyDescent="0.15">
      <c r="A491" s="11">
        <v>45254</v>
      </c>
      <c r="B491" s="12" t="s">
        <v>83</v>
      </c>
      <c r="C491" s="12" t="s">
        <v>1215</v>
      </c>
      <c r="D491" s="13" t="str">
        <f>HYPERLINK("https://www.marklines.com/en/global/109","Renault Trucks, Bourg en Bresse Plant")</f>
        <v>Renault Trucks, Bourg en Bresse Plant</v>
      </c>
      <c r="E491" s="12" t="s">
        <v>1216</v>
      </c>
      <c r="F491" s="12" t="s">
        <v>17</v>
      </c>
      <c r="G491" s="12" t="s">
        <v>32</v>
      </c>
      <c r="H491" s="12"/>
      <c r="I491" s="14">
        <v>45253</v>
      </c>
      <c r="J491" s="12" t="s">
        <v>1214</v>
      </c>
    </row>
    <row r="492" spans="1:10" s="15" customFormat="1" x14ac:dyDescent="0.15">
      <c r="A492" s="11">
        <v>45254</v>
      </c>
      <c r="B492" s="12" t="s">
        <v>36</v>
      </c>
      <c r="C492" s="12" t="s">
        <v>809</v>
      </c>
      <c r="D492" s="13" t="str">
        <f>HYPERLINK("https://www.marklines.com/en/global/9818","Rizhao Weipai Automobile Co., Ltd.")</f>
        <v>Rizhao Weipai Automobile Co., Ltd.</v>
      </c>
      <c r="E492" s="12" t="s">
        <v>752</v>
      </c>
      <c r="F492" s="12" t="s">
        <v>20</v>
      </c>
      <c r="G492" s="12" t="s">
        <v>27</v>
      </c>
      <c r="H492" s="12" t="s">
        <v>354</v>
      </c>
      <c r="I492" s="14">
        <v>45251</v>
      </c>
      <c r="J492" s="12" t="s">
        <v>1217</v>
      </c>
    </row>
    <row r="493" spans="1:10" s="15" customFormat="1" x14ac:dyDescent="0.15">
      <c r="A493" s="11">
        <v>45254</v>
      </c>
      <c r="B493" s="12" t="s">
        <v>45</v>
      </c>
      <c r="C493" s="12" t="s">
        <v>49</v>
      </c>
      <c r="D493" s="13" t="str">
        <f>HYPERLINK("https://www.marklines.com/en/global/2833","Stellantis, FCA Brazil, Betim Plant")</f>
        <v>Stellantis, FCA Brazil, Betim Plant</v>
      </c>
      <c r="E493" s="12" t="s">
        <v>1218</v>
      </c>
      <c r="F493" s="12" t="s">
        <v>425</v>
      </c>
      <c r="G493" s="12" t="s">
        <v>426</v>
      </c>
      <c r="H493" s="12"/>
      <c r="I493" s="14">
        <v>45251</v>
      </c>
      <c r="J493" s="12" t="s">
        <v>1219</v>
      </c>
    </row>
    <row r="494" spans="1:10" s="15" customFormat="1" x14ac:dyDescent="0.15">
      <c r="A494" s="11">
        <v>45254</v>
      </c>
      <c r="B494" s="12" t="s">
        <v>316</v>
      </c>
      <c r="C494" s="12" t="s">
        <v>1220</v>
      </c>
      <c r="D494" s="13" t="str">
        <f>HYPERLINK("https://www.marklines.com/en/global/4269","BYD Automobile Co., Ltd.")</f>
        <v>BYD Automobile Co., Ltd.</v>
      </c>
      <c r="E494" s="12" t="s">
        <v>319</v>
      </c>
      <c r="F494" s="12" t="s">
        <v>20</v>
      </c>
      <c r="G494" s="12" t="s">
        <v>27</v>
      </c>
      <c r="H494" s="12" t="s">
        <v>320</v>
      </c>
      <c r="I494" s="14">
        <v>45247</v>
      </c>
      <c r="J494" s="12" t="s">
        <v>1221</v>
      </c>
    </row>
    <row r="495" spans="1:10" s="15" customFormat="1" x14ac:dyDescent="0.15">
      <c r="A495" s="11">
        <v>45254</v>
      </c>
      <c r="B495" s="12" t="s">
        <v>43</v>
      </c>
      <c r="C495" s="12" t="s">
        <v>269</v>
      </c>
      <c r="D495" s="13" t="str">
        <f>HYPERLINK("https://www.marklines.com/en/global/4311","Jiangsu Yueda Kia Motors Co., Ltd. (Third Plant) (formerly Kia Motors Co., Ltd. (Third Plant))")</f>
        <v>Jiangsu Yueda Kia Motors Co., Ltd. (Third Plant) (formerly Kia Motors Co., Ltd. (Third Plant))</v>
      </c>
      <c r="E495" s="12" t="s">
        <v>1222</v>
      </c>
      <c r="F495" s="12" t="s">
        <v>20</v>
      </c>
      <c r="G495" s="12" t="s">
        <v>27</v>
      </c>
      <c r="H495" s="12" t="s">
        <v>278</v>
      </c>
      <c r="I495" s="14">
        <v>45247</v>
      </c>
      <c r="J495" s="12" t="s">
        <v>1223</v>
      </c>
    </row>
    <row r="496" spans="1:10" s="15" customFormat="1" x14ac:dyDescent="0.15">
      <c r="A496" s="11">
        <v>45254</v>
      </c>
      <c r="B496" s="12" t="s">
        <v>22</v>
      </c>
      <c r="C496" s="12" t="s">
        <v>22</v>
      </c>
      <c r="D496" s="13" t="str">
        <f>HYPERLINK("https://www.marklines.com/en/global/3493","FAW Toyota Motor Co., Ltd. (formerly Tianjin FAW Toyota Motor Co., Ltd.)")</f>
        <v>FAW Toyota Motor Co., Ltd. (formerly Tianjin FAW Toyota Motor Co., Ltd.)</v>
      </c>
      <c r="E496" s="12" t="s">
        <v>1176</v>
      </c>
      <c r="F496" s="12" t="s">
        <v>20</v>
      </c>
      <c r="G496" s="12" t="s">
        <v>27</v>
      </c>
      <c r="H496" s="12" t="s">
        <v>1177</v>
      </c>
      <c r="I496" s="14">
        <v>45247</v>
      </c>
      <c r="J496" s="12" t="s">
        <v>1224</v>
      </c>
    </row>
    <row r="497" spans="1:10" s="15" customFormat="1" x14ac:dyDescent="0.15">
      <c r="A497" s="11">
        <v>45254</v>
      </c>
      <c r="B497" s="12" t="s">
        <v>22</v>
      </c>
      <c r="C497" s="12" t="s">
        <v>22</v>
      </c>
      <c r="D497" s="13" t="str">
        <f>HYPERLINK("https://www.marklines.com/en/global/4215","FAW Toyota Motor (Chengdu) Co., Ltd. (formerly Sichuan FAW Toyota Motor Co., Ltd.)")</f>
        <v>FAW Toyota Motor (Chengdu) Co., Ltd. (formerly Sichuan FAW Toyota Motor Co., Ltd.)</v>
      </c>
      <c r="E497" s="12" t="s">
        <v>1225</v>
      </c>
      <c r="F497" s="12" t="s">
        <v>20</v>
      </c>
      <c r="G497" s="12" t="s">
        <v>27</v>
      </c>
      <c r="H497" s="12" t="s">
        <v>429</v>
      </c>
      <c r="I497" s="14">
        <v>45247</v>
      </c>
      <c r="J497" s="12" t="s">
        <v>1224</v>
      </c>
    </row>
    <row r="498" spans="1:10" s="15" customFormat="1" x14ac:dyDescent="0.15">
      <c r="A498" s="11">
        <v>45254</v>
      </c>
      <c r="B498" s="12" t="s">
        <v>43</v>
      </c>
      <c r="C498" s="12" t="s">
        <v>43</v>
      </c>
      <c r="D498" s="13" t="str">
        <f>HYPERLINK("https://www.marklines.com/en/global/3437","Beijing Hyundai Motor Co., Ltd. Beijing Branch Yangzhen Plant (formerly Beijing Hyundai Motor Co., Ltd., Third Plant)")</f>
        <v>Beijing Hyundai Motor Co., Ltd. Beijing Branch Yangzhen Plant (formerly Beijing Hyundai Motor Co., Ltd., Third Plant)</v>
      </c>
      <c r="E498" s="12" t="s">
        <v>1226</v>
      </c>
      <c r="F498" s="12" t="s">
        <v>20</v>
      </c>
      <c r="G498" s="12" t="s">
        <v>27</v>
      </c>
      <c r="H498" s="12" t="s">
        <v>456</v>
      </c>
      <c r="I498" s="14">
        <v>45247</v>
      </c>
      <c r="J498" s="12" t="s">
        <v>1227</v>
      </c>
    </row>
    <row r="499" spans="1:10" s="15" customFormat="1" x14ac:dyDescent="0.15">
      <c r="A499" s="11">
        <v>45254</v>
      </c>
      <c r="B499" s="12" t="s">
        <v>43</v>
      </c>
      <c r="C499" s="12" t="s">
        <v>43</v>
      </c>
      <c r="D499" s="13" t="str">
        <f>HYPERLINK("https://www.marklines.com/en/global/3435","Beijing Hyundai Motor Co., Ltd. Beijing Branch Renhe Plant (formerly Beijing Hyundai Motor Co., Ltd., Second Plant)")</f>
        <v>Beijing Hyundai Motor Co., Ltd. Beijing Branch Renhe Plant (formerly Beijing Hyundai Motor Co., Ltd., Second Plant)</v>
      </c>
      <c r="E499" s="12" t="s">
        <v>1228</v>
      </c>
      <c r="F499" s="12" t="s">
        <v>20</v>
      </c>
      <c r="G499" s="12" t="s">
        <v>27</v>
      </c>
      <c r="H499" s="12" t="s">
        <v>456</v>
      </c>
      <c r="I499" s="14">
        <v>45247</v>
      </c>
      <c r="J499" s="12" t="s">
        <v>1227</v>
      </c>
    </row>
    <row r="500" spans="1:10" s="15" customFormat="1" x14ac:dyDescent="0.15">
      <c r="A500" s="11">
        <v>45254</v>
      </c>
      <c r="B500" s="12" t="s">
        <v>56</v>
      </c>
      <c r="C500" s="12" t="s">
        <v>56</v>
      </c>
      <c r="D500" s="13" t="str">
        <f>HYPERLINK("https://www.marklines.com/en/global/4001","Fengshen Xiangyang Automobile Co., Ltd. (formerly Dongfeng Nissan Passenger Vehicle Company (Xiangyang Plant))")</f>
        <v>Fengshen Xiangyang Automobile Co., Ltd. (formerly Dongfeng Nissan Passenger Vehicle Company (Xiangyang Plant))</v>
      </c>
      <c r="E500" s="12" t="s">
        <v>1229</v>
      </c>
      <c r="F500" s="12" t="s">
        <v>20</v>
      </c>
      <c r="G500" s="12" t="s">
        <v>27</v>
      </c>
      <c r="H500" s="12" t="s">
        <v>554</v>
      </c>
      <c r="I500" s="14">
        <v>45247</v>
      </c>
      <c r="J500" s="12" t="s">
        <v>1230</v>
      </c>
    </row>
    <row r="501" spans="1:10" s="15" customFormat="1" x14ac:dyDescent="0.15">
      <c r="A501" s="11">
        <v>45254</v>
      </c>
      <c r="B501" s="12" t="s">
        <v>56</v>
      </c>
      <c r="C501" s="12" t="s">
        <v>56</v>
      </c>
      <c r="D501" s="13" t="str">
        <f>HYPERLINK("https://www.marklines.com/en/global/3475","Nissan (China) Investment Co., Ltd. ")</f>
        <v xml:space="preserve">Nissan (China) Investment Co., Ltd. </v>
      </c>
      <c r="E501" s="12" t="s">
        <v>1231</v>
      </c>
      <c r="F501" s="12" t="s">
        <v>20</v>
      </c>
      <c r="G501" s="12" t="s">
        <v>27</v>
      </c>
      <c r="H501" s="12" t="s">
        <v>456</v>
      </c>
      <c r="I501" s="14">
        <v>45247</v>
      </c>
      <c r="J501" s="12" t="s">
        <v>1230</v>
      </c>
    </row>
    <row r="502" spans="1:10" s="15" customFormat="1" x14ac:dyDescent="0.15">
      <c r="A502" s="11">
        <v>45253</v>
      </c>
      <c r="B502" s="12" t="s">
        <v>41</v>
      </c>
      <c r="C502" s="12" t="s">
        <v>42</v>
      </c>
      <c r="D502" s="13" t="str">
        <f>HYPERLINK("https://www.marklines.com/en/global/609","Mercedes-Benz South Africa Ltd., East London Plant")</f>
        <v>Mercedes-Benz South Africa Ltd., East London Plant</v>
      </c>
      <c r="E502" s="12" t="s">
        <v>1232</v>
      </c>
      <c r="F502" s="12" t="s">
        <v>69</v>
      </c>
      <c r="G502" s="12" t="s">
        <v>70</v>
      </c>
      <c r="H502" s="12"/>
      <c r="I502" s="14">
        <v>45253</v>
      </c>
      <c r="J502" s="12" t="s">
        <v>1233</v>
      </c>
    </row>
    <row r="503" spans="1:10" s="15" customFormat="1" x14ac:dyDescent="0.15">
      <c r="A503" s="11">
        <v>45253</v>
      </c>
      <c r="B503" s="12" t="s">
        <v>28</v>
      </c>
      <c r="C503" s="12" t="s">
        <v>96</v>
      </c>
      <c r="D503" s="13" t="str">
        <f>HYPERLINK("https://www.marklines.com/en/global/609","Mercedes-Benz South Africa Ltd., East London Plant")</f>
        <v>Mercedes-Benz South Africa Ltd., East London Plant</v>
      </c>
      <c r="E503" s="12" t="s">
        <v>1232</v>
      </c>
      <c r="F503" s="12" t="s">
        <v>69</v>
      </c>
      <c r="G503" s="12" t="s">
        <v>70</v>
      </c>
      <c r="H503" s="12"/>
      <c r="I503" s="14">
        <v>45253</v>
      </c>
      <c r="J503" s="12" t="s">
        <v>1233</v>
      </c>
    </row>
    <row r="504" spans="1:10" s="15" customFormat="1" x14ac:dyDescent="0.15">
      <c r="A504" s="11">
        <v>45253</v>
      </c>
      <c r="B504" s="12" t="s">
        <v>45</v>
      </c>
      <c r="C504" s="12" t="s">
        <v>45</v>
      </c>
      <c r="D504" s="13" t="str">
        <f>HYPERLINK("https://www.marklines.com/en/global/10591","Stellantis Software Centre (Bengaluru)")</f>
        <v>Stellantis Software Centre (Bengaluru)</v>
      </c>
      <c r="E504" s="12" t="s">
        <v>1234</v>
      </c>
      <c r="F504" s="12" t="s">
        <v>25</v>
      </c>
      <c r="G504" s="12" t="s">
        <v>26</v>
      </c>
      <c r="H504" s="12" t="s">
        <v>1235</v>
      </c>
      <c r="I504" s="14">
        <v>45253</v>
      </c>
      <c r="J504" s="12" t="s">
        <v>1236</v>
      </c>
    </row>
    <row r="505" spans="1:10" s="15" customFormat="1" x14ac:dyDescent="0.15">
      <c r="A505" s="11">
        <v>45253</v>
      </c>
      <c r="B505" s="12" t="s">
        <v>45</v>
      </c>
      <c r="C505" s="12" t="s">
        <v>120</v>
      </c>
      <c r="D505" s="13" t="str">
        <f>HYPERLINK("https://www.marklines.com/en/global/2249","Stellantis, Opel Automobile GmbH (Former Adam Opel AG)")</f>
        <v>Stellantis, Opel Automobile GmbH (Former Adam Opel AG)</v>
      </c>
      <c r="E505" s="12" t="s">
        <v>1237</v>
      </c>
      <c r="F505" s="12" t="s">
        <v>17</v>
      </c>
      <c r="G505" s="12" t="s">
        <v>21</v>
      </c>
      <c r="H505" s="12"/>
      <c r="I505" s="14">
        <v>45252</v>
      </c>
      <c r="J505" s="12" t="s">
        <v>1238</v>
      </c>
    </row>
    <row r="506" spans="1:10" s="15" customFormat="1" x14ac:dyDescent="0.15">
      <c r="A506" s="11">
        <v>45253</v>
      </c>
      <c r="B506" s="12" t="s">
        <v>45</v>
      </c>
      <c r="C506" s="12" t="s">
        <v>120</v>
      </c>
      <c r="D506" s="13" t="str">
        <f>HYPERLINK("https://www.marklines.com/en/global/2251","Stellantis, Opel Automobile GmbH, Rüsselsheim Plant (Former Adam Opel AG, Russelsheim Plant)")</f>
        <v>Stellantis, Opel Automobile GmbH, Rüsselsheim Plant (Former Adam Opel AG, Russelsheim Plant)</v>
      </c>
      <c r="E506" s="12" t="s">
        <v>1239</v>
      </c>
      <c r="F506" s="12" t="s">
        <v>17</v>
      </c>
      <c r="G506" s="12" t="s">
        <v>21</v>
      </c>
      <c r="H506" s="12"/>
      <c r="I506" s="14">
        <v>45252</v>
      </c>
      <c r="J506" s="12" t="s">
        <v>1238</v>
      </c>
    </row>
    <row r="507" spans="1:10" s="15" customFormat="1" x14ac:dyDescent="0.15">
      <c r="A507" s="11">
        <v>45253</v>
      </c>
      <c r="B507" s="12" t="s">
        <v>33</v>
      </c>
      <c r="C507" s="12" t="s">
        <v>332</v>
      </c>
      <c r="D507" s="13" t="str">
        <f>HYPERLINK("https://www.marklines.com/en/global/10650","PowerCo SE, Sagunto Gigafactory")</f>
        <v>PowerCo SE, Sagunto Gigafactory</v>
      </c>
      <c r="E507" s="12" t="s">
        <v>103</v>
      </c>
      <c r="F507" s="12" t="s">
        <v>17</v>
      </c>
      <c r="G507" s="12" t="s">
        <v>62</v>
      </c>
      <c r="H507" s="12"/>
      <c r="I507" s="14">
        <v>45252</v>
      </c>
      <c r="J507" s="12" t="s">
        <v>1240</v>
      </c>
    </row>
    <row r="508" spans="1:10" s="15" customFormat="1" x14ac:dyDescent="0.15">
      <c r="A508" s="11">
        <v>45253</v>
      </c>
      <c r="B508" s="12" t="s">
        <v>551</v>
      </c>
      <c r="C508" s="12" t="s">
        <v>552</v>
      </c>
      <c r="D508" s="13" t="str">
        <f>HYPERLINK("https://www.marklines.com/en/global/9165","Dongfeng Motor (Wuhan) Co., Ltd. (formerly Dongfeng Renault Automotive  Co., Ltd.) ")</f>
        <v xml:space="preserve">Dongfeng Motor (Wuhan) Co., Ltd. (formerly Dongfeng Renault Automotive  Co., Ltd.) </v>
      </c>
      <c r="E508" s="12" t="s">
        <v>553</v>
      </c>
      <c r="F508" s="12" t="s">
        <v>20</v>
      </c>
      <c r="G508" s="12" t="s">
        <v>27</v>
      </c>
      <c r="H508" s="12" t="s">
        <v>554</v>
      </c>
      <c r="I508" s="14">
        <v>45252</v>
      </c>
      <c r="J508" s="12" t="s">
        <v>1241</v>
      </c>
    </row>
    <row r="509" spans="1:10" s="15" customFormat="1" x14ac:dyDescent="0.15">
      <c r="A509" s="11">
        <v>45253</v>
      </c>
      <c r="B509" s="12" t="s">
        <v>1242</v>
      </c>
      <c r="C509" s="12" t="s">
        <v>1242</v>
      </c>
      <c r="D509" s="13" t="str">
        <f>HYPERLINK("https://www.marklines.com/en/global/671","ZAO AvtoTOR, Kaliningrad Plant")</f>
        <v>ZAO AvtoTOR, Kaliningrad Plant</v>
      </c>
      <c r="E509" s="12" t="s">
        <v>696</v>
      </c>
      <c r="F509" s="12" t="s">
        <v>18</v>
      </c>
      <c r="G509" s="12" t="s">
        <v>14</v>
      </c>
      <c r="H509" s="12"/>
      <c r="I509" s="14">
        <v>45252</v>
      </c>
      <c r="J509" s="12" t="s">
        <v>1243</v>
      </c>
    </row>
    <row r="510" spans="1:10" s="15" customFormat="1" x14ac:dyDescent="0.15">
      <c r="A510" s="11">
        <v>45253</v>
      </c>
      <c r="B510" s="12" t="s">
        <v>41</v>
      </c>
      <c r="C510" s="12" t="s">
        <v>42</v>
      </c>
      <c r="D510" s="13" t="str">
        <f>HYPERLINK("https://www.marklines.com/en/global/10250","Mercedes-Benz Research and Development India Private Limited (MBRDI)(Bangalore)")</f>
        <v>Mercedes-Benz Research and Development India Private Limited (MBRDI)(Bangalore)</v>
      </c>
      <c r="E510" s="12" t="s">
        <v>1244</v>
      </c>
      <c r="F510" s="12" t="s">
        <v>25</v>
      </c>
      <c r="G510" s="12" t="s">
        <v>26</v>
      </c>
      <c r="H510" s="12" t="s">
        <v>1235</v>
      </c>
      <c r="I510" s="14">
        <v>45252</v>
      </c>
      <c r="J510" s="12" t="s">
        <v>1245</v>
      </c>
    </row>
    <row r="511" spans="1:10" s="15" customFormat="1" x14ac:dyDescent="0.15">
      <c r="A511" s="11">
        <v>45253</v>
      </c>
      <c r="B511" s="12" t="s">
        <v>33</v>
      </c>
      <c r="C511" s="12" t="s">
        <v>44</v>
      </c>
      <c r="D511" s="13" t="str">
        <f>HYPERLINK("https://www.marklines.com/en/global/3309","Volkswagen Group of America Chattanooga Operations, LLC, Chattanooga Plant")</f>
        <v>Volkswagen Group of America Chattanooga Operations, LLC, Chattanooga Plant</v>
      </c>
      <c r="E511" s="12" t="s">
        <v>1246</v>
      </c>
      <c r="F511" s="12" t="s">
        <v>16</v>
      </c>
      <c r="G511" s="12" t="s">
        <v>11</v>
      </c>
      <c r="H511" s="12" t="s">
        <v>490</v>
      </c>
      <c r="I511" s="14">
        <v>45252</v>
      </c>
      <c r="J511" s="12" t="s">
        <v>1247</v>
      </c>
    </row>
    <row r="512" spans="1:10" s="15" customFormat="1" x14ac:dyDescent="0.15">
      <c r="A512" s="11">
        <v>45253</v>
      </c>
      <c r="B512" s="12" t="s">
        <v>495</v>
      </c>
      <c r="C512" s="12" t="s">
        <v>495</v>
      </c>
      <c r="D512" s="13" t="str">
        <f>HYPERLINK("https://www.marklines.com/en/global/3539","Hebei Changan Automobile Co., Ltd. ")</f>
        <v xml:space="preserve">Hebei Changan Automobile Co., Ltd. </v>
      </c>
      <c r="E512" s="12" t="s">
        <v>656</v>
      </c>
      <c r="F512" s="12" t="s">
        <v>20</v>
      </c>
      <c r="G512" s="12" t="s">
        <v>27</v>
      </c>
      <c r="H512" s="12" t="s">
        <v>267</v>
      </c>
      <c r="I512" s="14">
        <v>45249</v>
      </c>
      <c r="J512" s="12" t="s">
        <v>1248</v>
      </c>
    </row>
    <row r="513" spans="1:10" s="15" customFormat="1" x14ac:dyDescent="0.15">
      <c r="A513" s="11">
        <v>45253</v>
      </c>
      <c r="B513" s="12" t="s">
        <v>495</v>
      </c>
      <c r="C513" s="12" t="s">
        <v>495</v>
      </c>
      <c r="D513" s="13" t="str">
        <f>HYPERLINK("https://www.marklines.com/en/global/3449","China Changan Automobile Group Co., Ltd. ")</f>
        <v xml:space="preserve">China Changan Automobile Group Co., Ltd. </v>
      </c>
      <c r="E513" s="12" t="s">
        <v>496</v>
      </c>
      <c r="F513" s="12" t="s">
        <v>20</v>
      </c>
      <c r="G513" s="12" t="s">
        <v>27</v>
      </c>
      <c r="H513" s="12" t="s">
        <v>456</v>
      </c>
      <c r="I513" s="14">
        <v>45248</v>
      </c>
      <c r="J513" s="12" t="s">
        <v>1249</v>
      </c>
    </row>
    <row r="514" spans="1:10" s="15" customFormat="1" x14ac:dyDescent="0.15">
      <c r="A514" s="11">
        <v>45253</v>
      </c>
      <c r="B514" s="12" t="s">
        <v>321</v>
      </c>
      <c r="C514" s="12" t="s">
        <v>322</v>
      </c>
      <c r="D514" s="13" t="str">
        <f>HYPERLINK("https://www.marklines.com/en/global/9126","BAIC Bluepark Magna Automobile Co., Ltd.  (formerly BAIC (Zhenjiang) Automobile Co., Ltd.)")</f>
        <v>BAIC Bluepark Magna Automobile Co., Ltd.  (formerly BAIC (Zhenjiang) Automobile Co., Ltd.)</v>
      </c>
      <c r="E514" s="12" t="s">
        <v>323</v>
      </c>
      <c r="F514" s="12" t="s">
        <v>20</v>
      </c>
      <c r="G514" s="12" t="s">
        <v>27</v>
      </c>
      <c r="H514" s="12" t="s">
        <v>278</v>
      </c>
      <c r="I514" s="14">
        <v>45247</v>
      </c>
      <c r="J514" s="12" t="s">
        <v>1250</v>
      </c>
    </row>
    <row r="515" spans="1:10" s="15" customFormat="1" x14ac:dyDescent="0.15">
      <c r="A515" s="11">
        <v>45252</v>
      </c>
      <c r="B515" s="12" t="s">
        <v>43</v>
      </c>
      <c r="C515" s="12" t="s">
        <v>43</v>
      </c>
      <c r="D515" s="13" t="str">
        <f>HYPERLINK("https://www.marklines.com/en/global/10326","Hyundai Motor Group Innovation Center in Singapore (HMGICS)")</f>
        <v>Hyundai Motor Group Innovation Center in Singapore (HMGICS)</v>
      </c>
      <c r="E515" s="12" t="s">
        <v>1130</v>
      </c>
      <c r="F515" s="12" t="s">
        <v>34</v>
      </c>
      <c r="G515" s="12" t="s">
        <v>1131</v>
      </c>
      <c r="H515" s="12"/>
      <c r="I515" s="14">
        <v>45251</v>
      </c>
      <c r="J515" s="12" t="s">
        <v>1251</v>
      </c>
    </row>
    <row r="516" spans="1:10" s="15" customFormat="1" x14ac:dyDescent="0.15">
      <c r="A516" s="11">
        <v>45252</v>
      </c>
      <c r="B516" s="12" t="s">
        <v>22</v>
      </c>
      <c r="C516" s="12" t="s">
        <v>22</v>
      </c>
      <c r="D516" s="13" t="str">
        <f>HYPERLINK("https://www.marklines.com/en/global/1287","Toyota Kirloskar Motor India (TKM), Bangalore Plant")</f>
        <v>Toyota Kirloskar Motor India (TKM), Bangalore Plant</v>
      </c>
      <c r="E516" s="12" t="s">
        <v>1252</v>
      </c>
      <c r="F516" s="12" t="s">
        <v>25</v>
      </c>
      <c r="G516" s="12" t="s">
        <v>26</v>
      </c>
      <c r="H516" s="12" t="s">
        <v>1235</v>
      </c>
      <c r="I516" s="14">
        <v>45251</v>
      </c>
      <c r="J516" s="12" t="s">
        <v>1253</v>
      </c>
    </row>
    <row r="517" spans="1:10" s="15" customFormat="1" x14ac:dyDescent="0.15">
      <c r="A517" s="11">
        <v>45252</v>
      </c>
      <c r="B517" s="12" t="s">
        <v>22</v>
      </c>
      <c r="C517" s="12" t="s">
        <v>22</v>
      </c>
      <c r="D517" s="13" t="str">
        <f>HYPERLINK("https://www.marklines.com/en/global/1285","Toyota Kirloskar Motor Private Limited (TKM)")</f>
        <v>Toyota Kirloskar Motor Private Limited (TKM)</v>
      </c>
      <c r="E517" s="12" t="s">
        <v>1254</v>
      </c>
      <c r="F517" s="12" t="s">
        <v>25</v>
      </c>
      <c r="G517" s="12" t="s">
        <v>26</v>
      </c>
      <c r="H517" s="12" t="s">
        <v>1235</v>
      </c>
      <c r="I517" s="14">
        <v>45251</v>
      </c>
      <c r="J517" s="12" t="s">
        <v>1253</v>
      </c>
    </row>
    <row r="518" spans="1:10" s="15" customFormat="1" x14ac:dyDescent="0.15">
      <c r="A518" s="11">
        <v>45252</v>
      </c>
      <c r="B518" s="12" t="s">
        <v>243</v>
      </c>
      <c r="C518" s="12" t="s">
        <v>243</v>
      </c>
      <c r="D518" s="13" t="str">
        <f>HYPERLINK("https://www.marklines.com/en/global/165","SOVAB, Batilly Plant")</f>
        <v>SOVAB, Batilly Plant</v>
      </c>
      <c r="E518" s="12" t="s">
        <v>760</v>
      </c>
      <c r="F518" s="12" t="s">
        <v>17</v>
      </c>
      <c r="G518" s="12" t="s">
        <v>32</v>
      </c>
      <c r="H518" s="12"/>
      <c r="I518" s="14">
        <v>45251</v>
      </c>
      <c r="J518" s="12" t="s">
        <v>1255</v>
      </c>
    </row>
    <row r="519" spans="1:10" s="15" customFormat="1" x14ac:dyDescent="0.15">
      <c r="A519" s="11">
        <v>45252</v>
      </c>
      <c r="B519" s="12" t="s">
        <v>43</v>
      </c>
      <c r="C519" s="12" t="s">
        <v>43</v>
      </c>
      <c r="D519" s="13" t="str">
        <f>HYPERLINK("https://www.marklines.com/en/global/10326","Hyundai Motor Group Innovation Center in Singapore (HMGICS)")</f>
        <v>Hyundai Motor Group Innovation Center in Singapore (HMGICS)</v>
      </c>
      <c r="E519" s="12" t="s">
        <v>1130</v>
      </c>
      <c r="F519" s="12" t="s">
        <v>34</v>
      </c>
      <c r="G519" s="12" t="s">
        <v>1131</v>
      </c>
      <c r="H519" s="12"/>
      <c r="I519" s="14">
        <v>45251</v>
      </c>
      <c r="J519" s="12" t="s">
        <v>1256</v>
      </c>
    </row>
    <row r="520" spans="1:10" s="15" customFormat="1" x14ac:dyDescent="0.15">
      <c r="A520" s="11">
        <v>45252</v>
      </c>
      <c r="B520" s="12" t="s">
        <v>24</v>
      </c>
      <c r="C520" s="12" t="s">
        <v>24</v>
      </c>
      <c r="D520" s="13" t="str">
        <f>HYPERLINK("https://www.marklines.com/en/global/10759","Ford, BlueOval Battery Park Michigan")</f>
        <v>Ford, BlueOval Battery Park Michigan</v>
      </c>
      <c r="E520" s="12" t="s">
        <v>1257</v>
      </c>
      <c r="F520" s="12" t="s">
        <v>16</v>
      </c>
      <c r="G520" s="12" t="s">
        <v>11</v>
      </c>
      <c r="H520" s="12" t="s">
        <v>40</v>
      </c>
      <c r="I520" s="14">
        <v>45251</v>
      </c>
      <c r="J520" s="12" t="s">
        <v>1258</v>
      </c>
    </row>
    <row r="521" spans="1:10" s="15" customFormat="1" x14ac:dyDescent="0.15">
      <c r="A521" s="11">
        <v>45252</v>
      </c>
      <c r="B521" s="12" t="s">
        <v>65</v>
      </c>
      <c r="C521" s="12" t="s">
        <v>348</v>
      </c>
      <c r="D521" s="13" t="str">
        <f>HYPERLINK("https://www.marklines.com/en/global/9924","Stellantis, Fiat Chrysler Canada Automotive Research and Development Centre (ARDC)(Windsor)")</f>
        <v>Stellantis, Fiat Chrysler Canada Automotive Research and Development Centre (ARDC)(Windsor)</v>
      </c>
      <c r="E521" s="12" t="s">
        <v>1259</v>
      </c>
      <c r="F521" s="12" t="s">
        <v>16</v>
      </c>
      <c r="G521" s="12" t="s">
        <v>446</v>
      </c>
      <c r="H521" s="12"/>
      <c r="I521" s="14">
        <v>45251</v>
      </c>
      <c r="J521" s="12" t="s">
        <v>1260</v>
      </c>
    </row>
    <row r="522" spans="1:10" s="15" customFormat="1" x14ac:dyDescent="0.15">
      <c r="A522" s="11">
        <v>45252</v>
      </c>
      <c r="B522" s="12" t="s">
        <v>56</v>
      </c>
      <c r="C522" s="12" t="s">
        <v>56</v>
      </c>
      <c r="D522" s="13" t="str">
        <f>HYPERLINK("https://www.marklines.com/en/global/3187","Nissan North America, Canton Plant")</f>
        <v>Nissan North America, Canton Plant</v>
      </c>
      <c r="E522" s="12" t="s">
        <v>1261</v>
      </c>
      <c r="F522" s="12" t="s">
        <v>16</v>
      </c>
      <c r="G522" s="12" t="s">
        <v>11</v>
      </c>
      <c r="H522" s="12" t="s">
        <v>883</v>
      </c>
      <c r="I522" s="14">
        <v>45250</v>
      </c>
      <c r="J522" s="12" t="s">
        <v>1262</v>
      </c>
    </row>
    <row r="523" spans="1:10" s="15" customFormat="1" x14ac:dyDescent="0.15">
      <c r="A523" s="11">
        <v>45252</v>
      </c>
      <c r="B523" s="12" t="s">
        <v>56</v>
      </c>
      <c r="C523" s="12" t="s">
        <v>56</v>
      </c>
      <c r="D523" s="13" t="str">
        <f>HYPERLINK("https://www.marklines.com/en/global/3191","Nissan North America, Decherd Plant")</f>
        <v>Nissan North America, Decherd Plant</v>
      </c>
      <c r="E523" s="12" t="s">
        <v>1263</v>
      </c>
      <c r="F523" s="12" t="s">
        <v>16</v>
      </c>
      <c r="G523" s="12" t="s">
        <v>11</v>
      </c>
      <c r="H523" s="12" t="s">
        <v>490</v>
      </c>
      <c r="I523" s="14">
        <v>45250</v>
      </c>
      <c r="J523" s="12" t="s">
        <v>1262</v>
      </c>
    </row>
    <row r="524" spans="1:10" s="15" customFormat="1" x14ac:dyDescent="0.15">
      <c r="A524" s="11">
        <v>45252</v>
      </c>
      <c r="B524" s="12" t="s">
        <v>56</v>
      </c>
      <c r="C524" s="12" t="s">
        <v>56</v>
      </c>
      <c r="D524" s="13" t="str">
        <f>HYPERLINK("https://www.marklines.com/en/global/3189","Nissan North America, Smyrna Plant")</f>
        <v>Nissan North America, Smyrna Plant</v>
      </c>
      <c r="E524" s="12" t="s">
        <v>489</v>
      </c>
      <c r="F524" s="12" t="s">
        <v>16</v>
      </c>
      <c r="G524" s="12" t="s">
        <v>11</v>
      </c>
      <c r="H524" s="12" t="s">
        <v>490</v>
      </c>
      <c r="I524" s="14">
        <v>45250</v>
      </c>
      <c r="J524" s="12" t="s">
        <v>1262</v>
      </c>
    </row>
    <row r="525" spans="1:10" s="15" customFormat="1" x14ac:dyDescent="0.15">
      <c r="A525" s="11">
        <v>45252</v>
      </c>
      <c r="B525" s="12" t="s">
        <v>551</v>
      </c>
      <c r="C525" s="12" t="s">
        <v>552</v>
      </c>
      <c r="D525" s="13" t="str">
        <f>HYPERLINK("https://www.marklines.com/en/global/9165","Dongfeng Motor (Wuhan) Co., Ltd. (formerly Dongfeng Renault Automotive  Co., Ltd.) ")</f>
        <v xml:space="preserve">Dongfeng Motor (Wuhan) Co., Ltd. (formerly Dongfeng Renault Automotive  Co., Ltd.) </v>
      </c>
      <c r="E525" s="12" t="s">
        <v>553</v>
      </c>
      <c r="F525" s="12" t="s">
        <v>20</v>
      </c>
      <c r="G525" s="12" t="s">
        <v>27</v>
      </c>
      <c r="H525" s="12" t="s">
        <v>554</v>
      </c>
      <c r="I525" s="14">
        <v>45247</v>
      </c>
      <c r="J525" s="12" t="s">
        <v>1264</v>
      </c>
    </row>
    <row r="526" spans="1:10" s="15" customFormat="1" x14ac:dyDescent="0.15">
      <c r="A526" s="11">
        <v>45252</v>
      </c>
      <c r="B526" s="12" t="s">
        <v>366</v>
      </c>
      <c r="C526" s="12" t="s">
        <v>366</v>
      </c>
      <c r="D526" s="13" t="str">
        <f>HYPERLINK("https://www.marklines.com/en/global/4075","GAC Motor Co., Ltd. (formerly Guangzhou Automobile Group Motor Co., Ltd.)")</f>
        <v>GAC Motor Co., Ltd. (formerly Guangzhou Automobile Group Motor Co., Ltd.)</v>
      </c>
      <c r="E526" s="12" t="s">
        <v>367</v>
      </c>
      <c r="F526" s="12" t="s">
        <v>20</v>
      </c>
      <c r="G526" s="12" t="s">
        <v>27</v>
      </c>
      <c r="H526" s="12" t="s">
        <v>357</v>
      </c>
      <c r="I526" s="14">
        <v>45247</v>
      </c>
      <c r="J526" s="12" t="s">
        <v>1265</v>
      </c>
    </row>
    <row r="527" spans="1:10" s="15" customFormat="1" x14ac:dyDescent="0.15">
      <c r="A527" s="11">
        <v>45252</v>
      </c>
      <c r="B527" s="12" t="s">
        <v>437</v>
      </c>
      <c r="C527" s="12" t="s">
        <v>850</v>
      </c>
      <c r="D527" s="13" t="str">
        <f>HYPERLINK("https://www.marklines.com/en/global/3879","Chery Automobile Co., Ltd. ")</f>
        <v xml:space="preserve">Chery Automobile Co., Ltd. </v>
      </c>
      <c r="E527" s="12" t="s">
        <v>848</v>
      </c>
      <c r="F527" s="12" t="s">
        <v>20</v>
      </c>
      <c r="G527" s="12" t="s">
        <v>27</v>
      </c>
      <c r="H527" s="12" t="s">
        <v>303</v>
      </c>
      <c r="I527" s="14">
        <v>45247</v>
      </c>
      <c r="J527" s="12" t="s">
        <v>1266</v>
      </c>
    </row>
    <row r="528" spans="1:10" s="15" customFormat="1" x14ac:dyDescent="0.15">
      <c r="A528" s="11">
        <v>45252</v>
      </c>
      <c r="B528" s="12" t="s">
        <v>22</v>
      </c>
      <c r="C528" s="12" t="s">
        <v>22</v>
      </c>
      <c r="D528" s="13" t="str">
        <f>HYPERLINK("https://www.marklines.com/en/global/10503","GAC Toyota Motor Co., Ltd. (GTMC) Nansha Plant Fifth Production Line")</f>
        <v>GAC Toyota Motor Co., Ltd. (GTMC) Nansha Plant Fifth Production Line</v>
      </c>
      <c r="E528" s="12" t="s">
        <v>1267</v>
      </c>
      <c r="F528" s="12" t="s">
        <v>20</v>
      </c>
      <c r="G528" s="12" t="s">
        <v>27</v>
      </c>
      <c r="H528" s="12" t="s">
        <v>357</v>
      </c>
      <c r="I528" s="14">
        <v>45247</v>
      </c>
      <c r="J528" s="12" t="s">
        <v>1268</v>
      </c>
    </row>
    <row r="529" spans="1:10" s="15" customFormat="1" x14ac:dyDescent="0.15">
      <c r="A529" s="11">
        <v>45252</v>
      </c>
      <c r="B529" s="12" t="s">
        <v>770</v>
      </c>
      <c r="C529" s="12" t="s">
        <v>770</v>
      </c>
      <c r="D529" s="13" t="str">
        <f>HYPERLINK("https://www.marklines.com/en/global/9549","Giant Motors Latinoamerica, S.A. de C.V., Ciudad Sahagun Plant")</f>
        <v>Giant Motors Latinoamerica, S.A. de C.V., Ciudad Sahagun Plant</v>
      </c>
      <c r="E529" s="12" t="s">
        <v>1269</v>
      </c>
      <c r="F529" s="12" t="s">
        <v>16</v>
      </c>
      <c r="G529" s="12" t="s">
        <v>91</v>
      </c>
      <c r="H529" s="12"/>
      <c r="I529" s="14">
        <v>45247</v>
      </c>
      <c r="J529" s="12" t="s">
        <v>1270</v>
      </c>
    </row>
    <row r="530" spans="1:10" s="15" customFormat="1" x14ac:dyDescent="0.15">
      <c r="A530" s="11">
        <v>45251</v>
      </c>
      <c r="B530" s="12" t="s">
        <v>690</v>
      </c>
      <c r="C530" s="12" t="s">
        <v>690</v>
      </c>
      <c r="D530" s="13" t="str">
        <f>HYPERLINK("https://www.marklines.com/en/global/737","Kamaz, Naberezhnye Chelny Plant")</f>
        <v>Kamaz, Naberezhnye Chelny Plant</v>
      </c>
      <c r="E530" s="12" t="s">
        <v>691</v>
      </c>
      <c r="F530" s="12" t="s">
        <v>18</v>
      </c>
      <c r="G530" s="12" t="s">
        <v>14</v>
      </c>
      <c r="H530" s="12"/>
      <c r="I530" s="14">
        <v>45251</v>
      </c>
      <c r="J530" s="12" t="s">
        <v>1271</v>
      </c>
    </row>
    <row r="531" spans="1:10" s="15" customFormat="1" x14ac:dyDescent="0.15">
      <c r="A531" s="11">
        <v>45251</v>
      </c>
      <c r="B531" s="12" t="s">
        <v>98</v>
      </c>
      <c r="C531" s="12" t="s">
        <v>99</v>
      </c>
      <c r="D531" s="13" t="str">
        <f>HYPERLINK("https://www.marklines.com/en/global/9547","VinFast Trading and Production LLC, Hai Phong Plant")</f>
        <v>VinFast Trading and Production LLC, Hai Phong Plant</v>
      </c>
      <c r="E531" s="12" t="s">
        <v>202</v>
      </c>
      <c r="F531" s="12" t="s">
        <v>34</v>
      </c>
      <c r="G531" s="12" t="s">
        <v>110</v>
      </c>
      <c r="H531" s="12"/>
      <c r="I531" s="14">
        <v>45251</v>
      </c>
      <c r="J531" s="12" t="s">
        <v>1272</v>
      </c>
    </row>
    <row r="532" spans="1:10" s="15" customFormat="1" x14ac:dyDescent="0.15">
      <c r="A532" s="11">
        <v>45251</v>
      </c>
      <c r="B532" s="12" t="s">
        <v>52</v>
      </c>
      <c r="C532" s="12" t="s">
        <v>53</v>
      </c>
      <c r="D532" s="13" t="str">
        <f>HYPERLINK("https://www.marklines.com/en/global/729","LLC ""LADA Izhevsk"", LADA Izhevsk Automotive Plant (formerly OJSC Izh-Avto, Izhevsk Automobilny Zavod) ")</f>
        <v xml:space="preserve">LLC "LADA Izhevsk", LADA Izhevsk Automotive Plant (formerly OJSC Izh-Avto, Izhevsk Automobilny Zavod) </v>
      </c>
      <c r="E532" s="12" t="s">
        <v>105</v>
      </c>
      <c r="F532" s="12" t="s">
        <v>18</v>
      </c>
      <c r="G532" s="12" t="s">
        <v>14</v>
      </c>
      <c r="H532" s="12"/>
      <c r="I532" s="14">
        <v>45250</v>
      </c>
      <c r="J532" s="12" t="s">
        <v>1273</v>
      </c>
    </row>
    <row r="533" spans="1:10" s="15" customFormat="1" x14ac:dyDescent="0.15">
      <c r="A533" s="11">
        <v>45251</v>
      </c>
      <c r="B533" s="12" t="s">
        <v>117</v>
      </c>
      <c r="C533" s="12" t="s">
        <v>117</v>
      </c>
      <c r="D533" s="13" t="str">
        <f>HYPERLINK("https://www.marklines.com/en/global/9888","Regal Automobiles Industries Ltd.")</f>
        <v>Regal Automobiles Industries Ltd.</v>
      </c>
      <c r="E533" s="12" t="s">
        <v>1274</v>
      </c>
      <c r="F533" s="12" t="s">
        <v>25</v>
      </c>
      <c r="G533" s="12" t="s">
        <v>82</v>
      </c>
      <c r="H533" s="12"/>
      <c r="I533" s="14">
        <v>45250</v>
      </c>
      <c r="J533" s="12" t="s">
        <v>1275</v>
      </c>
    </row>
    <row r="534" spans="1:10" s="15" customFormat="1" x14ac:dyDescent="0.15">
      <c r="A534" s="11">
        <v>45251</v>
      </c>
      <c r="B534" s="12" t="s">
        <v>408</v>
      </c>
      <c r="C534" s="12" t="s">
        <v>482</v>
      </c>
      <c r="D534" s="13" t="str">
        <f>HYPERLINK("https://www.marklines.com/en/global/9039","SAIC GM Wuling Automobile Co., Ltd. Chongqing Branch (SGMW Chongqing Branch)")</f>
        <v>SAIC GM Wuling Automobile Co., Ltd. Chongqing Branch (SGMW Chongqing Branch)</v>
      </c>
      <c r="E534" s="12" t="s">
        <v>483</v>
      </c>
      <c r="F534" s="12" t="s">
        <v>20</v>
      </c>
      <c r="G534" s="12" t="s">
        <v>27</v>
      </c>
      <c r="H534" s="12" t="s">
        <v>29</v>
      </c>
      <c r="I534" s="14">
        <v>45247</v>
      </c>
      <c r="J534" s="12" t="s">
        <v>1276</v>
      </c>
    </row>
    <row r="535" spans="1:10" s="15" customFormat="1" x14ac:dyDescent="0.15">
      <c r="A535" s="11">
        <v>45251</v>
      </c>
      <c r="B535" s="12" t="s">
        <v>551</v>
      </c>
      <c r="C535" s="12" t="s">
        <v>1277</v>
      </c>
      <c r="D535" s="13" t="str">
        <f>HYPERLINK("https://www.marklines.com/en/global/10725","Dongfeng Automobile Nammi Technology (Xiangyang) Co., Ltd. (formerly Dongfeng Automobile Nano Technology (Xiangyang) Co., Ltd.) ")</f>
        <v xml:space="preserve">Dongfeng Automobile Nammi Technology (Xiangyang) Co., Ltd. (formerly Dongfeng Automobile Nano Technology (Xiangyang) Co., Ltd.) </v>
      </c>
      <c r="E535" s="12" t="s">
        <v>1278</v>
      </c>
      <c r="F535" s="12" t="s">
        <v>20</v>
      </c>
      <c r="G535" s="12" t="s">
        <v>27</v>
      </c>
      <c r="H535" s="12" t="s">
        <v>554</v>
      </c>
      <c r="I535" s="14">
        <v>45247</v>
      </c>
      <c r="J535" s="12" t="s">
        <v>1279</v>
      </c>
    </row>
    <row r="536" spans="1:10" s="15" customFormat="1" x14ac:dyDescent="0.15">
      <c r="A536" s="11">
        <v>45251</v>
      </c>
      <c r="B536" s="12" t="s">
        <v>1060</v>
      </c>
      <c r="C536" s="12" t="s">
        <v>1060</v>
      </c>
      <c r="D536" s="13" t="str">
        <f>HYPERLINK("https://www.marklines.com/en/global/3433","Beijing Li Auto Co., Ltd. (formerly Beijing Hyundai Motor Co., Ltd., First Plant)")</f>
        <v>Beijing Li Auto Co., Ltd. (formerly Beijing Hyundai Motor Co., Ltd., First Plant)</v>
      </c>
      <c r="E536" s="12" t="s">
        <v>1280</v>
      </c>
      <c r="F536" s="12" t="s">
        <v>20</v>
      </c>
      <c r="G536" s="12" t="s">
        <v>27</v>
      </c>
      <c r="H536" s="12" t="s">
        <v>456</v>
      </c>
      <c r="I536" s="14">
        <v>45247</v>
      </c>
      <c r="J536" s="12" t="s">
        <v>1281</v>
      </c>
    </row>
    <row r="537" spans="1:10" s="15" customFormat="1" x14ac:dyDescent="0.15">
      <c r="A537" s="11">
        <v>45251</v>
      </c>
      <c r="B537" s="12" t="s">
        <v>1282</v>
      </c>
      <c r="C537" s="12" t="s">
        <v>1282</v>
      </c>
      <c r="D537" s="13" t="str">
        <f>HYPERLINK("https://www.marklines.com/en/global/9553","Leapmotor Co., Ltd. ")</f>
        <v xml:space="preserve">Leapmotor Co., Ltd. </v>
      </c>
      <c r="E537" s="12" t="s">
        <v>1283</v>
      </c>
      <c r="F537" s="12" t="s">
        <v>20</v>
      </c>
      <c r="G537" s="12" t="s">
        <v>27</v>
      </c>
      <c r="H537" s="12" t="s">
        <v>342</v>
      </c>
      <c r="I537" s="14">
        <v>45247</v>
      </c>
      <c r="J537" s="12" t="s">
        <v>1284</v>
      </c>
    </row>
    <row r="538" spans="1:10" s="15" customFormat="1" x14ac:dyDescent="0.15">
      <c r="A538" s="11">
        <v>45251</v>
      </c>
      <c r="B538" s="12" t="s">
        <v>400</v>
      </c>
      <c r="C538" s="12" t="s">
        <v>946</v>
      </c>
      <c r="D538" s="13" t="str">
        <f>HYPERLINK("https://www.marklines.com/en/global/10391","Zhejiang Geely Automobile Co., Ltd. Meishan Plant")</f>
        <v>Zhejiang Geely Automobile Co., Ltd. Meishan Plant</v>
      </c>
      <c r="E538" s="12" t="s">
        <v>948</v>
      </c>
      <c r="F538" s="12" t="s">
        <v>20</v>
      </c>
      <c r="G538" s="12" t="s">
        <v>27</v>
      </c>
      <c r="H538" s="12" t="s">
        <v>342</v>
      </c>
      <c r="I538" s="14">
        <v>45247</v>
      </c>
      <c r="J538" s="12" t="s">
        <v>1285</v>
      </c>
    </row>
    <row r="539" spans="1:10" s="15" customFormat="1" x14ac:dyDescent="0.15">
      <c r="A539" s="11">
        <v>45251</v>
      </c>
      <c r="B539" s="12" t="s">
        <v>15</v>
      </c>
      <c r="C539" s="12" t="s">
        <v>15</v>
      </c>
      <c r="D539" s="13" t="str">
        <f>HYPERLINK("https://www.marklines.com/en/global/4079","GAC Honda Automobile Co., Ltd.")</f>
        <v>GAC Honda Automobile Co., Ltd.</v>
      </c>
      <c r="E539" s="12" t="s">
        <v>1286</v>
      </c>
      <c r="F539" s="12" t="s">
        <v>20</v>
      </c>
      <c r="G539" s="12" t="s">
        <v>27</v>
      </c>
      <c r="H539" s="12" t="s">
        <v>357</v>
      </c>
      <c r="I539" s="14">
        <v>45247</v>
      </c>
      <c r="J539" s="12" t="s">
        <v>1287</v>
      </c>
    </row>
    <row r="540" spans="1:10" s="15" customFormat="1" x14ac:dyDescent="0.15">
      <c r="A540" s="11">
        <v>45251</v>
      </c>
      <c r="B540" s="12" t="s">
        <v>15</v>
      </c>
      <c r="C540" s="12" t="s">
        <v>15</v>
      </c>
      <c r="D540" s="13" t="str">
        <f>HYPERLINK("https://www.marklines.com/en/global/4087","Honda Automobile (China) Co., Ltd. Guangzhou Development District Plant")</f>
        <v>Honda Automobile (China) Co., Ltd. Guangzhou Development District Plant</v>
      </c>
      <c r="E540" s="12" t="s">
        <v>1288</v>
      </c>
      <c r="F540" s="12" t="s">
        <v>20</v>
      </c>
      <c r="G540" s="12" t="s">
        <v>27</v>
      </c>
      <c r="H540" s="12" t="s">
        <v>357</v>
      </c>
      <c r="I540" s="14">
        <v>45247</v>
      </c>
      <c r="J540" s="12" t="s">
        <v>1287</v>
      </c>
    </row>
    <row r="541" spans="1:10" s="15" customFormat="1" x14ac:dyDescent="0.15">
      <c r="A541" s="11">
        <v>45251</v>
      </c>
      <c r="B541" s="12" t="s">
        <v>15</v>
      </c>
      <c r="C541" s="12" t="s">
        <v>15</v>
      </c>
      <c r="D541" s="13" t="str">
        <f>HYPERLINK("https://www.marklines.com/en/global/3981","Dongfeng Honda Automobile Co., Ltd. ")</f>
        <v xml:space="preserve">Dongfeng Honda Automobile Co., Ltd. </v>
      </c>
      <c r="E541" s="12" t="s">
        <v>1000</v>
      </c>
      <c r="F541" s="12" t="s">
        <v>20</v>
      </c>
      <c r="G541" s="12" t="s">
        <v>27</v>
      </c>
      <c r="H541" s="12" t="s">
        <v>554</v>
      </c>
      <c r="I541" s="14">
        <v>45247</v>
      </c>
      <c r="J541" s="12" t="s">
        <v>1287</v>
      </c>
    </row>
    <row r="542" spans="1:10" s="15" customFormat="1" x14ac:dyDescent="0.15">
      <c r="A542" s="11">
        <v>45251</v>
      </c>
      <c r="B542" s="12" t="s">
        <v>388</v>
      </c>
      <c r="C542" s="12" t="s">
        <v>388</v>
      </c>
      <c r="D542" s="13" t="str">
        <f>HYPERLINK("https://www.marklines.com/en/global/1349","Iveco S.p.A.")</f>
        <v>Iveco S.p.A.</v>
      </c>
      <c r="E542" s="12" t="s">
        <v>1289</v>
      </c>
      <c r="F542" s="12" t="s">
        <v>17</v>
      </c>
      <c r="G542" s="12" t="s">
        <v>46</v>
      </c>
      <c r="H542" s="12"/>
      <c r="I542" s="14">
        <v>45246</v>
      </c>
      <c r="J542" s="12" t="s">
        <v>1290</v>
      </c>
    </row>
    <row r="543" spans="1:10" s="15" customFormat="1" x14ac:dyDescent="0.15">
      <c r="A543" s="11">
        <v>45251</v>
      </c>
      <c r="B543" s="12" t="s">
        <v>388</v>
      </c>
      <c r="C543" s="12" t="s">
        <v>388</v>
      </c>
      <c r="D543" s="13" t="str">
        <f>HYPERLINK("https://www.marklines.com/en/global/9899","Iveco S.p.A., Ulm Plant")</f>
        <v>Iveco S.p.A., Ulm Plant</v>
      </c>
      <c r="E543" s="12" t="s">
        <v>1291</v>
      </c>
      <c r="F543" s="12" t="s">
        <v>17</v>
      </c>
      <c r="G543" s="12" t="s">
        <v>21</v>
      </c>
      <c r="H543" s="12"/>
      <c r="I543" s="14">
        <v>45246</v>
      </c>
      <c r="J543" s="12" t="s">
        <v>1290</v>
      </c>
    </row>
    <row r="544" spans="1:10" s="15" customFormat="1" x14ac:dyDescent="0.15">
      <c r="A544" s="11">
        <v>45251</v>
      </c>
      <c r="B544" s="12" t="s">
        <v>388</v>
      </c>
      <c r="C544" s="12" t="s">
        <v>388</v>
      </c>
      <c r="D544" s="13" t="str">
        <f>HYPERLINK("https://www.marklines.com/en/global/1353","Iveco S.p.A., Suzzara Plant")</f>
        <v>Iveco S.p.A., Suzzara Plant</v>
      </c>
      <c r="E544" s="12" t="s">
        <v>1292</v>
      </c>
      <c r="F544" s="12" t="s">
        <v>17</v>
      </c>
      <c r="G544" s="12" t="s">
        <v>46</v>
      </c>
      <c r="H544" s="12"/>
      <c r="I544" s="14">
        <v>45246</v>
      </c>
      <c r="J544" s="12" t="s">
        <v>1290</v>
      </c>
    </row>
    <row r="545" spans="1:10" s="15" customFormat="1" x14ac:dyDescent="0.15">
      <c r="A545" s="11">
        <v>45251</v>
      </c>
      <c r="B545" s="12" t="s">
        <v>388</v>
      </c>
      <c r="C545" s="12" t="s">
        <v>389</v>
      </c>
      <c r="D545" s="13" t="str">
        <f>HYPERLINK("https://www.marklines.com/en/global/95","FPT Industrial S.p.A., Bourbon Lancy Plant")</f>
        <v>FPT Industrial S.p.A., Bourbon Lancy Plant</v>
      </c>
      <c r="E545" s="12" t="s">
        <v>1293</v>
      </c>
      <c r="F545" s="12" t="s">
        <v>17</v>
      </c>
      <c r="G545" s="12" t="s">
        <v>32</v>
      </c>
      <c r="H545" s="12"/>
      <c r="I545" s="14">
        <v>45246</v>
      </c>
      <c r="J545" s="12" t="s">
        <v>1290</v>
      </c>
    </row>
    <row r="546" spans="1:10" s="15" customFormat="1" x14ac:dyDescent="0.15">
      <c r="A546" s="11">
        <v>45251</v>
      </c>
      <c r="B546" s="12" t="s">
        <v>31</v>
      </c>
      <c r="C546" s="12" t="s">
        <v>31</v>
      </c>
      <c r="D546" s="13" t="str">
        <f>HYPERLINK("https://www.marklines.com/en/global/8982","Bavarian Auto Manufacturing Company (BAMC), Cairo Plant")</f>
        <v>Bavarian Auto Manufacturing Company (BAMC), Cairo Plant</v>
      </c>
      <c r="E546" s="12" t="s">
        <v>1294</v>
      </c>
      <c r="F546" s="12" t="s">
        <v>69</v>
      </c>
      <c r="G546" s="12" t="s">
        <v>1295</v>
      </c>
      <c r="H546" s="12"/>
      <c r="I546" s="14">
        <v>45246</v>
      </c>
      <c r="J546" s="12" t="s">
        <v>1296</v>
      </c>
    </row>
    <row r="547" spans="1:10" s="15" customFormat="1" x14ac:dyDescent="0.15">
      <c r="A547" s="11">
        <v>45251</v>
      </c>
      <c r="B547" s="12" t="s">
        <v>31</v>
      </c>
      <c r="C547" s="12" t="s">
        <v>1120</v>
      </c>
      <c r="D547" s="13" t="str">
        <f>HYPERLINK("https://www.marklines.com/en/global/8982","Bavarian Auto Manufacturing Company (BAMC), Cairo Plant")</f>
        <v>Bavarian Auto Manufacturing Company (BAMC), Cairo Plant</v>
      </c>
      <c r="E547" s="12" t="s">
        <v>1294</v>
      </c>
      <c r="F547" s="12" t="s">
        <v>69</v>
      </c>
      <c r="G547" s="12" t="s">
        <v>1295</v>
      </c>
      <c r="H547" s="12"/>
      <c r="I547" s="14">
        <v>45246</v>
      </c>
      <c r="J547" s="12" t="s">
        <v>1296</v>
      </c>
    </row>
    <row r="548" spans="1:10" s="15" customFormat="1" x14ac:dyDescent="0.15">
      <c r="A548" s="11">
        <v>45251</v>
      </c>
      <c r="B548" s="12" t="s">
        <v>36</v>
      </c>
      <c r="C548" s="12" t="s">
        <v>369</v>
      </c>
      <c r="D548" s="13" t="str">
        <f>HYPERLINK("https://www.marklines.com/en/global/9838","Great Wall Motor Company Limited Pinghu Branch")</f>
        <v>Great Wall Motor Company Limited Pinghu Branch</v>
      </c>
      <c r="E548" s="12" t="s">
        <v>1297</v>
      </c>
      <c r="F548" s="12" t="s">
        <v>20</v>
      </c>
      <c r="G548" s="12" t="s">
        <v>27</v>
      </c>
      <c r="H548" s="12" t="s">
        <v>342</v>
      </c>
      <c r="I548" s="14">
        <v>45244</v>
      </c>
      <c r="J548" s="12" t="s">
        <v>1298</v>
      </c>
    </row>
    <row r="549" spans="1:10" s="15" customFormat="1" x14ac:dyDescent="0.15">
      <c r="A549" s="11">
        <v>45251</v>
      </c>
      <c r="B549" s="12" t="s">
        <v>36</v>
      </c>
      <c r="C549" s="12" t="s">
        <v>369</v>
      </c>
      <c r="D549" s="13" t="str">
        <f>HYPERLINK("https://www.marklines.com/en/global/9837","Great Wall Motor Co., Ltd. Taizhou Branch")</f>
        <v>Great Wall Motor Co., Ltd. Taizhou Branch</v>
      </c>
      <c r="E549" s="12" t="s">
        <v>370</v>
      </c>
      <c r="F549" s="12" t="s">
        <v>20</v>
      </c>
      <c r="G549" s="12" t="s">
        <v>27</v>
      </c>
      <c r="H549" s="12" t="s">
        <v>278</v>
      </c>
      <c r="I549" s="14">
        <v>45244</v>
      </c>
      <c r="J549" s="12" t="s">
        <v>1298</v>
      </c>
    </row>
    <row r="550" spans="1:10" s="15" customFormat="1" x14ac:dyDescent="0.15">
      <c r="A550" s="11">
        <v>45251</v>
      </c>
      <c r="B550" s="12" t="s">
        <v>36</v>
      </c>
      <c r="C550" s="12" t="s">
        <v>369</v>
      </c>
      <c r="D550" s="13" t="str">
        <f>HYPERLINK("https://www.marklines.com/en/global/9818","Rizhao Weipai Automobile Co., Ltd.")</f>
        <v>Rizhao Weipai Automobile Co., Ltd.</v>
      </c>
      <c r="E550" s="12" t="s">
        <v>752</v>
      </c>
      <c r="F550" s="12" t="s">
        <v>20</v>
      </c>
      <c r="G550" s="12" t="s">
        <v>27</v>
      </c>
      <c r="H550" s="12" t="s">
        <v>354</v>
      </c>
      <c r="I550" s="14">
        <v>45244</v>
      </c>
      <c r="J550" s="12" t="s">
        <v>1298</v>
      </c>
    </row>
    <row r="551" spans="1:10" s="15" customFormat="1" x14ac:dyDescent="0.15">
      <c r="A551" s="11">
        <v>45251</v>
      </c>
      <c r="B551" s="12" t="s">
        <v>45</v>
      </c>
      <c r="C551" s="12" t="s">
        <v>45</v>
      </c>
      <c r="D551" s="13" t="str">
        <f>HYPERLINK("https://www.marklines.com/en/global/10652","ACC Deutschland GmbH, Kaiserslautern Plant (formerly Opel-ACC GmbH)")</f>
        <v>ACC Deutschland GmbH, Kaiserslautern Plant (formerly Opel-ACC GmbH)</v>
      </c>
      <c r="E551" s="12" t="s">
        <v>896</v>
      </c>
      <c r="F551" s="12" t="s">
        <v>17</v>
      </c>
      <c r="G551" s="12" t="s">
        <v>21</v>
      </c>
      <c r="H551" s="12"/>
      <c r="I551" s="14">
        <v>45238</v>
      </c>
      <c r="J551" s="12" t="s">
        <v>1299</v>
      </c>
    </row>
    <row r="552" spans="1:10" s="15" customFormat="1" x14ac:dyDescent="0.15">
      <c r="A552" s="11">
        <v>45251</v>
      </c>
      <c r="B552" s="12" t="s">
        <v>45</v>
      </c>
      <c r="C552" s="12" t="s">
        <v>45</v>
      </c>
      <c r="D552" s="13" t="str">
        <f>HYPERLINK("https://www.marklines.com/en/global/10274","Automotive Cell Company (ACC)")</f>
        <v>Automotive Cell Company (ACC)</v>
      </c>
      <c r="E552" s="12" t="s">
        <v>898</v>
      </c>
      <c r="F552" s="12" t="s">
        <v>17</v>
      </c>
      <c r="G552" s="12" t="s">
        <v>32</v>
      </c>
      <c r="H552" s="12"/>
      <c r="I552" s="14">
        <v>45238</v>
      </c>
      <c r="J552" s="12" t="s">
        <v>1299</v>
      </c>
    </row>
    <row r="553" spans="1:10" s="15" customFormat="1" x14ac:dyDescent="0.15">
      <c r="A553" s="11">
        <v>45251</v>
      </c>
      <c r="B553" s="12" t="s">
        <v>45</v>
      </c>
      <c r="C553" s="12" t="s">
        <v>45</v>
      </c>
      <c r="D553" s="13" t="str">
        <f>HYPERLINK("https://www.marklines.com/en/global/10614","Automotive Cell Company (ACC), Douvrin/Billy-Berclau Plant")</f>
        <v>Automotive Cell Company (ACC), Douvrin/Billy-Berclau Plant</v>
      </c>
      <c r="E553" s="12" t="s">
        <v>461</v>
      </c>
      <c r="F553" s="12" t="s">
        <v>17</v>
      </c>
      <c r="G553" s="12" t="s">
        <v>32</v>
      </c>
      <c r="H553" s="12"/>
      <c r="I553" s="14">
        <v>45238</v>
      </c>
      <c r="J553" s="12" t="s">
        <v>1299</v>
      </c>
    </row>
    <row r="554" spans="1:10" s="15" customFormat="1" x14ac:dyDescent="0.15">
      <c r="A554" s="11">
        <v>45251</v>
      </c>
      <c r="B554" s="12" t="s">
        <v>33</v>
      </c>
      <c r="C554" s="12" t="s">
        <v>44</v>
      </c>
      <c r="D554" s="13" t="str">
        <f>HYPERLINK("https://www.marklines.com/en/global/2273","Brose Sitech GmbH, Wolfsburg Plant (formerly Sitech Sitztechnik GmbH)")</f>
        <v>Brose Sitech GmbH, Wolfsburg Plant (formerly Sitech Sitztechnik GmbH)</v>
      </c>
      <c r="E554" s="12" t="s">
        <v>1300</v>
      </c>
      <c r="F554" s="12" t="s">
        <v>17</v>
      </c>
      <c r="G554" s="12" t="s">
        <v>21</v>
      </c>
      <c r="H554" s="12"/>
      <c r="I554" s="14">
        <v>45217</v>
      </c>
      <c r="J554" s="12" t="s">
        <v>1301</v>
      </c>
    </row>
    <row r="555" spans="1:10" s="15" customFormat="1" x14ac:dyDescent="0.15">
      <c r="A555" s="11">
        <v>45250</v>
      </c>
      <c r="B555" s="12" t="s">
        <v>45</v>
      </c>
      <c r="C555" s="12" t="s">
        <v>603</v>
      </c>
      <c r="D555" s="13" t="str">
        <f>HYPERLINK("https://www.marklines.com/en/global/1939","Stellantis, Peugeot Citroen Automoviles Espana S.A., Vigo Plant")</f>
        <v>Stellantis, Peugeot Citroen Automoviles Espana S.A., Vigo Plant</v>
      </c>
      <c r="E555" s="12" t="s">
        <v>287</v>
      </c>
      <c r="F555" s="12" t="s">
        <v>17</v>
      </c>
      <c r="G555" s="12" t="s">
        <v>62</v>
      </c>
      <c r="H555" s="12"/>
      <c r="I555" s="14">
        <v>45247</v>
      </c>
      <c r="J555" s="12" t="s">
        <v>1302</v>
      </c>
    </row>
    <row r="556" spans="1:10" s="15" customFormat="1" x14ac:dyDescent="0.15">
      <c r="A556" s="11">
        <v>45250</v>
      </c>
      <c r="B556" s="12" t="s">
        <v>45</v>
      </c>
      <c r="C556" s="12" t="s">
        <v>603</v>
      </c>
      <c r="D556" s="13" t="str">
        <f>HYPERLINK("https://www.marklines.com/en/global/159","Stellantis, PSA, Tremery Plant")</f>
        <v>Stellantis, PSA, Tremery Plant</v>
      </c>
      <c r="E556" s="12" t="s">
        <v>734</v>
      </c>
      <c r="F556" s="12" t="s">
        <v>17</v>
      </c>
      <c r="G556" s="12" t="s">
        <v>32</v>
      </c>
      <c r="H556" s="12"/>
      <c r="I556" s="14">
        <v>45247</v>
      </c>
      <c r="J556" s="12" t="s">
        <v>1302</v>
      </c>
    </row>
    <row r="557" spans="1:10" s="15" customFormat="1" x14ac:dyDescent="0.15">
      <c r="A557" s="11">
        <v>45250</v>
      </c>
      <c r="B557" s="12" t="s">
        <v>33</v>
      </c>
      <c r="C557" s="12" t="s">
        <v>44</v>
      </c>
      <c r="D557" s="13" t="str">
        <f>HYPERLINK("https://www.marklines.com/en/global/1965","Volkswagen Navarra, S.A., Pamplona (Landaben) Plant")</f>
        <v>Volkswagen Navarra, S.A., Pamplona (Landaben) Plant</v>
      </c>
      <c r="E557" s="12" t="s">
        <v>384</v>
      </c>
      <c r="F557" s="12" t="s">
        <v>17</v>
      </c>
      <c r="G557" s="12" t="s">
        <v>62</v>
      </c>
      <c r="H557" s="12"/>
      <c r="I557" s="14">
        <v>45247</v>
      </c>
      <c r="J557" s="12" t="s">
        <v>1303</v>
      </c>
    </row>
    <row r="558" spans="1:10" s="15" customFormat="1" x14ac:dyDescent="0.15">
      <c r="A558" s="11">
        <v>45250</v>
      </c>
      <c r="B558" s="12" t="s">
        <v>52</v>
      </c>
      <c r="C558" s="12" t="s">
        <v>53</v>
      </c>
      <c r="D558" s="13" t="str">
        <f>HYPERLINK("https://www.marklines.com/en/global/675","AvtoVAZ, Togliatti Plant")</f>
        <v>AvtoVAZ, Togliatti Plant</v>
      </c>
      <c r="E558" s="12" t="s">
        <v>54</v>
      </c>
      <c r="F558" s="12" t="s">
        <v>18</v>
      </c>
      <c r="G558" s="12" t="s">
        <v>14</v>
      </c>
      <c r="H558" s="12"/>
      <c r="I558" s="14">
        <v>45247</v>
      </c>
      <c r="J558" s="12" t="s">
        <v>1304</v>
      </c>
    </row>
    <row r="559" spans="1:10" s="15" customFormat="1" x14ac:dyDescent="0.15">
      <c r="A559" s="11">
        <v>45250</v>
      </c>
      <c r="B559" s="12" t="s">
        <v>52</v>
      </c>
      <c r="C559" s="12" t="s">
        <v>53</v>
      </c>
      <c r="D559" s="13" t="str">
        <f>HYPERLINK("https://www.marklines.com/en/global/729","LLC ""LADA Izhevsk"", LADA Izhevsk Automotive Plant (formerly OJSC Izh-Avto, Izhevsk Automobilny Zavod) ")</f>
        <v xml:space="preserve">LLC "LADA Izhevsk", LADA Izhevsk Automotive Plant (formerly OJSC Izh-Avto, Izhevsk Automobilny Zavod) </v>
      </c>
      <c r="E559" s="12" t="s">
        <v>105</v>
      </c>
      <c r="F559" s="12" t="s">
        <v>18</v>
      </c>
      <c r="G559" s="12" t="s">
        <v>14</v>
      </c>
      <c r="H559" s="12"/>
      <c r="I559" s="14">
        <v>45247</v>
      </c>
      <c r="J559" s="12" t="s">
        <v>1304</v>
      </c>
    </row>
    <row r="560" spans="1:10" s="15" customFormat="1" x14ac:dyDescent="0.15">
      <c r="A560" s="11">
        <v>45250</v>
      </c>
      <c r="B560" s="12" t="s">
        <v>400</v>
      </c>
      <c r="C560" s="12" t="s">
        <v>400</v>
      </c>
      <c r="D560" s="13" t="str">
        <f>HYPERLINK("https://www.marklines.com/en/global/3807","Zhejiang Geely Holding Group Co., Ltd.")</f>
        <v>Zhejiang Geely Holding Group Co., Ltd.</v>
      </c>
      <c r="E560" s="12" t="s">
        <v>401</v>
      </c>
      <c r="F560" s="12" t="s">
        <v>20</v>
      </c>
      <c r="G560" s="12" t="s">
        <v>27</v>
      </c>
      <c r="H560" s="12" t="s">
        <v>342</v>
      </c>
      <c r="I560" s="14">
        <v>45247</v>
      </c>
      <c r="J560" s="12" t="s">
        <v>1305</v>
      </c>
    </row>
    <row r="561" spans="1:10" s="15" customFormat="1" x14ac:dyDescent="0.15">
      <c r="A561" s="11">
        <v>45250</v>
      </c>
      <c r="B561" s="12" t="s">
        <v>400</v>
      </c>
      <c r="C561" s="12" t="s">
        <v>441</v>
      </c>
      <c r="D561" s="13" t="str">
        <f>HYPERLINK("https://www.marklines.com/en/global/2727","Volvo Car Corporation (Volvo Personvagnar AB)")</f>
        <v>Volvo Car Corporation (Volvo Personvagnar AB)</v>
      </c>
      <c r="E561" s="12" t="s">
        <v>444</v>
      </c>
      <c r="F561" s="12" t="s">
        <v>17</v>
      </c>
      <c r="G561" s="12" t="s">
        <v>50</v>
      </c>
      <c r="H561" s="12"/>
      <c r="I561" s="14">
        <v>45247</v>
      </c>
      <c r="J561" s="12" t="s">
        <v>1305</v>
      </c>
    </row>
    <row r="562" spans="1:10" s="15" customFormat="1" x14ac:dyDescent="0.15">
      <c r="A562" s="11">
        <v>45250</v>
      </c>
      <c r="B562" s="12" t="s">
        <v>33</v>
      </c>
      <c r="C562" s="12" t="s">
        <v>131</v>
      </c>
      <c r="D562" s="13" t="str">
        <f>HYPERLINK("https://www.marklines.com/en/global/2191","Porsche AG, Leipzig Plant")</f>
        <v>Porsche AG, Leipzig Plant</v>
      </c>
      <c r="E562" s="12" t="s">
        <v>1306</v>
      </c>
      <c r="F562" s="12" t="s">
        <v>17</v>
      </c>
      <c r="G562" s="12" t="s">
        <v>21</v>
      </c>
      <c r="H562" s="12"/>
      <c r="I562" s="14">
        <v>45246</v>
      </c>
      <c r="J562" s="12" t="s">
        <v>1307</v>
      </c>
    </row>
    <row r="563" spans="1:10" s="15" customFormat="1" x14ac:dyDescent="0.15">
      <c r="A563" s="11">
        <v>45250</v>
      </c>
      <c r="B563" s="12" t="s">
        <v>33</v>
      </c>
      <c r="C563" s="12" t="s">
        <v>131</v>
      </c>
      <c r="D563" s="13" t="str">
        <f>HYPERLINK("https://www.marklines.com/en/global/2189","Porsche AG, Stuttgart-Zuffenhausen Plant")</f>
        <v>Porsche AG, Stuttgart-Zuffenhausen Plant</v>
      </c>
      <c r="E563" s="12" t="s">
        <v>906</v>
      </c>
      <c r="F563" s="12" t="s">
        <v>17</v>
      </c>
      <c r="G563" s="12" t="s">
        <v>21</v>
      </c>
      <c r="H563" s="12"/>
      <c r="I563" s="14">
        <v>45246</v>
      </c>
      <c r="J563" s="12" t="s">
        <v>1307</v>
      </c>
    </row>
    <row r="564" spans="1:10" s="15" customFormat="1" x14ac:dyDescent="0.15">
      <c r="A564" s="11">
        <v>45250</v>
      </c>
      <c r="B564" s="12" t="s">
        <v>243</v>
      </c>
      <c r="C564" s="12" t="s">
        <v>243</v>
      </c>
      <c r="D564" s="13" t="str">
        <f>HYPERLINK("https://www.marklines.com/en/global/173","Renault ElectriCity, Maubeuge Plant (formerly Maubeuge Construction Automobile (MCA))")</f>
        <v>Renault ElectriCity, Maubeuge Plant (formerly Maubeuge Construction Automobile (MCA))</v>
      </c>
      <c r="E564" s="12" t="s">
        <v>1308</v>
      </c>
      <c r="F564" s="12" t="s">
        <v>17</v>
      </c>
      <c r="G564" s="12" t="s">
        <v>32</v>
      </c>
      <c r="H564" s="12"/>
      <c r="I564" s="14">
        <v>45245</v>
      </c>
      <c r="J564" s="12" t="s">
        <v>1309</v>
      </c>
    </row>
    <row r="565" spans="1:10" s="15" customFormat="1" x14ac:dyDescent="0.15">
      <c r="A565" s="11">
        <v>45250</v>
      </c>
      <c r="B565" s="12" t="s">
        <v>243</v>
      </c>
      <c r="C565" s="12" t="s">
        <v>243</v>
      </c>
      <c r="D565" s="13" t="str">
        <f>HYPERLINK("https://www.marklines.com/en/global/179","Renault S.A., Cléon Plant")</f>
        <v>Renault S.A., Cléon Plant</v>
      </c>
      <c r="E565" s="12" t="s">
        <v>524</v>
      </c>
      <c r="F565" s="12" t="s">
        <v>17</v>
      </c>
      <c r="G565" s="12" t="s">
        <v>32</v>
      </c>
      <c r="H565" s="12"/>
      <c r="I565" s="14">
        <v>45245</v>
      </c>
      <c r="J565" s="12" t="s">
        <v>1309</v>
      </c>
    </row>
    <row r="566" spans="1:10" s="15" customFormat="1" x14ac:dyDescent="0.15">
      <c r="A566" s="11">
        <v>45250</v>
      </c>
      <c r="B566" s="12" t="s">
        <v>243</v>
      </c>
      <c r="C566" s="12" t="s">
        <v>243</v>
      </c>
      <c r="D566" s="13" t="str">
        <f>HYPERLINK("https://www.marklines.com/en/global/187","Renault ElectriCity, Ruitz Plant (formerly Societe de Transmission Automatique (STA), Ruitz)")</f>
        <v>Renault ElectriCity, Ruitz Plant (formerly Societe de Transmission Automatique (STA), Ruitz)</v>
      </c>
      <c r="E566" s="12" t="s">
        <v>1310</v>
      </c>
      <c r="F566" s="12" t="s">
        <v>17</v>
      </c>
      <c r="G566" s="12" t="s">
        <v>32</v>
      </c>
      <c r="H566" s="12"/>
      <c r="I566" s="14">
        <v>45245</v>
      </c>
      <c r="J566" s="12" t="s">
        <v>1309</v>
      </c>
    </row>
    <row r="567" spans="1:10" s="15" customFormat="1" x14ac:dyDescent="0.15">
      <c r="A567" s="11">
        <v>45250</v>
      </c>
      <c r="B567" s="12" t="s">
        <v>243</v>
      </c>
      <c r="C567" s="12" t="s">
        <v>243</v>
      </c>
      <c r="D567" s="13" t="str">
        <f>HYPERLINK("https://www.marklines.com/en/global/169","Renault ElectriCity, Douai (Georges Besse) Plant")</f>
        <v>Renault ElectriCity, Douai (Georges Besse) Plant</v>
      </c>
      <c r="E567" s="12" t="s">
        <v>244</v>
      </c>
      <c r="F567" s="12" t="s">
        <v>17</v>
      </c>
      <c r="G567" s="12" t="s">
        <v>32</v>
      </c>
      <c r="H567" s="12"/>
      <c r="I567" s="14">
        <v>45245</v>
      </c>
      <c r="J567" s="12" t="s">
        <v>1309</v>
      </c>
    </row>
    <row r="568" spans="1:10" s="15" customFormat="1" x14ac:dyDescent="0.15">
      <c r="A568" s="11">
        <v>45250</v>
      </c>
      <c r="B568" s="12" t="s">
        <v>45</v>
      </c>
      <c r="C568" s="12" t="s">
        <v>45</v>
      </c>
      <c r="D568" s="13" t="str">
        <f>HYPERLINK("https://www.marklines.com/en/global/1327","Stellantis, FCA Italy, Mirafiori (Turin) Plant")</f>
        <v>Stellantis, FCA Italy, Mirafiori (Turin) Plant</v>
      </c>
      <c r="E568" s="12" t="s">
        <v>612</v>
      </c>
      <c r="F568" s="12" t="s">
        <v>17</v>
      </c>
      <c r="G568" s="12" t="s">
        <v>46</v>
      </c>
      <c r="H568" s="12"/>
      <c r="I568" s="14">
        <v>45245</v>
      </c>
      <c r="J568" s="12" t="s">
        <v>1311</v>
      </c>
    </row>
    <row r="569" spans="1:10" s="15" customFormat="1" x14ac:dyDescent="0.15">
      <c r="A569" s="11">
        <v>45250</v>
      </c>
      <c r="B569" s="12" t="s">
        <v>321</v>
      </c>
      <c r="C569" s="12" t="s">
        <v>321</v>
      </c>
      <c r="D569" s="13" t="str">
        <f>HYPERLINK("https://www.marklines.com/en/global/9129","BAIC Group Off-road Vehicle Co., Ltd. (formerly Beijing Automotive Group Off-road Vehicle Co., Ltd.) ")</f>
        <v xml:space="preserve">BAIC Group Off-road Vehicle Co., Ltd. (formerly Beijing Automotive Group Off-road Vehicle Co., Ltd.) </v>
      </c>
      <c r="E569" s="12" t="s">
        <v>1190</v>
      </c>
      <c r="F569" s="12" t="s">
        <v>20</v>
      </c>
      <c r="G569" s="12" t="s">
        <v>27</v>
      </c>
      <c r="H569" s="12" t="s">
        <v>456</v>
      </c>
      <c r="I569" s="14">
        <v>45245</v>
      </c>
      <c r="J569" s="12" t="s">
        <v>1312</v>
      </c>
    </row>
    <row r="570" spans="1:10" s="15" customFormat="1" x14ac:dyDescent="0.15">
      <c r="A570" s="11">
        <v>45250</v>
      </c>
      <c r="B570" s="12" t="s">
        <v>13</v>
      </c>
      <c r="C570" s="12" t="s">
        <v>13</v>
      </c>
      <c r="D570" s="13" t="str">
        <f>HYPERLINK("https://www.marklines.com/en/global/10581","Xiaomi Auto Co., Ltd.")</f>
        <v>Xiaomi Auto Co., Ltd.</v>
      </c>
      <c r="E570" s="12" t="s">
        <v>1313</v>
      </c>
      <c r="F570" s="12" t="s">
        <v>20</v>
      </c>
      <c r="G570" s="12" t="s">
        <v>27</v>
      </c>
      <c r="H570" s="12" t="s">
        <v>456</v>
      </c>
      <c r="I570" s="14">
        <v>45245</v>
      </c>
      <c r="J570" s="12" t="s">
        <v>1312</v>
      </c>
    </row>
    <row r="571" spans="1:10" s="15" customFormat="1" x14ac:dyDescent="0.15">
      <c r="A571" s="11">
        <v>45250</v>
      </c>
      <c r="B571" s="12" t="s">
        <v>13</v>
      </c>
      <c r="C571" s="12" t="s">
        <v>13</v>
      </c>
      <c r="D571" s="13" t="str">
        <f>HYPERLINK("https://www.marklines.com/en/global/10580","Xiaomi Auto Technology Co., Ltd.")</f>
        <v>Xiaomi Auto Technology Co., Ltd.</v>
      </c>
      <c r="E571" s="12" t="s">
        <v>1314</v>
      </c>
      <c r="F571" s="12" t="s">
        <v>20</v>
      </c>
      <c r="G571" s="12" t="s">
        <v>27</v>
      </c>
      <c r="H571" s="12" t="s">
        <v>456</v>
      </c>
      <c r="I571" s="14">
        <v>45245</v>
      </c>
      <c r="J571" s="12" t="s">
        <v>1312</v>
      </c>
    </row>
    <row r="572" spans="1:10" s="15" customFormat="1" x14ac:dyDescent="0.15">
      <c r="A572" s="11">
        <v>45250</v>
      </c>
      <c r="B572" s="12" t="s">
        <v>366</v>
      </c>
      <c r="C572" s="12" t="s">
        <v>622</v>
      </c>
      <c r="D572" s="13" t="str">
        <f>HYPERLINK("https://www.marklines.com/en/global/9824","GAC Aion New Energy Automobile Co., Ltd.")</f>
        <v>GAC Aion New Energy Automobile Co., Ltd.</v>
      </c>
      <c r="E572" s="12" t="s">
        <v>623</v>
      </c>
      <c r="F572" s="12" t="s">
        <v>20</v>
      </c>
      <c r="G572" s="12" t="s">
        <v>27</v>
      </c>
      <c r="H572" s="12" t="s">
        <v>357</v>
      </c>
      <c r="I572" s="14">
        <v>45245</v>
      </c>
      <c r="J572" s="12" t="s">
        <v>1315</v>
      </c>
    </row>
    <row r="573" spans="1:10" s="15" customFormat="1" x14ac:dyDescent="0.15">
      <c r="A573" s="11">
        <v>45250</v>
      </c>
      <c r="B573" s="12" t="s">
        <v>1316</v>
      </c>
      <c r="C573" s="12" t="s">
        <v>1317</v>
      </c>
      <c r="D573" s="13" t="str">
        <f>HYPERLINK("https://www.marklines.com/en/global/3767","Jiangsu Yueda Kia Motors Co., Ltd. (First Plant) (formerly Kia Motors Co., Ltd. (First Plant))")</f>
        <v>Jiangsu Yueda Kia Motors Co., Ltd. (First Plant) (formerly Kia Motors Co., Ltd. (First Plant))</v>
      </c>
      <c r="E573" s="12" t="s">
        <v>1318</v>
      </c>
      <c r="F573" s="12" t="s">
        <v>20</v>
      </c>
      <c r="G573" s="12" t="s">
        <v>27</v>
      </c>
      <c r="H573" s="12" t="s">
        <v>278</v>
      </c>
      <c r="I573" s="14">
        <v>45245</v>
      </c>
      <c r="J573" s="12" t="s">
        <v>1319</v>
      </c>
    </row>
    <row r="574" spans="1:10" s="15" customFormat="1" x14ac:dyDescent="0.15">
      <c r="A574" s="11">
        <v>45250</v>
      </c>
      <c r="B574" s="12" t="s">
        <v>408</v>
      </c>
      <c r="C574" s="12" t="s">
        <v>482</v>
      </c>
      <c r="D574" s="13" t="str">
        <f>HYPERLINK("https://www.marklines.com/en/global/3687","SAIC GM Wuling Automobile Co., Ltd. Qingdao Branch (SGMW Qingdao Branch)")</f>
        <v>SAIC GM Wuling Automobile Co., Ltd. Qingdao Branch (SGMW Qingdao Branch)</v>
      </c>
      <c r="E574" s="12" t="s">
        <v>1320</v>
      </c>
      <c r="F574" s="12" t="s">
        <v>20</v>
      </c>
      <c r="G574" s="12" t="s">
        <v>27</v>
      </c>
      <c r="H574" s="12" t="s">
        <v>354</v>
      </c>
      <c r="I574" s="14">
        <v>45244</v>
      </c>
      <c r="J574" s="12" t="s">
        <v>1321</v>
      </c>
    </row>
    <row r="575" spans="1:10" s="15" customFormat="1" x14ac:dyDescent="0.15">
      <c r="A575" s="11">
        <v>45250</v>
      </c>
      <c r="B575" s="12" t="s">
        <v>408</v>
      </c>
      <c r="C575" s="12" t="s">
        <v>482</v>
      </c>
      <c r="D575" s="13" t="str">
        <f>HYPERLINK("https://www.marklines.com/en/global/4153","SAIC-GM-Wuling Automobile Co., Ltd. (SGMW)　")</f>
        <v>SAIC-GM-Wuling Automobile Co., Ltd. (SGMW)　</v>
      </c>
      <c r="E575" s="12" t="s">
        <v>485</v>
      </c>
      <c r="F575" s="12" t="s">
        <v>20</v>
      </c>
      <c r="G575" s="12" t="s">
        <v>27</v>
      </c>
      <c r="H575" s="12" t="s">
        <v>486</v>
      </c>
      <c r="I575" s="14">
        <v>45244</v>
      </c>
      <c r="J575" s="12" t="s">
        <v>1321</v>
      </c>
    </row>
    <row r="576" spans="1:10" s="15" customFormat="1" x14ac:dyDescent="0.15">
      <c r="A576" s="11">
        <v>45250</v>
      </c>
      <c r="B576" s="12" t="s">
        <v>45</v>
      </c>
      <c r="C576" s="12" t="s">
        <v>45</v>
      </c>
      <c r="D576" s="13" t="str">
        <f>HYPERLINK("https://www.marklines.com/en/global/3983","Dongfeng Peugeot Citroen Automobile Co., Ltd. (DPCA)")</f>
        <v>Dongfeng Peugeot Citroen Automobile Co., Ltd. (DPCA)</v>
      </c>
      <c r="E576" s="12" t="s">
        <v>806</v>
      </c>
      <c r="F576" s="12" t="s">
        <v>20</v>
      </c>
      <c r="G576" s="12" t="s">
        <v>27</v>
      </c>
      <c r="H576" s="12" t="s">
        <v>554</v>
      </c>
      <c r="I576" s="14">
        <v>45242</v>
      </c>
      <c r="J576" s="12" t="s">
        <v>1322</v>
      </c>
    </row>
    <row r="577" spans="1:10" s="15" customFormat="1" x14ac:dyDescent="0.15">
      <c r="A577" s="11">
        <v>45250</v>
      </c>
      <c r="B577" s="12" t="s">
        <v>551</v>
      </c>
      <c r="C577" s="12" t="s">
        <v>551</v>
      </c>
      <c r="D577" s="13" t="str">
        <f>HYPERLINK("https://www.marklines.com/en/global/3977","Dongfeng Passenger Vehicle Company")</f>
        <v>Dongfeng Passenger Vehicle Company</v>
      </c>
      <c r="E577" s="12" t="s">
        <v>780</v>
      </c>
      <c r="F577" s="12" t="s">
        <v>20</v>
      </c>
      <c r="G577" s="12" t="s">
        <v>27</v>
      </c>
      <c r="H577" s="12" t="s">
        <v>554</v>
      </c>
      <c r="I577" s="14">
        <v>45242</v>
      </c>
      <c r="J577" s="12" t="s">
        <v>1322</v>
      </c>
    </row>
    <row r="578" spans="1:10" s="15" customFormat="1" x14ac:dyDescent="0.15">
      <c r="A578" s="11">
        <v>45250</v>
      </c>
      <c r="B578" s="12" t="s">
        <v>56</v>
      </c>
      <c r="C578" s="12" t="s">
        <v>56</v>
      </c>
      <c r="D578" s="13" t="str">
        <f>HYPERLINK("https://www.marklines.com/en/global/3975","Dongfeng Motor Co., Ltd. (DFL) ")</f>
        <v xml:space="preserve">Dongfeng Motor Co., Ltd. (DFL) </v>
      </c>
      <c r="E578" s="12" t="s">
        <v>1323</v>
      </c>
      <c r="F578" s="12" t="s">
        <v>20</v>
      </c>
      <c r="G578" s="12" t="s">
        <v>27</v>
      </c>
      <c r="H578" s="12" t="s">
        <v>554</v>
      </c>
      <c r="I578" s="14">
        <v>45241</v>
      </c>
      <c r="J578" s="12" t="s">
        <v>1324</v>
      </c>
    </row>
    <row r="579" spans="1:10" s="15" customFormat="1" x14ac:dyDescent="0.15">
      <c r="A579" s="11">
        <v>45250</v>
      </c>
      <c r="B579" s="12" t="s">
        <v>551</v>
      </c>
      <c r="C579" s="12" t="s">
        <v>551</v>
      </c>
      <c r="D579" s="13" t="str">
        <f>HYPERLINK("https://www.marklines.com/en/global/3975","Dongfeng Motor Co., Ltd. (DFL) ")</f>
        <v xml:space="preserve">Dongfeng Motor Co., Ltd. (DFL) </v>
      </c>
      <c r="E579" s="12" t="s">
        <v>1323</v>
      </c>
      <c r="F579" s="12" t="s">
        <v>20</v>
      </c>
      <c r="G579" s="12" t="s">
        <v>27</v>
      </c>
      <c r="H579" s="12" t="s">
        <v>554</v>
      </c>
      <c r="I579" s="14">
        <v>45241</v>
      </c>
      <c r="J579" s="12" t="s">
        <v>1324</v>
      </c>
    </row>
    <row r="580" spans="1:10" s="15" customFormat="1" x14ac:dyDescent="0.15">
      <c r="A580" s="11">
        <v>45250</v>
      </c>
      <c r="B580" s="12" t="s">
        <v>217</v>
      </c>
      <c r="C580" s="12" t="s">
        <v>1325</v>
      </c>
      <c r="D580" s="13" t="str">
        <f>HYPERLINK("https://www.marklines.com/en/global/10515","Switch Mobility Automotive Ltd (SMAL), Chennai, India Headoffice")</f>
        <v>Switch Mobility Automotive Ltd (SMAL), Chennai, India Headoffice</v>
      </c>
      <c r="E580" s="12" t="s">
        <v>1326</v>
      </c>
      <c r="F580" s="12" t="s">
        <v>25</v>
      </c>
      <c r="G580" s="12" t="s">
        <v>26</v>
      </c>
      <c r="H580" s="12" t="s">
        <v>219</v>
      </c>
      <c r="I580" s="14">
        <v>45239</v>
      </c>
      <c r="J580" s="12" t="s">
        <v>1327</v>
      </c>
    </row>
    <row r="581" spans="1:10" s="15" customFormat="1" x14ac:dyDescent="0.15">
      <c r="A581" s="11">
        <v>45250</v>
      </c>
      <c r="B581" s="12" t="s">
        <v>217</v>
      </c>
      <c r="C581" s="12" t="s">
        <v>1325</v>
      </c>
      <c r="D581" s="13" t="str">
        <f>HYPERLINK("https://www.marklines.com/en/global/8670","Switch Mobility Limited, Sherburn-in-Elmet Plant (formerly Optare Group Ltd)")</f>
        <v>Switch Mobility Limited, Sherburn-in-Elmet Plant (formerly Optare Group Ltd)</v>
      </c>
      <c r="E581" s="12" t="s">
        <v>1328</v>
      </c>
      <c r="F581" s="12" t="s">
        <v>17</v>
      </c>
      <c r="G581" s="12" t="s">
        <v>47</v>
      </c>
      <c r="H581" s="12"/>
      <c r="I581" s="14">
        <v>45239</v>
      </c>
      <c r="J581" s="12" t="s">
        <v>1327</v>
      </c>
    </row>
    <row r="582" spans="1:10" s="15" customFormat="1" x14ac:dyDescent="0.15">
      <c r="A582" s="11">
        <v>45250</v>
      </c>
      <c r="B582" s="12" t="s">
        <v>217</v>
      </c>
      <c r="C582" s="12" t="s">
        <v>1325</v>
      </c>
      <c r="D582" s="13" t="str">
        <f>HYPERLINK("https://www.marklines.com/en/global/1103","Ashok Leyland, Hosur Plant")</f>
        <v>Ashok Leyland, Hosur Plant</v>
      </c>
      <c r="E582" s="12" t="s">
        <v>1329</v>
      </c>
      <c r="F582" s="12" t="s">
        <v>25</v>
      </c>
      <c r="G582" s="12" t="s">
        <v>26</v>
      </c>
      <c r="H582" s="12" t="s">
        <v>219</v>
      </c>
      <c r="I582" s="14">
        <v>45239</v>
      </c>
      <c r="J582" s="12" t="s">
        <v>1327</v>
      </c>
    </row>
    <row r="583" spans="1:10" s="15" customFormat="1" x14ac:dyDescent="0.15">
      <c r="A583" s="11">
        <v>45250</v>
      </c>
      <c r="B583" s="12" t="s">
        <v>13</v>
      </c>
      <c r="C583" s="12" t="s">
        <v>13</v>
      </c>
      <c r="D583" s="13" t="str">
        <f>HYPERLINK("https://www.marklines.com/en/global/1925","Barcelona Decarbonisation Hub (D-HUB) (former Nissan Motor Iberica, Barcelona Plant)")</f>
        <v>Barcelona Decarbonisation Hub (D-HUB) (former Nissan Motor Iberica, Barcelona Plant)</v>
      </c>
      <c r="E583" s="12" t="s">
        <v>1330</v>
      </c>
      <c r="F583" s="12" t="s">
        <v>17</v>
      </c>
      <c r="G583" s="12" t="s">
        <v>62</v>
      </c>
      <c r="H583" s="12"/>
      <c r="I583" s="14">
        <v>45202</v>
      </c>
      <c r="J583" s="12" t="s">
        <v>1331</v>
      </c>
    </row>
    <row r="584" spans="1:10" s="15" customFormat="1" x14ac:dyDescent="0.15">
      <c r="A584" s="11">
        <v>45248</v>
      </c>
      <c r="B584" s="12" t="s">
        <v>12</v>
      </c>
      <c r="C584" s="12" t="s">
        <v>529</v>
      </c>
      <c r="D584" s="13" t="str">
        <f>HYPERLINK("https://www.marklines.com/en/global/2459","General Motors, Factory ZERO (Detroit-Hamtramck Plant) ")</f>
        <v xml:space="preserve">General Motors, Factory ZERO (Detroit-Hamtramck Plant) </v>
      </c>
      <c r="E584" s="12" t="s">
        <v>528</v>
      </c>
      <c r="F584" s="12" t="s">
        <v>16</v>
      </c>
      <c r="G584" s="12" t="s">
        <v>11</v>
      </c>
      <c r="H584" s="12" t="s">
        <v>40</v>
      </c>
      <c r="I584" s="14">
        <v>45247</v>
      </c>
      <c r="J584" s="12" t="s">
        <v>1332</v>
      </c>
    </row>
    <row r="585" spans="1:10" s="15" customFormat="1" x14ac:dyDescent="0.15">
      <c r="A585" s="11">
        <v>45248</v>
      </c>
      <c r="B585" s="12" t="s">
        <v>12</v>
      </c>
      <c r="C585" s="12" t="s">
        <v>529</v>
      </c>
      <c r="D585" s="13" t="str">
        <f>HYPERLINK("https://www.marklines.com/en/global/2523","General Motors, Spring Hill Manufacturing (formerly Spring Hill Assembly)")</f>
        <v>General Motors, Spring Hill Manufacturing (formerly Spring Hill Assembly)</v>
      </c>
      <c r="E585" s="12" t="s">
        <v>1053</v>
      </c>
      <c r="F585" s="12" t="s">
        <v>16</v>
      </c>
      <c r="G585" s="12" t="s">
        <v>11</v>
      </c>
      <c r="H585" s="12" t="s">
        <v>490</v>
      </c>
      <c r="I585" s="14">
        <v>45247</v>
      </c>
      <c r="J585" s="12" t="s">
        <v>1332</v>
      </c>
    </row>
    <row r="586" spans="1:10" s="15" customFormat="1" x14ac:dyDescent="0.15">
      <c r="A586" s="11">
        <v>45248</v>
      </c>
      <c r="B586" s="12" t="s">
        <v>12</v>
      </c>
      <c r="C586" s="12" t="s">
        <v>529</v>
      </c>
      <c r="D586" s="13" t="str">
        <f>HYPERLINK("https://www.marklines.com/en/global/2475","General Motors, Lansing Grand River Plant")</f>
        <v>General Motors, Lansing Grand River Plant</v>
      </c>
      <c r="E586" s="12" t="s">
        <v>1055</v>
      </c>
      <c r="F586" s="12" t="s">
        <v>16</v>
      </c>
      <c r="G586" s="12" t="s">
        <v>11</v>
      </c>
      <c r="H586" s="12" t="s">
        <v>40</v>
      </c>
      <c r="I586" s="14">
        <v>45247</v>
      </c>
      <c r="J586" s="12" t="s">
        <v>1332</v>
      </c>
    </row>
    <row r="587" spans="1:10" s="15" customFormat="1" x14ac:dyDescent="0.15">
      <c r="A587" s="11">
        <v>45248</v>
      </c>
      <c r="B587" s="12" t="s">
        <v>12</v>
      </c>
      <c r="C587" s="12" t="s">
        <v>529</v>
      </c>
      <c r="D587" s="13" t="str">
        <f>HYPERLINK("https://www.marklines.com/en/global/2519","General Motors, Fairfax Assembly &amp; Stamping Plant")</f>
        <v>General Motors, Fairfax Assembly &amp; Stamping Plant</v>
      </c>
      <c r="E587" s="12" t="s">
        <v>1056</v>
      </c>
      <c r="F587" s="12" t="s">
        <v>16</v>
      </c>
      <c r="G587" s="12" t="s">
        <v>11</v>
      </c>
      <c r="H587" s="12" t="s">
        <v>1057</v>
      </c>
      <c r="I587" s="14">
        <v>45247</v>
      </c>
      <c r="J587" s="12" t="s">
        <v>1332</v>
      </c>
    </row>
    <row r="588" spans="1:10" s="15" customFormat="1" x14ac:dyDescent="0.15">
      <c r="A588" s="11">
        <v>45248</v>
      </c>
      <c r="B588" s="12" t="s">
        <v>12</v>
      </c>
      <c r="C588" s="12" t="s">
        <v>12</v>
      </c>
      <c r="D588" s="13" t="str">
        <f>HYPERLINK("https://www.marklines.com/en/global/2541","General Motors Canada, Ingersoll Plant")</f>
        <v>General Motors Canada, Ingersoll Plant</v>
      </c>
      <c r="E588" s="12" t="s">
        <v>1333</v>
      </c>
      <c r="F588" s="12" t="s">
        <v>16</v>
      </c>
      <c r="G588" s="12" t="s">
        <v>446</v>
      </c>
      <c r="H588" s="12"/>
      <c r="I588" s="14">
        <v>45246</v>
      </c>
      <c r="J588" s="12" t="s">
        <v>1334</v>
      </c>
    </row>
    <row r="589" spans="1:10" s="15" customFormat="1" x14ac:dyDescent="0.15">
      <c r="A589" s="11">
        <v>45248</v>
      </c>
      <c r="B589" s="12" t="s">
        <v>65</v>
      </c>
      <c r="C589" s="12" t="s">
        <v>66</v>
      </c>
      <c r="D589" s="13" t="str">
        <f>HYPERLINK("https://www.marklines.com/en/global/2653","Stellantis, FCA US, Toledo Assembly Complex (Toledo North)")</f>
        <v>Stellantis, FCA US, Toledo Assembly Complex (Toledo North)</v>
      </c>
      <c r="E589" s="12" t="s">
        <v>857</v>
      </c>
      <c r="F589" s="12" t="s">
        <v>16</v>
      </c>
      <c r="G589" s="12" t="s">
        <v>11</v>
      </c>
      <c r="H589" s="12" t="s">
        <v>101</v>
      </c>
      <c r="I589" s="14">
        <v>45245</v>
      </c>
      <c r="J589" s="12" t="s">
        <v>1335</v>
      </c>
    </row>
    <row r="590" spans="1:10" s="15" customFormat="1" x14ac:dyDescent="0.15">
      <c r="A590" s="11">
        <v>45248</v>
      </c>
      <c r="B590" s="12" t="s">
        <v>65</v>
      </c>
      <c r="C590" s="12" t="s">
        <v>66</v>
      </c>
      <c r="D590" s="13" t="str">
        <f>HYPERLINK("https://www.marklines.com/en/global/2655","Stellantis, FCA US, Toledo Assembly Complex (Toledo Supplier Park)")</f>
        <v>Stellantis, FCA US, Toledo Assembly Complex (Toledo Supplier Park)</v>
      </c>
      <c r="E590" s="12" t="s">
        <v>858</v>
      </c>
      <c r="F590" s="12" t="s">
        <v>16</v>
      </c>
      <c r="G590" s="12" t="s">
        <v>11</v>
      </c>
      <c r="H590" s="12" t="s">
        <v>101</v>
      </c>
      <c r="I590" s="14">
        <v>45245</v>
      </c>
      <c r="J590" s="12" t="s">
        <v>1335</v>
      </c>
    </row>
    <row r="591" spans="1:10" s="15" customFormat="1" x14ac:dyDescent="0.15">
      <c r="A591" s="11">
        <v>45248</v>
      </c>
      <c r="B591" s="12" t="s">
        <v>83</v>
      </c>
      <c r="C591" s="12" t="s">
        <v>84</v>
      </c>
      <c r="D591" s="13" t="str">
        <f>HYPERLINK("https://www.marklines.com/en/global/3291","Mack Trucks, Inc., Macungie Plant")</f>
        <v>Mack Trucks, Inc., Macungie Plant</v>
      </c>
      <c r="E591" s="12" t="s">
        <v>192</v>
      </c>
      <c r="F591" s="12" t="s">
        <v>16</v>
      </c>
      <c r="G591" s="12" t="s">
        <v>11</v>
      </c>
      <c r="H591" s="12" t="s">
        <v>193</v>
      </c>
      <c r="I591" s="14">
        <v>45245</v>
      </c>
      <c r="J591" s="12" t="s">
        <v>1336</v>
      </c>
    </row>
    <row r="592" spans="1:10" s="15" customFormat="1" x14ac:dyDescent="0.15">
      <c r="A592" s="11">
        <v>45247</v>
      </c>
      <c r="B592" s="12" t="s">
        <v>1073</v>
      </c>
      <c r="C592" s="12" t="s">
        <v>1073</v>
      </c>
      <c r="D592" s="13" t="str">
        <f>HYPERLINK("https://www.marklines.com/en/global/9982","VE Commercial Vehicles, Baggad Bus Assembly Plant")</f>
        <v>VE Commercial Vehicles, Baggad Bus Assembly Plant</v>
      </c>
      <c r="E592" s="12" t="s">
        <v>1074</v>
      </c>
      <c r="F592" s="12" t="s">
        <v>25</v>
      </c>
      <c r="G592" s="12" t="s">
        <v>26</v>
      </c>
      <c r="H592" s="12" t="s">
        <v>1075</v>
      </c>
      <c r="I592" s="14">
        <v>45247</v>
      </c>
      <c r="J592" s="12" t="s">
        <v>1076</v>
      </c>
    </row>
    <row r="593" spans="1:10" s="15" customFormat="1" x14ac:dyDescent="0.15">
      <c r="A593" s="11">
        <v>45247</v>
      </c>
      <c r="B593" s="12" t="s">
        <v>13</v>
      </c>
      <c r="C593" s="12" t="s">
        <v>13</v>
      </c>
      <c r="D593" s="13" t="str">
        <f>HYPERLINK("https://www.marklines.com/en/global/9602","OOO Motorinvest, Lipetsk Plant (formerly Changan Automobile, Lipetsk Plant)")</f>
        <v>OOO Motorinvest, Lipetsk Plant (formerly Changan Automobile, Lipetsk Plant)</v>
      </c>
      <c r="E593" s="12" t="s">
        <v>92</v>
      </c>
      <c r="F593" s="12" t="s">
        <v>18</v>
      </c>
      <c r="G593" s="12" t="s">
        <v>14</v>
      </c>
      <c r="H593" s="12"/>
      <c r="I593" s="14">
        <v>45246</v>
      </c>
      <c r="J593" s="12" t="s">
        <v>1077</v>
      </c>
    </row>
    <row r="594" spans="1:10" s="15" customFormat="1" x14ac:dyDescent="0.15">
      <c r="A594" s="11">
        <v>45247</v>
      </c>
      <c r="B594" s="12" t="s">
        <v>243</v>
      </c>
      <c r="C594" s="12" t="s">
        <v>243</v>
      </c>
      <c r="D594" s="13" t="str">
        <f>HYPERLINK("https://www.marklines.com/en/global/10509","Verkor Gigafactory, Dunkirk Plant (tentative name)")</f>
        <v>Verkor Gigafactory, Dunkirk Plant (tentative name)</v>
      </c>
      <c r="E594" s="12" t="s">
        <v>956</v>
      </c>
      <c r="F594" s="12" t="s">
        <v>17</v>
      </c>
      <c r="G594" s="12" t="s">
        <v>32</v>
      </c>
      <c r="H594" s="12"/>
      <c r="I594" s="14">
        <v>45246</v>
      </c>
      <c r="J594" s="12" t="s">
        <v>1078</v>
      </c>
    </row>
    <row r="595" spans="1:10" s="15" customFormat="1" x14ac:dyDescent="0.15">
      <c r="A595" s="11">
        <v>45247</v>
      </c>
      <c r="B595" s="12" t="s">
        <v>13</v>
      </c>
      <c r="C595" s="12" t="s">
        <v>59</v>
      </c>
      <c r="D595" s="13" t="str">
        <f>HYPERLINK("https://www.marklines.com/en/global/2749","Valmet Automotive Inc., Uusikaupunki Plant")</f>
        <v>Valmet Automotive Inc., Uusikaupunki Plant</v>
      </c>
      <c r="E595" s="12" t="s">
        <v>143</v>
      </c>
      <c r="F595" s="12" t="s">
        <v>17</v>
      </c>
      <c r="G595" s="12" t="s">
        <v>144</v>
      </c>
      <c r="H595" s="12"/>
      <c r="I595" s="14">
        <v>45246</v>
      </c>
      <c r="J595" s="12" t="s">
        <v>1079</v>
      </c>
    </row>
    <row r="596" spans="1:10" s="15" customFormat="1" x14ac:dyDescent="0.15">
      <c r="A596" s="11">
        <v>45247</v>
      </c>
      <c r="B596" s="12" t="s">
        <v>43</v>
      </c>
      <c r="C596" s="12" t="s">
        <v>43</v>
      </c>
      <c r="D596" s="13" t="str">
        <f>HYPERLINK("https://www.marklines.com/en/global/3141","Hyundai Motor Manufacturing Alabama, LLC, Montgomery Plant")</f>
        <v>Hyundai Motor Manufacturing Alabama, LLC, Montgomery Plant</v>
      </c>
      <c r="E596" s="12" t="s">
        <v>1080</v>
      </c>
      <c r="F596" s="12" t="s">
        <v>16</v>
      </c>
      <c r="G596" s="12" t="s">
        <v>11</v>
      </c>
      <c r="H596" s="12" t="s">
        <v>260</v>
      </c>
      <c r="I596" s="14">
        <v>45246</v>
      </c>
      <c r="J596" s="12" t="s">
        <v>1081</v>
      </c>
    </row>
    <row r="597" spans="1:10" s="15" customFormat="1" x14ac:dyDescent="0.15">
      <c r="A597" s="11">
        <v>45247</v>
      </c>
      <c r="B597" s="12" t="s">
        <v>22</v>
      </c>
      <c r="C597" s="12" t="s">
        <v>22</v>
      </c>
      <c r="D597" s="13" t="str">
        <f>HYPERLINK("https://www.marklines.com/en/global/10455","Toyota Battery Manufacturing, North Carolina (TBMNC)")</f>
        <v>Toyota Battery Manufacturing, North Carolina (TBMNC)</v>
      </c>
      <c r="E597" s="12" t="s">
        <v>933</v>
      </c>
      <c r="F597" s="12" t="s">
        <v>16</v>
      </c>
      <c r="G597" s="12" t="s">
        <v>11</v>
      </c>
      <c r="H597" s="12" t="s">
        <v>934</v>
      </c>
      <c r="I597" s="14">
        <v>45246</v>
      </c>
      <c r="J597" s="12" t="s">
        <v>1082</v>
      </c>
    </row>
    <row r="598" spans="1:10" s="15" customFormat="1" x14ac:dyDescent="0.15">
      <c r="A598" s="11">
        <v>45247</v>
      </c>
      <c r="B598" s="12" t="s">
        <v>33</v>
      </c>
      <c r="C598" s="12" t="s">
        <v>63</v>
      </c>
      <c r="D598" s="13" t="str">
        <f>HYPERLINK("https://www.marklines.com/en/global/10485","Audi FAW New Energy Vehicle Co., Ltd.")</f>
        <v>Audi FAW New Energy Vehicle Co., Ltd.</v>
      </c>
      <c r="E598" s="12" t="s">
        <v>1030</v>
      </c>
      <c r="F598" s="12" t="s">
        <v>20</v>
      </c>
      <c r="G598" s="12" t="s">
        <v>27</v>
      </c>
      <c r="H598" s="12" t="s">
        <v>414</v>
      </c>
      <c r="I598" s="14">
        <v>45245</v>
      </c>
      <c r="J598" s="12" t="s">
        <v>1083</v>
      </c>
    </row>
    <row r="599" spans="1:10" s="15" customFormat="1" x14ac:dyDescent="0.15">
      <c r="A599" s="11">
        <v>45247</v>
      </c>
      <c r="B599" s="12" t="s">
        <v>400</v>
      </c>
      <c r="C599" s="12" t="s">
        <v>900</v>
      </c>
      <c r="D599" s="13" t="str">
        <f>HYPERLINK("https://www.marklines.com/en/global/10387","Zeekr Automobile (Ningbo Hangzhou Bay New Zone) Co., Ltd. (formerly Ningbo Zeekr Intelligent Technology Co., Ltd.")</f>
        <v>Zeekr Automobile (Ningbo Hangzhou Bay New Zone) Co., Ltd. (formerly Ningbo Zeekr Intelligent Technology Co., Ltd.</v>
      </c>
      <c r="E599" s="12" t="s">
        <v>901</v>
      </c>
      <c r="F599" s="12" t="s">
        <v>20</v>
      </c>
      <c r="G599" s="12" t="s">
        <v>27</v>
      </c>
      <c r="H599" s="12" t="s">
        <v>342</v>
      </c>
      <c r="I599" s="14">
        <v>45245</v>
      </c>
      <c r="J599" s="12" t="s">
        <v>1084</v>
      </c>
    </row>
    <row r="600" spans="1:10" s="15" customFormat="1" x14ac:dyDescent="0.15">
      <c r="A600" s="11">
        <v>45247</v>
      </c>
      <c r="B600" s="12" t="s">
        <v>400</v>
      </c>
      <c r="C600" s="12" t="s">
        <v>900</v>
      </c>
      <c r="D600" s="13" t="str">
        <f>HYPERLINK("https://www.marklines.com/en/global/2425","Renault Korea Motors (formerly Renault Samsung), Busan Plant")</f>
        <v>Renault Korea Motors (formerly Renault Samsung), Busan Plant</v>
      </c>
      <c r="E600" s="12" t="s">
        <v>639</v>
      </c>
      <c r="F600" s="12" t="s">
        <v>20</v>
      </c>
      <c r="G600" s="12" t="s">
        <v>79</v>
      </c>
      <c r="H600" s="12"/>
      <c r="I600" s="14">
        <v>45245</v>
      </c>
      <c r="J600" s="12" t="s">
        <v>1084</v>
      </c>
    </row>
    <row r="601" spans="1:10" s="15" customFormat="1" x14ac:dyDescent="0.15">
      <c r="A601" s="11">
        <v>45247</v>
      </c>
      <c r="B601" s="12" t="s">
        <v>33</v>
      </c>
      <c r="C601" s="12" t="s">
        <v>513</v>
      </c>
      <c r="D601" s="13" t="str">
        <f>HYPERLINK("https://www.marklines.com/en/global/2693","Scania AB")</f>
        <v>Scania AB</v>
      </c>
      <c r="E601" s="12" t="s">
        <v>1085</v>
      </c>
      <c r="F601" s="12" t="s">
        <v>17</v>
      </c>
      <c r="G601" s="12" t="s">
        <v>50</v>
      </c>
      <c r="H601" s="12"/>
      <c r="I601" s="14">
        <v>45244</v>
      </c>
      <c r="J601" s="12" t="s">
        <v>1086</v>
      </c>
    </row>
    <row r="602" spans="1:10" s="15" customFormat="1" x14ac:dyDescent="0.15">
      <c r="A602" s="11">
        <v>45247</v>
      </c>
      <c r="B602" s="12" t="s">
        <v>33</v>
      </c>
      <c r="C602" s="12" t="s">
        <v>513</v>
      </c>
      <c r="D602" s="13" t="str">
        <f>HYPERLINK("https://www.marklines.com/en/global/2695","Scania AB, Södertälje Plant")</f>
        <v>Scania AB, Södertälje Plant</v>
      </c>
      <c r="E602" s="12" t="s">
        <v>514</v>
      </c>
      <c r="F602" s="12" t="s">
        <v>17</v>
      </c>
      <c r="G602" s="12" t="s">
        <v>50</v>
      </c>
      <c r="H602" s="12"/>
      <c r="I602" s="14">
        <v>45244</v>
      </c>
      <c r="J602" s="12" t="s">
        <v>1086</v>
      </c>
    </row>
    <row r="603" spans="1:10" s="15" customFormat="1" x14ac:dyDescent="0.15">
      <c r="A603" s="11">
        <v>45247</v>
      </c>
      <c r="B603" s="12" t="s">
        <v>45</v>
      </c>
      <c r="C603" s="12" t="s">
        <v>603</v>
      </c>
      <c r="D603" s="13" t="str">
        <f>HYPERLINK("https://www.marklines.com/en/global/141","Stellantis, PSA, Rennes Plant")</f>
        <v>Stellantis, PSA, Rennes Plant</v>
      </c>
      <c r="E603" s="12" t="s">
        <v>705</v>
      </c>
      <c r="F603" s="12" t="s">
        <v>17</v>
      </c>
      <c r="G603" s="12" t="s">
        <v>32</v>
      </c>
      <c r="H603" s="12"/>
      <c r="I603" s="14">
        <v>45244</v>
      </c>
      <c r="J603" s="12" t="s">
        <v>1087</v>
      </c>
    </row>
    <row r="604" spans="1:10" s="15" customFormat="1" x14ac:dyDescent="0.15">
      <c r="A604" s="11">
        <v>45247</v>
      </c>
      <c r="B604" s="12" t="s">
        <v>45</v>
      </c>
      <c r="C604" s="12" t="s">
        <v>515</v>
      </c>
      <c r="D604" s="13" t="str">
        <f>HYPERLINK("https://www.marklines.com/en/global/141","Stellantis, PSA, Rennes Plant")</f>
        <v>Stellantis, PSA, Rennes Plant</v>
      </c>
      <c r="E604" s="12" t="s">
        <v>705</v>
      </c>
      <c r="F604" s="12" t="s">
        <v>17</v>
      </c>
      <c r="G604" s="12" t="s">
        <v>32</v>
      </c>
      <c r="H604" s="12"/>
      <c r="I604" s="14">
        <v>45244</v>
      </c>
      <c r="J604" s="12" t="s">
        <v>1087</v>
      </c>
    </row>
    <row r="605" spans="1:10" s="15" customFormat="1" x14ac:dyDescent="0.15">
      <c r="A605" s="11">
        <v>45247</v>
      </c>
      <c r="B605" s="12" t="s">
        <v>437</v>
      </c>
      <c r="C605" s="12" t="s">
        <v>1088</v>
      </c>
      <c r="D605" s="13" t="str">
        <f>HYPERLINK("https://www.marklines.com/en/global/3883","Chery Commercial Vehicle (Anhui) Co., Ltd.")</f>
        <v>Chery Commercial Vehicle (Anhui) Co., Ltd.</v>
      </c>
      <c r="E605" s="12" t="s">
        <v>1089</v>
      </c>
      <c r="F605" s="12" t="s">
        <v>20</v>
      </c>
      <c r="G605" s="12" t="s">
        <v>27</v>
      </c>
      <c r="H605" s="12" t="s">
        <v>303</v>
      </c>
      <c r="I605" s="14">
        <v>45244</v>
      </c>
      <c r="J605" s="12" t="s">
        <v>1090</v>
      </c>
    </row>
    <row r="606" spans="1:10" s="15" customFormat="1" x14ac:dyDescent="0.15">
      <c r="A606" s="11">
        <v>45247</v>
      </c>
      <c r="B606" s="12" t="s">
        <v>31</v>
      </c>
      <c r="C606" s="12" t="s">
        <v>31</v>
      </c>
      <c r="D606" s="13" t="str">
        <f>HYPERLINK("https://www.marklines.com/en/global/2289","BMW Hams Hall Motoren GmbH, Hams Hall Plant")</f>
        <v>BMW Hams Hall Motoren GmbH, Hams Hall Plant</v>
      </c>
      <c r="E606" s="12" t="s">
        <v>1091</v>
      </c>
      <c r="F606" s="12" t="s">
        <v>17</v>
      </c>
      <c r="G606" s="12" t="s">
        <v>47</v>
      </c>
      <c r="H606" s="12"/>
      <c r="I606" s="14">
        <v>45244</v>
      </c>
      <c r="J606" s="12" t="s">
        <v>1092</v>
      </c>
    </row>
    <row r="607" spans="1:10" s="15" customFormat="1" x14ac:dyDescent="0.15">
      <c r="A607" s="11">
        <v>45247</v>
      </c>
      <c r="B607" s="12" t="s">
        <v>31</v>
      </c>
      <c r="C607" s="12" t="s">
        <v>31</v>
      </c>
      <c r="D607" s="13" t="str">
        <f>HYPERLINK("https://www.marklines.com/en/global/1801","BMW Motoren GmbH, Steyr Plant")</f>
        <v>BMW Motoren GmbH, Steyr Plant</v>
      </c>
      <c r="E607" s="12" t="s">
        <v>1093</v>
      </c>
      <c r="F607" s="12" t="s">
        <v>17</v>
      </c>
      <c r="G607" s="12" t="s">
        <v>58</v>
      </c>
      <c r="H607" s="12"/>
      <c r="I607" s="14">
        <v>45244</v>
      </c>
      <c r="J607" s="12" t="s">
        <v>1092</v>
      </c>
    </row>
    <row r="608" spans="1:10" s="15" customFormat="1" x14ac:dyDescent="0.15">
      <c r="A608" s="11">
        <v>45247</v>
      </c>
      <c r="B608" s="12" t="s">
        <v>31</v>
      </c>
      <c r="C608" s="12" t="s">
        <v>31</v>
      </c>
      <c r="D608" s="13" t="str">
        <f>HYPERLINK("https://www.marklines.com/en/global/2205","BMW AG, Munich Plant")</f>
        <v>BMW AG, Munich Plant</v>
      </c>
      <c r="E608" s="12" t="s">
        <v>1094</v>
      </c>
      <c r="F608" s="12" t="s">
        <v>17</v>
      </c>
      <c r="G608" s="12" t="s">
        <v>21</v>
      </c>
      <c r="H608" s="12"/>
      <c r="I608" s="14">
        <v>45244</v>
      </c>
      <c r="J608" s="12" t="s">
        <v>1092</v>
      </c>
    </row>
    <row r="609" spans="1:10" s="15" customFormat="1" x14ac:dyDescent="0.15">
      <c r="A609" s="11">
        <v>45247</v>
      </c>
      <c r="B609" s="12" t="s">
        <v>83</v>
      </c>
      <c r="C609" s="12" t="s">
        <v>83</v>
      </c>
      <c r="D609" s="13" t="str">
        <f>HYPERLINK("https://www.marklines.com/en/global/2721","Volvo Powertrain AB")</f>
        <v>Volvo Powertrain AB</v>
      </c>
      <c r="E609" s="12" t="s">
        <v>1095</v>
      </c>
      <c r="F609" s="12" t="s">
        <v>17</v>
      </c>
      <c r="G609" s="12" t="s">
        <v>50</v>
      </c>
      <c r="H609" s="12"/>
      <c r="I609" s="14">
        <v>45243</v>
      </c>
      <c r="J609" s="12" t="s">
        <v>1096</v>
      </c>
    </row>
    <row r="610" spans="1:10" s="15" customFormat="1" x14ac:dyDescent="0.15">
      <c r="A610" s="11">
        <v>45247</v>
      </c>
      <c r="B610" s="12" t="s">
        <v>83</v>
      </c>
      <c r="C610" s="12" t="s">
        <v>83</v>
      </c>
      <c r="D610" s="13" t="str">
        <f>HYPERLINK("https://www.marklines.com/en/global/9084","Powertrain Engineering Sweden AB, Skövde Plant (formerly Volvo Cars Engine Skövde (VCES))")</f>
        <v>Powertrain Engineering Sweden AB, Skövde Plant (formerly Volvo Cars Engine Skövde (VCES))</v>
      </c>
      <c r="E610" s="12" t="s">
        <v>1097</v>
      </c>
      <c r="F610" s="12" t="s">
        <v>17</v>
      </c>
      <c r="G610" s="12" t="s">
        <v>50</v>
      </c>
      <c r="H610" s="12"/>
      <c r="I610" s="14">
        <v>45243</v>
      </c>
      <c r="J610" s="12" t="s">
        <v>1096</v>
      </c>
    </row>
    <row r="611" spans="1:10" s="15" customFormat="1" x14ac:dyDescent="0.15">
      <c r="A611" s="11">
        <v>45247</v>
      </c>
      <c r="B611" s="12" t="s">
        <v>400</v>
      </c>
      <c r="C611" s="12" t="s">
        <v>400</v>
      </c>
      <c r="D611" s="13" t="str">
        <f>HYPERLINK("https://www.marklines.com/en/global/10535","Aurobay (Powertrain Engineering Sweden AB)")</f>
        <v>Aurobay (Powertrain Engineering Sweden AB)</v>
      </c>
      <c r="E611" s="12" t="s">
        <v>1098</v>
      </c>
      <c r="F611" s="12" t="s">
        <v>17</v>
      </c>
      <c r="G611" s="12" t="s">
        <v>50</v>
      </c>
      <c r="H611" s="12"/>
      <c r="I611" s="14">
        <v>45243</v>
      </c>
      <c r="J611" s="12" t="s">
        <v>1096</v>
      </c>
    </row>
    <row r="612" spans="1:10" s="15" customFormat="1" x14ac:dyDescent="0.15">
      <c r="A612" s="11">
        <v>45247</v>
      </c>
      <c r="B612" s="12" t="s">
        <v>400</v>
      </c>
      <c r="C612" s="12" t="s">
        <v>400</v>
      </c>
      <c r="D612" s="13" t="str">
        <f>HYPERLINK("https://www.marklines.com/en/global/9084","Powertrain Engineering Sweden AB, Skövde Plant (formerly Volvo Cars Engine Skövde (VCES))")</f>
        <v>Powertrain Engineering Sweden AB, Skövde Plant (formerly Volvo Cars Engine Skövde (VCES))</v>
      </c>
      <c r="E612" s="12" t="s">
        <v>1097</v>
      </c>
      <c r="F612" s="12" t="s">
        <v>17</v>
      </c>
      <c r="G612" s="12" t="s">
        <v>50</v>
      </c>
      <c r="H612" s="12"/>
      <c r="I612" s="14">
        <v>45243</v>
      </c>
      <c r="J612" s="12" t="s">
        <v>1096</v>
      </c>
    </row>
    <row r="613" spans="1:10" s="15" customFormat="1" x14ac:dyDescent="0.15">
      <c r="A613" s="11">
        <v>45247</v>
      </c>
      <c r="B613" s="12" t="s">
        <v>1060</v>
      </c>
      <c r="C613" s="12" t="s">
        <v>1060</v>
      </c>
      <c r="D613" s="13" t="str">
        <f>HYPERLINK("https://www.marklines.com/en/global/9889","Beijing CHJ Information Technology Co., Ltd.")</f>
        <v>Beijing CHJ Information Technology Co., Ltd.</v>
      </c>
      <c r="E613" s="12" t="s">
        <v>1061</v>
      </c>
      <c r="F613" s="12" t="s">
        <v>20</v>
      </c>
      <c r="G613" s="12" t="s">
        <v>27</v>
      </c>
      <c r="H613" s="12" t="s">
        <v>456</v>
      </c>
      <c r="I613" s="14">
        <v>45243</v>
      </c>
      <c r="J613" s="12" t="s">
        <v>1099</v>
      </c>
    </row>
    <row r="614" spans="1:10" s="15" customFormat="1" x14ac:dyDescent="0.15">
      <c r="A614" s="11">
        <v>45247</v>
      </c>
      <c r="B614" s="12" t="s">
        <v>321</v>
      </c>
      <c r="C614" s="12" t="s">
        <v>321</v>
      </c>
      <c r="D614" s="13" t="str">
        <f>HYPERLINK("https://www.marklines.com/en/global/3415","Beijing Automotive Group Co., Ltd.")</f>
        <v>Beijing Automotive Group Co., Ltd.</v>
      </c>
      <c r="E614" s="12" t="s">
        <v>795</v>
      </c>
      <c r="F614" s="12" t="s">
        <v>20</v>
      </c>
      <c r="G614" s="12" t="s">
        <v>27</v>
      </c>
      <c r="H614" s="12" t="s">
        <v>456</v>
      </c>
      <c r="I614" s="14">
        <v>45243</v>
      </c>
      <c r="J614" s="12" t="s">
        <v>1100</v>
      </c>
    </row>
    <row r="615" spans="1:10" s="15" customFormat="1" x14ac:dyDescent="0.15">
      <c r="A615" s="11">
        <v>45247</v>
      </c>
      <c r="B615" s="12" t="s">
        <v>400</v>
      </c>
      <c r="C615" s="12" t="s">
        <v>400</v>
      </c>
      <c r="D615" s="13" t="str">
        <f>HYPERLINK("https://www.marklines.com/en/global/3807","Zhejiang Geely Holding Group Co., Ltd.")</f>
        <v>Zhejiang Geely Holding Group Co., Ltd.</v>
      </c>
      <c r="E615" s="12" t="s">
        <v>401</v>
      </c>
      <c r="F615" s="12" t="s">
        <v>20</v>
      </c>
      <c r="G615" s="12" t="s">
        <v>27</v>
      </c>
      <c r="H615" s="12" t="s">
        <v>342</v>
      </c>
      <c r="I615" s="14">
        <v>45243</v>
      </c>
      <c r="J615" s="12" t="s">
        <v>1101</v>
      </c>
    </row>
    <row r="616" spans="1:10" s="15" customFormat="1" x14ac:dyDescent="0.15">
      <c r="A616" s="11">
        <v>45247</v>
      </c>
      <c r="B616" s="12" t="s">
        <v>437</v>
      </c>
      <c r="C616" s="12" t="s">
        <v>437</v>
      </c>
      <c r="D616" s="13" t="str">
        <f>HYPERLINK("https://www.marklines.com/en/global/3879","Chery Automobile Co., Ltd. ")</f>
        <v xml:space="preserve">Chery Automobile Co., Ltd. </v>
      </c>
      <c r="E616" s="12" t="s">
        <v>848</v>
      </c>
      <c r="F616" s="12" t="s">
        <v>20</v>
      </c>
      <c r="G616" s="12" t="s">
        <v>27</v>
      </c>
      <c r="H616" s="12" t="s">
        <v>303</v>
      </c>
      <c r="I616" s="14">
        <v>45240</v>
      </c>
      <c r="J616" s="12" t="s">
        <v>1102</v>
      </c>
    </row>
    <row r="617" spans="1:10" s="15" customFormat="1" x14ac:dyDescent="0.15">
      <c r="A617" s="11">
        <v>45247</v>
      </c>
      <c r="B617" s="12" t="s">
        <v>13</v>
      </c>
      <c r="C617" s="12" t="s">
        <v>1103</v>
      </c>
      <c r="D617" s="13" t="str">
        <f>HYPERLINK("https://www.marklines.com/en/global/10773","Ceer Motors, King Abdullah Economic City Plant (tentative name)")</f>
        <v>Ceer Motors, King Abdullah Economic City Plant (tentative name)</v>
      </c>
      <c r="E617" s="12" t="s">
        <v>1104</v>
      </c>
      <c r="F617" s="12" t="s">
        <v>106</v>
      </c>
      <c r="G617" s="12" t="s">
        <v>536</v>
      </c>
      <c r="H617" s="12"/>
      <c r="I617" s="14">
        <v>45239</v>
      </c>
      <c r="J617" s="12" t="s">
        <v>1105</v>
      </c>
    </row>
    <row r="618" spans="1:10" s="15" customFormat="1" x14ac:dyDescent="0.15">
      <c r="A618" s="11">
        <v>45246</v>
      </c>
      <c r="B618" s="12" t="s">
        <v>33</v>
      </c>
      <c r="C618" s="12" t="s">
        <v>44</v>
      </c>
      <c r="D618" s="13" t="str">
        <f>HYPERLINK("https://www.marklines.com/en/global/2277","Volkswagen Sachsen GmbH, Zwickau/Mosel Plant")</f>
        <v>Volkswagen Sachsen GmbH, Zwickau/Mosel Plant</v>
      </c>
      <c r="E618" s="12" t="s">
        <v>135</v>
      </c>
      <c r="F618" s="12" t="s">
        <v>17</v>
      </c>
      <c r="G618" s="12" t="s">
        <v>21</v>
      </c>
      <c r="H618" s="12"/>
      <c r="I618" s="14">
        <v>45245</v>
      </c>
      <c r="J618" s="12" t="s">
        <v>1106</v>
      </c>
    </row>
    <row r="619" spans="1:10" s="15" customFormat="1" x14ac:dyDescent="0.15">
      <c r="A619" s="11">
        <v>45246</v>
      </c>
      <c r="B619" s="12" t="s">
        <v>33</v>
      </c>
      <c r="C619" s="12" t="s">
        <v>63</v>
      </c>
      <c r="D619" s="13" t="str">
        <f>HYPERLINK("https://www.marklines.com/en/global/2277","Volkswagen Sachsen GmbH, Zwickau/Mosel Plant")</f>
        <v>Volkswagen Sachsen GmbH, Zwickau/Mosel Plant</v>
      </c>
      <c r="E619" s="12" t="s">
        <v>135</v>
      </c>
      <c r="F619" s="12" t="s">
        <v>17</v>
      </c>
      <c r="G619" s="12" t="s">
        <v>21</v>
      </c>
      <c r="H619" s="12"/>
      <c r="I619" s="14">
        <v>45245</v>
      </c>
      <c r="J619" s="12" t="s">
        <v>1106</v>
      </c>
    </row>
    <row r="620" spans="1:10" s="15" customFormat="1" x14ac:dyDescent="0.15">
      <c r="A620" s="11">
        <v>45246</v>
      </c>
      <c r="B620" s="12" t="s">
        <v>33</v>
      </c>
      <c r="C620" s="12" t="s">
        <v>1107</v>
      </c>
      <c r="D620" s="13" t="str">
        <f>HYPERLINK("https://www.marklines.com/en/global/2277","Volkswagen Sachsen GmbH, Zwickau/Mosel Plant")</f>
        <v>Volkswagen Sachsen GmbH, Zwickau/Mosel Plant</v>
      </c>
      <c r="E620" s="12" t="s">
        <v>135</v>
      </c>
      <c r="F620" s="12" t="s">
        <v>17</v>
      </c>
      <c r="G620" s="12" t="s">
        <v>21</v>
      </c>
      <c r="H620" s="12"/>
      <c r="I620" s="14">
        <v>45245</v>
      </c>
      <c r="J620" s="12" t="s">
        <v>1106</v>
      </c>
    </row>
    <row r="621" spans="1:10" s="15" customFormat="1" x14ac:dyDescent="0.15">
      <c r="A621" s="11">
        <v>45246</v>
      </c>
      <c r="B621" s="12" t="s">
        <v>22</v>
      </c>
      <c r="C621" s="12" t="s">
        <v>22</v>
      </c>
      <c r="D621" s="13" t="str">
        <f>HYPERLINK("https://www.marklines.com/en/global/379","Toyota Motor, Tsutsumi Plant")</f>
        <v>Toyota Motor, Tsutsumi Plant</v>
      </c>
      <c r="E621" s="12" t="s">
        <v>562</v>
      </c>
      <c r="F621" s="12" t="s">
        <v>20</v>
      </c>
      <c r="G621" s="12" t="s">
        <v>23</v>
      </c>
      <c r="H621" s="12" t="s">
        <v>61</v>
      </c>
      <c r="I621" s="14">
        <v>45244</v>
      </c>
      <c r="J621" s="12" t="s">
        <v>1108</v>
      </c>
    </row>
    <row r="622" spans="1:10" s="15" customFormat="1" x14ac:dyDescent="0.15">
      <c r="A622" s="11">
        <v>45246</v>
      </c>
      <c r="B622" s="12" t="s">
        <v>33</v>
      </c>
      <c r="C622" s="12" t="s">
        <v>63</v>
      </c>
      <c r="D622" s="13" t="str">
        <f>HYPERLINK("https://www.marklines.com/en/global/1777","Audi Hungaria Zrt., Győr Plant (formerly Audi Hungaria Motor Kft.)")</f>
        <v>Audi Hungaria Zrt., Győr Plant (formerly Audi Hungaria Motor Kft.)</v>
      </c>
      <c r="E622" s="12" t="s">
        <v>1040</v>
      </c>
      <c r="F622" s="12" t="s">
        <v>18</v>
      </c>
      <c r="G622" s="12" t="s">
        <v>132</v>
      </c>
      <c r="H622" s="12"/>
      <c r="I622" s="14">
        <v>45243</v>
      </c>
      <c r="J622" s="12" t="s">
        <v>1109</v>
      </c>
    </row>
    <row r="623" spans="1:10" s="15" customFormat="1" x14ac:dyDescent="0.15">
      <c r="A623" s="11">
        <v>45246</v>
      </c>
      <c r="B623" s="12" t="s">
        <v>321</v>
      </c>
      <c r="C623" s="12" t="s">
        <v>454</v>
      </c>
      <c r="D623" s="13" t="str">
        <f>HYPERLINK("https://www.marklines.com/en/global/3425","Beiqi Foton Motor Co., Ltd.")</f>
        <v>Beiqi Foton Motor Co., Ltd.</v>
      </c>
      <c r="E623" s="12" t="s">
        <v>455</v>
      </c>
      <c r="F623" s="12" t="s">
        <v>20</v>
      </c>
      <c r="G623" s="12" t="s">
        <v>27</v>
      </c>
      <c r="H623" s="12" t="s">
        <v>456</v>
      </c>
      <c r="I623" s="14">
        <v>45243</v>
      </c>
      <c r="J623" s="12" t="s">
        <v>1110</v>
      </c>
    </row>
    <row r="624" spans="1:10" s="15" customFormat="1" x14ac:dyDescent="0.15">
      <c r="A624" s="11">
        <v>45246</v>
      </c>
      <c r="B624" s="12" t="s">
        <v>36</v>
      </c>
      <c r="C624" s="12" t="s">
        <v>36</v>
      </c>
      <c r="D624" s="13" t="str">
        <f>HYPERLINK("https://www.marklines.com/en/global/3533","Great Wall Motor Company Limited (GWM)")</f>
        <v>Great Wall Motor Company Limited (GWM)</v>
      </c>
      <c r="E624" s="12" t="s">
        <v>266</v>
      </c>
      <c r="F624" s="12" t="s">
        <v>20</v>
      </c>
      <c r="G624" s="12" t="s">
        <v>27</v>
      </c>
      <c r="H624" s="12" t="s">
        <v>267</v>
      </c>
      <c r="I624" s="14">
        <v>45243</v>
      </c>
      <c r="J624" s="12" t="s">
        <v>1111</v>
      </c>
    </row>
    <row r="625" spans="1:10" s="15" customFormat="1" x14ac:dyDescent="0.15">
      <c r="A625" s="11">
        <v>45246</v>
      </c>
      <c r="B625" s="12" t="s">
        <v>24</v>
      </c>
      <c r="C625" s="12" t="s">
        <v>24</v>
      </c>
      <c r="D625" s="13" t="str">
        <f>HYPERLINK("https://www.marklines.com/en/global/2607","Ford Motor, Kentucky Truck Plant")</f>
        <v>Ford Motor, Kentucky Truck Plant</v>
      </c>
      <c r="E625" s="12" t="s">
        <v>253</v>
      </c>
      <c r="F625" s="12" t="s">
        <v>16</v>
      </c>
      <c r="G625" s="12" t="s">
        <v>11</v>
      </c>
      <c r="H625" s="12" t="s">
        <v>90</v>
      </c>
      <c r="I625" s="14">
        <v>45243</v>
      </c>
      <c r="J625" s="12" t="s">
        <v>1112</v>
      </c>
    </row>
    <row r="626" spans="1:10" s="15" customFormat="1" x14ac:dyDescent="0.15">
      <c r="A626" s="11">
        <v>45246</v>
      </c>
      <c r="B626" s="12" t="s">
        <v>24</v>
      </c>
      <c r="C626" s="12" t="s">
        <v>24</v>
      </c>
      <c r="D626" s="13" t="str">
        <f>HYPERLINK("https://www.marklines.com/en/global/10376","Ford Motor, Rouge Electric Vehicle Center")</f>
        <v>Ford Motor, Rouge Electric Vehicle Center</v>
      </c>
      <c r="E626" s="12" t="s">
        <v>589</v>
      </c>
      <c r="F626" s="12" t="s">
        <v>16</v>
      </c>
      <c r="G626" s="12" t="s">
        <v>11</v>
      </c>
      <c r="H626" s="12" t="s">
        <v>40</v>
      </c>
      <c r="I626" s="14">
        <v>45243</v>
      </c>
      <c r="J626" s="12" t="s">
        <v>1112</v>
      </c>
    </row>
    <row r="627" spans="1:10" s="15" customFormat="1" x14ac:dyDescent="0.15">
      <c r="A627" s="11">
        <v>45246</v>
      </c>
      <c r="B627" s="12" t="s">
        <v>24</v>
      </c>
      <c r="C627" s="12" t="s">
        <v>24</v>
      </c>
      <c r="D627" s="13" t="str">
        <f>HYPERLINK("https://www.marklines.com/en/global/2605","Ford Motor, Louisville Assembly Plant")</f>
        <v>Ford Motor, Louisville Assembly Plant</v>
      </c>
      <c r="E627" s="12" t="s">
        <v>252</v>
      </c>
      <c r="F627" s="12" t="s">
        <v>16</v>
      </c>
      <c r="G627" s="12" t="s">
        <v>11</v>
      </c>
      <c r="H627" s="12" t="s">
        <v>90</v>
      </c>
      <c r="I627" s="14">
        <v>45243</v>
      </c>
      <c r="J627" s="12" t="s">
        <v>1112</v>
      </c>
    </row>
    <row r="628" spans="1:10" s="15" customFormat="1" x14ac:dyDescent="0.15">
      <c r="A628" s="11">
        <v>45246</v>
      </c>
      <c r="B628" s="12" t="s">
        <v>551</v>
      </c>
      <c r="C628" s="12" t="s">
        <v>551</v>
      </c>
      <c r="D628" s="13" t="str">
        <f>HYPERLINK("https://www.marklines.com/en/global/3977","Dongfeng Passenger Vehicle Company")</f>
        <v>Dongfeng Passenger Vehicle Company</v>
      </c>
      <c r="E628" s="12" t="s">
        <v>780</v>
      </c>
      <c r="F628" s="12" t="s">
        <v>20</v>
      </c>
      <c r="G628" s="12" t="s">
        <v>27</v>
      </c>
      <c r="H628" s="12" t="s">
        <v>554</v>
      </c>
      <c r="I628" s="14">
        <v>45241</v>
      </c>
      <c r="J628" s="12" t="s">
        <v>1113</v>
      </c>
    </row>
    <row r="629" spans="1:10" s="15" customFormat="1" x14ac:dyDescent="0.15">
      <c r="A629" s="11">
        <v>45246</v>
      </c>
      <c r="B629" s="12" t="s">
        <v>366</v>
      </c>
      <c r="C629" s="12" t="s">
        <v>366</v>
      </c>
      <c r="D629" s="13" t="str">
        <f>HYPERLINK("https://www.marklines.com/en/global/4073","Guangzhou Automobile Group Co., Ltd. (GAC)")</f>
        <v>Guangzhou Automobile Group Co., Ltd. (GAC)</v>
      </c>
      <c r="E629" s="12" t="s">
        <v>725</v>
      </c>
      <c r="F629" s="12" t="s">
        <v>20</v>
      </c>
      <c r="G629" s="12" t="s">
        <v>27</v>
      </c>
      <c r="H629" s="12" t="s">
        <v>357</v>
      </c>
      <c r="I629" s="14">
        <v>45240</v>
      </c>
      <c r="J629" s="12" t="s">
        <v>1114</v>
      </c>
    </row>
    <row r="630" spans="1:10" s="15" customFormat="1" x14ac:dyDescent="0.15">
      <c r="A630" s="11">
        <v>45245</v>
      </c>
      <c r="B630" s="12" t="s">
        <v>12</v>
      </c>
      <c r="C630" s="12" t="s">
        <v>529</v>
      </c>
      <c r="D630" s="13" t="str">
        <f>HYPERLINK("https://www.marklines.com/en/global/2523","General Motors, Spring Hill Manufacturing (formerly Spring Hill Assembly)")</f>
        <v>General Motors, Spring Hill Manufacturing (formerly Spring Hill Assembly)</v>
      </c>
      <c r="E630" s="12" t="s">
        <v>1053</v>
      </c>
      <c r="F630" s="12" t="s">
        <v>16</v>
      </c>
      <c r="G630" s="12" t="s">
        <v>11</v>
      </c>
      <c r="H630" s="12" t="s">
        <v>490</v>
      </c>
      <c r="I630" s="14">
        <v>45244</v>
      </c>
      <c r="J630" s="12" t="s">
        <v>1115</v>
      </c>
    </row>
    <row r="631" spans="1:10" s="15" customFormat="1" x14ac:dyDescent="0.15">
      <c r="A631" s="11">
        <v>45245</v>
      </c>
      <c r="B631" s="12" t="s">
        <v>43</v>
      </c>
      <c r="C631" s="12" t="s">
        <v>43</v>
      </c>
      <c r="D631" s="13" t="str">
        <f>HYPERLINK("https://www.marklines.com/en/global/10772","Hyundai Motor Group Global Software Center (Pangyo)")</f>
        <v>Hyundai Motor Group Global Software Center (Pangyo)</v>
      </c>
      <c r="E631" s="12" t="s">
        <v>1116</v>
      </c>
      <c r="F631" s="12" t="s">
        <v>20</v>
      </c>
      <c r="G631" s="12" t="s">
        <v>79</v>
      </c>
      <c r="H631" s="12"/>
      <c r="I631" s="14">
        <v>45243</v>
      </c>
      <c r="J631" s="12" t="s">
        <v>1117</v>
      </c>
    </row>
    <row r="632" spans="1:10" s="15" customFormat="1" x14ac:dyDescent="0.15">
      <c r="A632" s="11">
        <v>45245</v>
      </c>
      <c r="B632" s="12" t="s">
        <v>33</v>
      </c>
      <c r="C632" s="12" t="s">
        <v>44</v>
      </c>
      <c r="D632" s="13" t="str">
        <f>HYPERLINK("https://www.marklines.com/en/global/911","Volkswagen Mexico, Puebla Plant")</f>
        <v>Volkswagen Mexico, Puebla Plant</v>
      </c>
      <c r="E632" s="12" t="s">
        <v>129</v>
      </c>
      <c r="F632" s="12" t="s">
        <v>16</v>
      </c>
      <c r="G632" s="12" t="s">
        <v>91</v>
      </c>
      <c r="H632" s="12"/>
      <c r="I632" s="14">
        <v>45243</v>
      </c>
      <c r="J632" s="12" t="s">
        <v>1118</v>
      </c>
    </row>
    <row r="633" spans="1:10" s="15" customFormat="1" x14ac:dyDescent="0.15">
      <c r="A633" s="11">
        <v>45245</v>
      </c>
      <c r="B633" s="12" t="s">
        <v>495</v>
      </c>
      <c r="C633" s="12" t="s">
        <v>495</v>
      </c>
      <c r="D633" s="13" t="str">
        <f>HYPERLINK("https://www.marklines.com/en/global/4163","Chongqing Changan Automobile Co., Ltd.")</f>
        <v>Chongqing Changan Automobile Co., Ltd.</v>
      </c>
      <c r="E633" s="12" t="s">
        <v>560</v>
      </c>
      <c r="F633" s="12" t="s">
        <v>20</v>
      </c>
      <c r="G633" s="12" t="s">
        <v>27</v>
      </c>
      <c r="H633" s="12" t="s">
        <v>29</v>
      </c>
      <c r="I633" s="14">
        <v>45241</v>
      </c>
      <c r="J633" s="12" t="s">
        <v>1119</v>
      </c>
    </row>
    <row r="634" spans="1:10" s="15" customFormat="1" x14ac:dyDescent="0.15">
      <c r="A634" s="11">
        <v>45245</v>
      </c>
      <c r="B634" s="12" t="s">
        <v>31</v>
      </c>
      <c r="C634" s="12" t="s">
        <v>1120</v>
      </c>
      <c r="D634" s="13" t="str">
        <f>HYPERLINK("https://www.marklines.com/en/global/2215","BMW AG, Leipzig Plant")</f>
        <v>BMW AG, Leipzig Plant</v>
      </c>
      <c r="E634" s="12" t="s">
        <v>704</v>
      </c>
      <c r="F634" s="12" t="s">
        <v>17</v>
      </c>
      <c r="G634" s="12" t="s">
        <v>21</v>
      </c>
      <c r="H634" s="12"/>
      <c r="I634" s="14">
        <v>45240</v>
      </c>
      <c r="J634" s="12" t="s">
        <v>1121</v>
      </c>
    </row>
    <row r="635" spans="1:10" s="15" customFormat="1" x14ac:dyDescent="0.15">
      <c r="A635" s="11">
        <v>45245</v>
      </c>
      <c r="B635" s="12" t="s">
        <v>31</v>
      </c>
      <c r="C635" s="12" t="s">
        <v>31</v>
      </c>
      <c r="D635" s="13" t="str">
        <f>HYPERLINK("https://www.marklines.com/en/global/10212","BMW Group Designworks Shanghai Studio")</f>
        <v>BMW Group Designworks Shanghai Studio</v>
      </c>
      <c r="E635" s="12" t="s">
        <v>1122</v>
      </c>
      <c r="F635" s="12" t="s">
        <v>20</v>
      </c>
      <c r="G635" s="12" t="s">
        <v>27</v>
      </c>
      <c r="H635" s="12" t="s">
        <v>314</v>
      </c>
      <c r="I635" s="14">
        <v>45240</v>
      </c>
      <c r="J635" s="12" t="s">
        <v>1123</v>
      </c>
    </row>
    <row r="636" spans="1:10" s="15" customFormat="1" x14ac:dyDescent="0.15">
      <c r="A636" s="11">
        <v>45245</v>
      </c>
      <c r="B636" s="12" t="s">
        <v>400</v>
      </c>
      <c r="C636" s="12" t="s">
        <v>1124</v>
      </c>
      <c r="D636" s="13" t="str">
        <f>HYPERLINK("https://www.marklines.com/en/global/10390","Zhejiang Geely Automobile Co., Ltd. Yuyao Plant ")</f>
        <v xml:space="preserve">Zhejiang Geely Automobile Co., Ltd. Yuyao Plant </v>
      </c>
      <c r="E636" s="12" t="s">
        <v>1125</v>
      </c>
      <c r="F636" s="12" t="s">
        <v>20</v>
      </c>
      <c r="G636" s="12" t="s">
        <v>27</v>
      </c>
      <c r="H636" s="12" t="s">
        <v>342</v>
      </c>
      <c r="I636" s="14">
        <v>45240</v>
      </c>
      <c r="J636" s="12" t="s">
        <v>1126</v>
      </c>
    </row>
    <row r="637" spans="1:10" s="15" customFormat="1" x14ac:dyDescent="0.15">
      <c r="A637" s="11">
        <v>45245</v>
      </c>
      <c r="B637" s="12" t="s">
        <v>400</v>
      </c>
      <c r="C637" s="12" t="s">
        <v>1124</v>
      </c>
      <c r="D637" s="13" t="str">
        <f>HYPERLINK("https://www.marklines.com/en/global/9522","Geely Auto Zhangjiakou Branch")</f>
        <v>Geely Auto Zhangjiakou Branch</v>
      </c>
      <c r="E637" s="12" t="s">
        <v>1127</v>
      </c>
      <c r="F637" s="12" t="s">
        <v>20</v>
      </c>
      <c r="G637" s="12" t="s">
        <v>27</v>
      </c>
      <c r="H637" s="12" t="s">
        <v>267</v>
      </c>
      <c r="I637" s="14">
        <v>45240</v>
      </c>
      <c r="J637" s="12" t="s">
        <v>1126</v>
      </c>
    </row>
    <row r="638" spans="1:10" s="15" customFormat="1" x14ac:dyDescent="0.15">
      <c r="A638" s="11">
        <v>45245</v>
      </c>
      <c r="B638" s="12" t="s">
        <v>400</v>
      </c>
      <c r="C638" s="12" t="s">
        <v>416</v>
      </c>
      <c r="D638" s="13" t="str">
        <f>HYPERLINK("https://www.marklines.com/en/global/9345","Geely Sichuan Commercial Vehicle Co., Ltd.")</f>
        <v>Geely Sichuan Commercial Vehicle Co., Ltd.</v>
      </c>
      <c r="E638" s="12" t="s">
        <v>493</v>
      </c>
      <c r="F638" s="12" t="s">
        <v>20</v>
      </c>
      <c r="G638" s="12" t="s">
        <v>27</v>
      </c>
      <c r="H638" s="12" t="s">
        <v>429</v>
      </c>
      <c r="I638" s="14">
        <v>45240</v>
      </c>
      <c r="J638" s="12" t="s">
        <v>1128</v>
      </c>
    </row>
    <row r="639" spans="1:10" s="15" customFormat="1" x14ac:dyDescent="0.15">
      <c r="A639" s="11">
        <v>45245</v>
      </c>
      <c r="B639" s="12" t="s">
        <v>495</v>
      </c>
      <c r="C639" s="12" t="s">
        <v>620</v>
      </c>
      <c r="D639" s="13" t="str">
        <f>HYPERLINK("https://www.marklines.com/en/global/4163","Chongqing Changan Automobile Co., Ltd.")</f>
        <v>Chongqing Changan Automobile Co., Ltd.</v>
      </c>
      <c r="E639" s="12" t="s">
        <v>560</v>
      </c>
      <c r="F639" s="12" t="s">
        <v>20</v>
      </c>
      <c r="G639" s="12" t="s">
        <v>27</v>
      </c>
      <c r="H639" s="12" t="s">
        <v>29</v>
      </c>
      <c r="I639" s="14">
        <v>45240</v>
      </c>
      <c r="J639" s="12" t="s">
        <v>1129</v>
      </c>
    </row>
    <row r="640" spans="1:10" s="15" customFormat="1" x14ac:dyDescent="0.15">
      <c r="A640" s="11">
        <v>45245</v>
      </c>
      <c r="B640" s="12" t="s">
        <v>43</v>
      </c>
      <c r="C640" s="12" t="s">
        <v>43</v>
      </c>
      <c r="D640" s="13" t="str">
        <f>HYPERLINK("https://www.marklines.com/en/global/10326","Hyundai Motor Group Innovation Center in Singapore (HMGICS)")</f>
        <v>Hyundai Motor Group Innovation Center in Singapore (HMGICS)</v>
      </c>
      <c r="E640" s="12" t="s">
        <v>1130</v>
      </c>
      <c r="F640" s="12" t="s">
        <v>34</v>
      </c>
      <c r="G640" s="12" t="s">
        <v>1131</v>
      </c>
      <c r="H640" s="12"/>
      <c r="I640" s="14">
        <v>45240</v>
      </c>
      <c r="J640" s="12" t="s">
        <v>1132</v>
      </c>
    </row>
    <row r="641" spans="1:10" s="15" customFormat="1" x14ac:dyDescent="0.15">
      <c r="A641" s="11">
        <v>45245</v>
      </c>
      <c r="B641" s="12" t="s">
        <v>33</v>
      </c>
      <c r="C641" s="12" t="s">
        <v>44</v>
      </c>
      <c r="D641" s="13" t="str">
        <f>HYPERLINK("https://www.marklines.com/en/global/1965","Volkswagen Navarra, S.A., Pamplona (Landaben) Plant")</f>
        <v>Volkswagen Navarra, S.A., Pamplona (Landaben) Plant</v>
      </c>
      <c r="E641" s="12" t="s">
        <v>384</v>
      </c>
      <c r="F641" s="12" t="s">
        <v>17</v>
      </c>
      <c r="G641" s="12" t="s">
        <v>62</v>
      </c>
      <c r="H641" s="12"/>
      <c r="I641" s="14">
        <v>45239</v>
      </c>
      <c r="J641" s="12" t="s">
        <v>1133</v>
      </c>
    </row>
    <row r="642" spans="1:10" s="15" customFormat="1" x14ac:dyDescent="0.15">
      <c r="A642" s="11">
        <v>45245</v>
      </c>
      <c r="B642" s="12" t="s">
        <v>33</v>
      </c>
      <c r="C642" s="12" t="s">
        <v>332</v>
      </c>
      <c r="D642" s="13" t="str">
        <f>HYPERLINK("https://www.marklines.com/en/global/1965","Volkswagen Navarra, S.A., Pamplona (Landaben) Plant")</f>
        <v>Volkswagen Navarra, S.A., Pamplona (Landaben) Plant</v>
      </c>
      <c r="E642" s="12" t="s">
        <v>384</v>
      </c>
      <c r="F642" s="12" t="s">
        <v>17</v>
      </c>
      <c r="G642" s="12" t="s">
        <v>62</v>
      </c>
      <c r="H642" s="12"/>
      <c r="I642" s="14">
        <v>45239</v>
      </c>
      <c r="J642" s="12" t="s">
        <v>1133</v>
      </c>
    </row>
    <row r="643" spans="1:10" s="15" customFormat="1" x14ac:dyDescent="0.15">
      <c r="A643" s="11">
        <v>45245</v>
      </c>
      <c r="B643" s="12" t="s">
        <v>33</v>
      </c>
      <c r="C643" s="12" t="s">
        <v>332</v>
      </c>
      <c r="D643" s="13" t="str">
        <f>HYPERLINK("https://www.marklines.com/en/global/1955","SEAT S.A., Martorell Plant")</f>
        <v>SEAT S.A., Martorell Plant</v>
      </c>
      <c r="E643" s="12" t="s">
        <v>1134</v>
      </c>
      <c r="F643" s="12" t="s">
        <v>17</v>
      </c>
      <c r="G643" s="12" t="s">
        <v>62</v>
      </c>
      <c r="H643" s="12"/>
      <c r="I643" s="14">
        <v>45239</v>
      </c>
      <c r="J643" s="12" t="s">
        <v>1133</v>
      </c>
    </row>
    <row r="644" spans="1:10" s="15" customFormat="1" x14ac:dyDescent="0.15">
      <c r="A644" s="11">
        <v>45245</v>
      </c>
      <c r="B644" s="12" t="s">
        <v>22</v>
      </c>
      <c r="C644" s="12" t="s">
        <v>22</v>
      </c>
      <c r="D644" s="13" t="str">
        <f>HYPERLINK("https://www.marklines.com/en/global/385","Toyota Motor, Myochi Plant")</f>
        <v>Toyota Motor, Myochi Plant</v>
      </c>
      <c r="E644" s="12" t="s">
        <v>1135</v>
      </c>
      <c r="F644" s="12" t="s">
        <v>20</v>
      </c>
      <c r="G644" s="12" t="s">
        <v>23</v>
      </c>
      <c r="H644" s="12" t="s">
        <v>61</v>
      </c>
      <c r="I644" s="14">
        <v>45239</v>
      </c>
      <c r="J644" s="12" t="s">
        <v>1136</v>
      </c>
    </row>
    <row r="645" spans="1:10" s="15" customFormat="1" x14ac:dyDescent="0.15">
      <c r="A645" s="11">
        <v>45245</v>
      </c>
      <c r="B645" s="12" t="s">
        <v>22</v>
      </c>
      <c r="C645" s="12" t="s">
        <v>22</v>
      </c>
      <c r="D645" s="13" t="str">
        <f>HYPERLINK("https://www.marklines.com/en/global/10435","Toyota Industries, Kyowa Plant")</f>
        <v>Toyota Industries, Kyowa Plant</v>
      </c>
      <c r="E645" s="12" t="s">
        <v>1137</v>
      </c>
      <c r="F645" s="12" t="s">
        <v>20</v>
      </c>
      <c r="G645" s="12" t="s">
        <v>23</v>
      </c>
      <c r="H645" s="12" t="s">
        <v>61</v>
      </c>
      <c r="I645" s="14">
        <v>45239</v>
      </c>
      <c r="J645" s="12" t="s">
        <v>1138</v>
      </c>
    </row>
    <row r="646" spans="1:10" s="15" customFormat="1" x14ac:dyDescent="0.15">
      <c r="A646" s="11">
        <v>45245</v>
      </c>
      <c r="B646" s="12" t="s">
        <v>22</v>
      </c>
      <c r="C646" s="12" t="s">
        <v>22</v>
      </c>
      <c r="D646" s="13" t="str">
        <f>HYPERLINK("https://www.marklines.com/en/global/10436","Toyota Industries, Ishihama Plant")</f>
        <v>Toyota Industries, Ishihama Plant</v>
      </c>
      <c r="E646" s="12" t="s">
        <v>1139</v>
      </c>
      <c r="F646" s="12" t="s">
        <v>20</v>
      </c>
      <c r="G646" s="12" t="s">
        <v>23</v>
      </c>
      <c r="H646" s="12" t="s">
        <v>61</v>
      </c>
      <c r="I646" s="14">
        <v>45239</v>
      </c>
      <c r="J646" s="12" t="s">
        <v>1138</v>
      </c>
    </row>
    <row r="647" spans="1:10" s="15" customFormat="1" x14ac:dyDescent="0.15">
      <c r="A647" s="11">
        <v>45245</v>
      </c>
      <c r="B647" s="12" t="s">
        <v>22</v>
      </c>
      <c r="C647" s="12" t="s">
        <v>673</v>
      </c>
      <c r="D647" s="13" t="str">
        <f>HYPERLINK("https://www.marklines.com/en/global/424","Toyota Motor East Japan, Iwate Plant")</f>
        <v>Toyota Motor East Japan, Iwate Plant</v>
      </c>
      <c r="E647" s="12" t="s">
        <v>670</v>
      </c>
      <c r="F647" s="12" t="s">
        <v>20</v>
      </c>
      <c r="G647" s="12" t="s">
        <v>23</v>
      </c>
      <c r="H647" s="12" t="s">
        <v>671</v>
      </c>
      <c r="I647" s="14">
        <v>45239</v>
      </c>
      <c r="J647" s="12" t="s">
        <v>1138</v>
      </c>
    </row>
    <row r="648" spans="1:10" s="15" customFormat="1" x14ac:dyDescent="0.15">
      <c r="A648" s="11">
        <v>45245</v>
      </c>
      <c r="B648" s="12" t="s">
        <v>35</v>
      </c>
      <c r="C648" s="12" t="s">
        <v>35</v>
      </c>
      <c r="D648" s="13" t="str">
        <f>HYPERLINK("https://www.marklines.com/en/global/495","Suzuki Motor, Kosai Plant")</f>
        <v>Suzuki Motor, Kosai Plant</v>
      </c>
      <c r="E648" s="12" t="s">
        <v>1140</v>
      </c>
      <c r="F648" s="12" t="s">
        <v>20</v>
      </c>
      <c r="G648" s="12" t="s">
        <v>23</v>
      </c>
      <c r="H648" s="12" t="s">
        <v>1141</v>
      </c>
      <c r="I648" s="14">
        <v>45239</v>
      </c>
      <c r="J648" s="12" t="s">
        <v>1142</v>
      </c>
    </row>
    <row r="649" spans="1:10" s="15" customFormat="1" x14ac:dyDescent="0.15">
      <c r="A649" s="11">
        <v>45245</v>
      </c>
      <c r="B649" s="12" t="s">
        <v>567</v>
      </c>
      <c r="C649" s="12" t="s">
        <v>567</v>
      </c>
      <c r="D649" s="13" t="str">
        <f>HYPERLINK("https://www.marklines.com/en/global/505","Mazda Motor, Hofu Plant")</f>
        <v>Mazda Motor, Hofu Plant</v>
      </c>
      <c r="E649" s="12" t="s">
        <v>1143</v>
      </c>
      <c r="F649" s="12" t="s">
        <v>20</v>
      </c>
      <c r="G649" s="12" t="s">
        <v>23</v>
      </c>
      <c r="H649" s="12" t="s">
        <v>1144</v>
      </c>
      <c r="I649" s="14">
        <v>45237</v>
      </c>
      <c r="J649" s="12" t="s">
        <v>1145</v>
      </c>
    </row>
    <row r="650" spans="1:10" s="15" customFormat="1" x14ac:dyDescent="0.15">
      <c r="A650" s="11">
        <v>45245</v>
      </c>
      <c r="B650" s="12" t="s">
        <v>56</v>
      </c>
      <c r="C650" s="12" t="s">
        <v>56</v>
      </c>
      <c r="D650" s="13" t="str">
        <f>HYPERLINK("https://www.marklines.com/en/global/10403","AESC Japan Ltd., Zama plant")</f>
        <v>AESC Japan Ltd., Zama plant</v>
      </c>
      <c r="E650" s="12" t="s">
        <v>214</v>
      </c>
      <c r="F650" s="12" t="s">
        <v>20</v>
      </c>
      <c r="G650" s="12" t="s">
        <v>23</v>
      </c>
      <c r="H650" s="12" t="s">
        <v>64</v>
      </c>
      <c r="I650" s="14">
        <v>45236</v>
      </c>
      <c r="J650" s="12" t="s">
        <v>1146</v>
      </c>
    </row>
    <row r="651" spans="1:10" s="15" customFormat="1" x14ac:dyDescent="0.15">
      <c r="A651" s="11">
        <v>45245</v>
      </c>
      <c r="B651" s="12" t="s">
        <v>13</v>
      </c>
      <c r="C651" s="12" t="s">
        <v>1147</v>
      </c>
      <c r="D651" s="13" t="str">
        <f>HYPERLINK("https://www.marklines.com/en/global/8664","Master Transportation Bus Manufacturing Ltd., Pingtung Plant")</f>
        <v>Master Transportation Bus Manufacturing Ltd., Pingtung Plant</v>
      </c>
      <c r="E651" s="12" t="s">
        <v>1148</v>
      </c>
      <c r="F651" s="12" t="s">
        <v>20</v>
      </c>
      <c r="G651" s="12" t="s">
        <v>115</v>
      </c>
      <c r="H651" s="12"/>
      <c r="I651" s="14">
        <v>45231</v>
      </c>
      <c r="J651" s="12" t="s">
        <v>1149</v>
      </c>
    </row>
    <row r="652" spans="1:10" s="15" customFormat="1" x14ac:dyDescent="0.15">
      <c r="A652" s="11">
        <v>45244</v>
      </c>
      <c r="B652" s="12" t="s">
        <v>43</v>
      </c>
      <c r="C652" s="12" t="s">
        <v>43</v>
      </c>
      <c r="D652" s="13" t="str">
        <f>HYPERLINK("https://www.marklines.com/en/global/2435","Hyundai Motor, Ulsan Plant")</f>
        <v>Hyundai Motor, Ulsan Plant</v>
      </c>
      <c r="E652" s="12" t="s">
        <v>1150</v>
      </c>
      <c r="F652" s="12" t="s">
        <v>20</v>
      </c>
      <c r="G652" s="12" t="s">
        <v>79</v>
      </c>
      <c r="H652" s="12"/>
      <c r="I652" s="14">
        <v>45243</v>
      </c>
      <c r="J652" s="12" t="s">
        <v>1151</v>
      </c>
    </row>
    <row r="653" spans="1:10" s="15" customFormat="1" x14ac:dyDescent="0.15">
      <c r="A653" s="11">
        <v>45244</v>
      </c>
      <c r="B653" s="12" t="s">
        <v>33</v>
      </c>
      <c r="C653" s="12" t="s">
        <v>44</v>
      </c>
      <c r="D653" s="13" t="str">
        <f>HYPERLINK("https://www.marklines.com/en/global/2267","Volkswagen AG, Emden Plant")</f>
        <v>Volkswagen AG, Emden Plant</v>
      </c>
      <c r="E653" s="12" t="s">
        <v>936</v>
      </c>
      <c r="F653" s="12" t="s">
        <v>17</v>
      </c>
      <c r="G653" s="12" t="s">
        <v>21</v>
      </c>
      <c r="H653" s="12"/>
      <c r="I653" s="14">
        <v>45243</v>
      </c>
      <c r="J653" s="12" t="s">
        <v>1152</v>
      </c>
    </row>
    <row r="654" spans="1:10" s="15" customFormat="1" x14ac:dyDescent="0.15">
      <c r="A654" s="11">
        <v>45244</v>
      </c>
      <c r="B654" s="12" t="s">
        <v>1153</v>
      </c>
      <c r="C654" s="12" t="s">
        <v>1153</v>
      </c>
      <c r="D654" s="13" t="str">
        <f>HYPERLINK("https://www.marklines.com/en/global/10687","Canoo, Oklahoma City Vehicle Manufacturing Facility (tentative name)")</f>
        <v>Canoo, Oklahoma City Vehicle Manufacturing Facility (tentative name)</v>
      </c>
      <c r="E654" s="12" t="s">
        <v>1154</v>
      </c>
      <c r="F654" s="12" t="s">
        <v>16</v>
      </c>
      <c r="G654" s="12" t="s">
        <v>11</v>
      </c>
      <c r="H654" s="12" t="s">
        <v>1155</v>
      </c>
      <c r="I654" s="14">
        <v>45243</v>
      </c>
      <c r="J654" s="12" t="s">
        <v>1156</v>
      </c>
    </row>
    <row r="655" spans="1:10" s="15" customFormat="1" x14ac:dyDescent="0.15">
      <c r="A655" s="11">
        <v>45244</v>
      </c>
      <c r="B655" s="12" t="s">
        <v>1153</v>
      </c>
      <c r="C655" s="12" t="s">
        <v>1153</v>
      </c>
      <c r="D655" s="13" t="str">
        <f>HYPERLINK("https://www.marklines.com/en/global/10491","Canoo, Pryor Assembly Plant")</f>
        <v>Canoo, Pryor Assembly Plant</v>
      </c>
      <c r="E655" s="12" t="s">
        <v>1157</v>
      </c>
      <c r="F655" s="12" t="s">
        <v>16</v>
      </c>
      <c r="G655" s="12" t="s">
        <v>11</v>
      </c>
      <c r="H655" s="12" t="s">
        <v>1155</v>
      </c>
      <c r="I655" s="14">
        <v>45243</v>
      </c>
      <c r="J655" s="12" t="s">
        <v>1156</v>
      </c>
    </row>
    <row r="656" spans="1:10" s="15" customFormat="1" x14ac:dyDescent="0.15">
      <c r="A656" s="11">
        <v>45244</v>
      </c>
      <c r="B656" s="12" t="s">
        <v>83</v>
      </c>
      <c r="C656" s="12" t="s">
        <v>83</v>
      </c>
      <c r="D656" s="13" t="str">
        <f>HYPERLINK("https://www.marklines.com/en/global/10471","Proterra, Los Angeles electric bus manufacturing facility ")</f>
        <v xml:space="preserve">Proterra, Los Angeles electric bus manufacturing facility </v>
      </c>
      <c r="E656" s="12" t="s">
        <v>1158</v>
      </c>
      <c r="F656" s="12" t="s">
        <v>16</v>
      </c>
      <c r="G656" s="12" t="s">
        <v>11</v>
      </c>
      <c r="H656" s="12" t="s">
        <v>248</v>
      </c>
      <c r="I656" s="14">
        <v>45240</v>
      </c>
      <c r="J656" s="12" t="s">
        <v>1159</v>
      </c>
    </row>
    <row r="657" spans="1:10" s="15" customFormat="1" x14ac:dyDescent="0.15">
      <c r="A657" s="11">
        <v>45244</v>
      </c>
      <c r="B657" s="12" t="s">
        <v>83</v>
      </c>
      <c r="C657" s="12" t="s">
        <v>83</v>
      </c>
      <c r="D657" s="13" t="str">
        <f>HYPERLINK("https://www.marklines.com/en/global/10462","Proterra, Greenville electric bus manufacturing facility ")</f>
        <v xml:space="preserve">Proterra, Greenville electric bus manufacturing facility </v>
      </c>
      <c r="E657" s="12" t="s">
        <v>1160</v>
      </c>
      <c r="F657" s="12" t="s">
        <v>16</v>
      </c>
      <c r="G657" s="12" t="s">
        <v>11</v>
      </c>
      <c r="H657" s="12" t="s">
        <v>306</v>
      </c>
      <c r="I657" s="14">
        <v>45240</v>
      </c>
      <c r="J657" s="12" t="s">
        <v>1159</v>
      </c>
    </row>
    <row r="658" spans="1:10" s="15" customFormat="1" x14ac:dyDescent="0.15">
      <c r="A658" s="11">
        <v>45244</v>
      </c>
      <c r="B658" s="12" t="s">
        <v>13</v>
      </c>
      <c r="C658" s="12" t="s">
        <v>1161</v>
      </c>
      <c r="D658" s="13" t="str">
        <f>HYPERLINK("https://www.marklines.com/en/global/10471","Proterra, Los Angeles electric bus manufacturing facility ")</f>
        <v xml:space="preserve">Proterra, Los Angeles electric bus manufacturing facility </v>
      </c>
      <c r="E658" s="12" t="s">
        <v>1158</v>
      </c>
      <c r="F658" s="12" t="s">
        <v>16</v>
      </c>
      <c r="G658" s="12" t="s">
        <v>11</v>
      </c>
      <c r="H658" s="12" t="s">
        <v>248</v>
      </c>
      <c r="I658" s="14">
        <v>45240</v>
      </c>
      <c r="J658" s="12" t="s">
        <v>1159</v>
      </c>
    </row>
    <row r="659" spans="1:10" s="15" customFormat="1" x14ac:dyDescent="0.15">
      <c r="A659" s="11">
        <v>45244</v>
      </c>
      <c r="B659" s="12" t="s">
        <v>13</v>
      </c>
      <c r="C659" s="12" t="s">
        <v>1161</v>
      </c>
      <c r="D659" s="13" t="str">
        <f>HYPERLINK("https://www.marklines.com/en/global/10462","Proterra, Greenville electric bus manufacturing facility ")</f>
        <v xml:space="preserve">Proterra, Greenville electric bus manufacturing facility </v>
      </c>
      <c r="E659" s="12" t="s">
        <v>1160</v>
      </c>
      <c r="F659" s="12" t="s">
        <v>16</v>
      </c>
      <c r="G659" s="12" t="s">
        <v>11</v>
      </c>
      <c r="H659" s="12" t="s">
        <v>306</v>
      </c>
      <c r="I659" s="14">
        <v>45240</v>
      </c>
      <c r="J659" s="12" t="s">
        <v>1159</v>
      </c>
    </row>
    <row r="660" spans="1:10" s="15" customFormat="1" x14ac:dyDescent="0.15">
      <c r="A660" s="11">
        <v>45244</v>
      </c>
      <c r="B660" s="12" t="s">
        <v>400</v>
      </c>
      <c r="C660" s="12" t="s">
        <v>946</v>
      </c>
      <c r="D660" s="13" t="str">
        <f>HYPERLINK("https://www.marklines.com/en/global/10387","Zeekr Automobile (Ningbo Hangzhou Bay New Zone) Co., Ltd. (formerly Ningbo Zeekr Intelligent Technology Co., Ltd.")</f>
        <v>Zeekr Automobile (Ningbo Hangzhou Bay New Zone) Co., Ltd. (formerly Ningbo Zeekr Intelligent Technology Co., Ltd.</v>
      </c>
      <c r="E660" s="12" t="s">
        <v>901</v>
      </c>
      <c r="F660" s="12" t="s">
        <v>20</v>
      </c>
      <c r="G660" s="12" t="s">
        <v>27</v>
      </c>
      <c r="H660" s="12" t="s">
        <v>342</v>
      </c>
      <c r="I660" s="14">
        <v>45240</v>
      </c>
      <c r="J660" s="12" t="s">
        <v>1162</v>
      </c>
    </row>
    <row r="661" spans="1:10" s="15" customFormat="1" x14ac:dyDescent="0.15">
      <c r="A661" s="11">
        <v>45244</v>
      </c>
      <c r="B661" s="12" t="s">
        <v>495</v>
      </c>
      <c r="C661" s="12" t="s">
        <v>495</v>
      </c>
      <c r="D661" s="13" t="str">
        <f>HYPERLINK("https://www.marklines.com/en/global/10769","Changan Auto Southeast Asia Co., Ltd., Rayong Plant")</f>
        <v>Changan Auto Southeast Asia Co., Ltd., Rayong Plant</v>
      </c>
      <c r="E661" s="12" t="s">
        <v>978</v>
      </c>
      <c r="F661" s="12" t="s">
        <v>34</v>
      </c>
      <c r="G661" s="12" t="s">
        <v>71</v>
      </c>
      <c r="H661" s="12" t="s">
        <v>72</v>
      </c>
      <c r="I661" s="14">
        <v>45239</v>
      </c>
      <c r="J661" s="12" t="s">
        <v>1163</v>
      </c>
    </row>
    <row r="662" spans="1:10" s="15" customFormat="1" x14ac:dyDescent="0.15">
      <c r="A662" s="11">
        <v>45244</v>
      </c>
      <c r="B662" s="12" t="s">
        <v>437</v>
      </c>
      <c r="C662" s="12" t="s">
        <v>437</v>
      </c>
      <c r="D662" s="13" t="str">
        <f>HYPERLINK("https://www.marklines.com/en/global/3879","Chery Automobile Co., Ltd. ")</f>
        <v xml:space="preserve">Chery Automobile Co., Ltd. </v>
      </c>
      <c r="E662" s="12" t="s">
        <v>848</v>
      </c>
      <c r="F662" s="12" t="s">
        <v>20</v>
      </c>
      <c r="G662" s="12" t="s">
        <v>27</v>
      </c>
      <c r="H662" s="12" t="s">
        <v>303</v>
      </c>
      <c r="I662" s="14">
        <v>45239</v>
      </c>
      <c r="J662" s="12" t="s">
        <v>1164</v>
      </c>
    </row>
    <row r="663" spans="1:10" s="15" customFormat="1" x14ac:dyDescent="0.15">
      <c r="A663" s="11">
        <v>45244</v>
      </c>
      <c r="B663" s="12" t="s">
        <v>437</v>
      </c>
      <c r="C663" s="12" t="s">
        <v>437</v>
      </c>
      <c r="D663" s="13" t="str">
        <f>HYPERLINK("https://www.marklines.com/en/global/3879","Chery Automobile Co., Ltd. ")</f>
        <v xml:space="preserve">Chery Automobile Co., Ltd. </v>
      </c>
      <c r="E663" s="12" t="s">
        <v>848</v>
      </c>
      <c r="F663" s="12" t="s">
        <v>20</v>
      </c>
      <c r="G663" s="12" t="s">
        <v>27</v>
      </c>
      <c r="H663" s="12" t="s">
        <v>303</v>
      </c>
      <c r="I663" s="14">
        <v>45239</v>
      </c>
      <c r="J663" s="12" t="s">
        <v>1165</v>
      </c>
    </row>
    <row r="664" spans="1:10" s="15" customFormat="1" x14ac:dyDescent="0.15">
      <c r="A664" s="11">
        <v>45244</v>
      </c>
      <c r="B664" s="12" t="s">
        <v>551</v>
      </c>
      <c r="C664" s="12" t="s">
        <v>551</v>
      </c>
      <c r="D664" s="13" t="str">
        <f>HYPERLINK("https://www.marklines.com/en/global/4003","Dongfeng Automobile Co., Ltd., Light Commercial Vehicle Branch")</f>
        <v>Dongfeng Automobile Co., Ltd., Light Commercial Vehicle Branch</v>
      </c>
      <c r="E664" s="12" t="s">
        <v>1166</v>
      </c>
      <c r="F664" s="12" t="s">
        <v>20</v>
      </c>
      <c r="G664" s="12" t="s">
        <v>27</v>
      </c>
      <c r="H664" s="12" t="s">
        <v>554</v>
      </c>
      <c r="I664" s="14">
        <v>45238</v>
      </c>
      <c r="J664" s="12" t="s">
        <v>1167</v>
      </c>
    </row>
    <row r="665" spans="1:10" s="15" customFormat="1" x14ac:dyDescent="0.15">
      <c r="A665" s="11">
        <v>45244</v>
      </c>
      <c r="B665" s="12" t="s">
        <v>22</v>
      </c>
      <c r="C665" s="12" t="s">
        <v>22</v>
      </c>
      <c r="D665" s="13" t="str">
        <f>HYPERLINK("https://www.marklines.com/en/global/10034","Toyota Daihatsu Engineering &amp; Manufacturing Co., Ltd. (TDEM) (Samut Prakan)")</f>
        <v>Toyota Daihatsu Engineering &amp; Manufacturing Co., Ltd. (TDEM) (Samut Prakan)</v>
      </c>
      <c r="E665" s="12" t="s">
        <v>1168</v>
      </c>
      <c r="F665" s="12" t="s">
        <v>34</v>
      </c>
      <c r="G665" s="12" t="s">
        <v>71</v>
      </c>
      <c r="H665" s="12" t="s">
        <v>397</v>
      </c>
      <c r="I665" s="14">
        <v>45232</v>
      </c>
      <c r="J665" s="12" t="s">
        <v>1169</v>
      </c>
    </row>
    <row r="666" spans="1:10" s="15" customFormat="1" x14ac:dyDescent="0.15">
      <c r="A666" s="11">
        <v>45244</v>
      </c>
      <c r="B666" s="12" t="s">
        <v>41</v>
      </c>
      <c r="C666" s="12" t="s">
        <v>42</v>
      </c>
      <c r="D666" s="13" t="str">
        <f>HYPERLINK("https://www.marklines.com/en/global/933","Hicom Automotive Manufacturers (Malaysia) Sdn. Bhd., Pekan Plant II")</f>
        <v>Hicom Automotive Manufacturers (Malaysia) Sdn. Bhd., Pekan Plant II</v>
      </c>
      <c r="E666" s="12" t="s">
        <v>1170</v>
      </c>
      <c r="F666" s="12" t="s">
        <v>34</v>
      </c>
      <c r="G666" s="12" t="s">
        <v>538</v>
      </c>
      <c r="H666" s="12"/>
      <c r="I666" s="14">
        <v>45231</v>
      </c>
      <c r="J666" s="12" t="s">
        <v>1171</v>
      </c>
    </row>
    <row r="667" spans="1:10" s="15" customFormat="1" x14ac:dyDescent="0.15">
      <c r="A667" s="11">
        <v>45244</v>
      </c>
      <c r="B667" s="12" t="s">
        <v>43</v>
      </c>
      <c r="C667" s="12" t="s">
        <v>43</v>
      </c>
      <c r="D667" s="13" t="str">
        <f>HYPERLINK("https://www.marklines.com/en/global/10740","PT Hyundai Energy Indonesia (HEI), Bekasi Plant")</f>
        <v>PT Hyundai Energy Indonesia (HEI), Bekasi Plant</v>
      </c>
      <c r="E667" s="12" t="s">
        <v>1172</v>
      </c>
      <c r="F667" s="12" t="s">
        <v>34</v>
      </c>
      <c r="G667" s="12" t="s">
        <v>87</v>
      </c>
      <c r="H667" s="12"/>
      <c r="I667" s="14">
        <v>45230</v>
      </c>
      <c r="J667" s="12" t="s">
        <v>1173</v>
      </c>
    </row>
    <row r="668" spans="1:10" s="15" customFormat="1" x14ac:dyDescent="0.15">
      <c r="A668" s="11">
        <v>45244</v>
      </c>
      <c r="B668" s="12" t="s">
        <v>43</v>
      </c>
      <c r="C668" s="12" t="s">
        <v>43</v>
      </c>
      <c r="D668" s="13" t="str">
        <f>HYPERLINK("https://www.marklines.com/en/global/9975","PT. Hyundai Motor Manufacturing Indonesia (HMMI), Cikarang Plant")</f>
        <v>PT. Hyundai Motor Manufacturing Indonesia (HMMI), Cikarang Plant</v>
      </c>
      <c r="E668" s="12" t="s">
        <v>1174</v>
      </c>
      <c r="F668" s="12" t="s">
        <v>34</v>
      </c>
      <c r="G668" s="12" t="s">
        <v>87</v>
      </c>
      <c r="H668" s="12"/>
      <c r="I668" s="14">
        <v>45230</v>
      </c>
      <c r="J668" s="12" t="s">
        <v>1173</v>
      </c>
    </row>
    <row r="669" spans="1:10" s="15" customFormat="1" x14ac:dyDescent="0.15">
      <c r="A669" s="11">
        <v>45244</v>
      </c>
      <c r="B669" s="12" t="s">
        <v>43</v>
      </c>
      <c r="C669" s="12" t="s">
        <v>43</v>
      </c>
      <c r="D669" s="13" t="str">
        <f>HYPERLINK("https://www.marklines.com/en/global/10428","PT HLI Green Power, Karawang plant ")</f>
        <v xml:space="preserve">PT HLI Green Power, Karawang plant </v>
      </c>
      <c r="E669" s="12" t="s">
        <v>1175</v>
      </c>
      <c r="F669" s="12" t="s">
        <v>34</v>
      </c>
      <c r="G669" s="12" t="s">
        <v>87</v>
      </c>
      <c r="H669" s="12"/>
      <c r="I669" s="14">
        <v>45230</v>
      </c>
      <c r="J669" s="12" t="s">
        <v>1173</v>
      </c>
    </row>
    <row r="670" spans="1:10" s="15" customFormat="1" x14ac:dyDescent="0.15">
      <c r="A670" s="11">
        <v>45243</v>
      </c>
      <c r="B670" s="12" t="s">
        <v>22</v>
      </c>
      <c r="C670" s="12" t="s">
        <v>22</v>
      </c>
      <c r="D670" s="13" t="str">
        <f>HYPERLINK("https://www.marklines.com/en/global/3493","FAW Toyota Motor Co., Ltd. (formerly Tianjin FAW Toyota Motor Co., Ltd.)")</f>
        <v>FAW Toyota Motor Co., Ltd. (formerly Tianjin FAW Toyota Motor Co., Ltd.)</v>
      </c>
      <c r="E670" s="12" t="s">
        <v>1176</v>
      </c>
      <c r="F670" s="12" t="s">
        <v>20</v>
      </c>
      <c r="G670" s="12" t="s">
        <v>27</v>
      </c>
      <c r="H670" s="12" t="s">
        <v>1177</v>
      </c>
      <c r="I670" s="14">
        <v>45239</v>
      </c>
      <c r="J670" s="12" t="s">
        <v>1178</v>
      </c>
    </row>
    <row r="671" spans="1:10" s="15" customFormat="1" x14ac:dyDescent="0.15">
      <c r="A671" s="11">
        <v>45243</v>
      </c>
      <c r="B671" s="12" t="s">
        <v>1179</v>
      </c>
      <c r="C671" s="12" t="s">
        <v>1179</v>
      </c>
      <c r="D671" s="13" t="str">
        <f>HYPERLINK("https://www.marklines.com/en/global/9514","Chengdu Dayun Automobile Co., Ltd Yuncheng Branch")</f>
        <v>Chengdu Dayun Automobile Co., Ltd Yuncheng Branch</v>
      </c>
      <c r="E671" s="12" t="s">
        <v>1180</v>
      </c>
      <c r="F671" s="12" t="s">
        <v>20</v>
      </c>
      <c r="G671" s="12" t="s">
        <v>27</v>
      </c>
      <c r="H671" s="12" t="s">
        <v>1181</v>
      </c>
      <c r="I671" s="14">
        <v>45239</v>
      </c>
      <c r="J671" s="12" t="s">
        <v>1182</v>
      </c>
    </row>
    <row r="672" spans="1:10" s="15" customFormat="1" x14ac:dyDescent="0.15">
      <c r="A672" s="11">
        <v>45243</v>
      </c>
      <c r="B672" s="12" t="s">
        <v>12</v>
      </c>
      <c r="C672" s="12" t="s">
        <v>19</v>
      </c>
      <c r="D672" s="13" t="str">
        <f>HYPERLINK("https://www.marklines.com/en/global/2847","General Motors Brazil, Sao Jose dos Campos Plant")</f>
        <v>General Motors Brazil, Sao Jose dos Campos Plant</v>
      </c>
      <c r="E672" s="12" t="s">
        <v>740</v>
      </c>
      <c r="F672" s="12" t="s">
        <v>425</v>
      </c>
      <c r="G672" s="12" t="s">
        <v>426</v>
      </c>
      <c r="H672" s="12"/>
      <c r="I672" s="14">
        <v>45238</v>
      </c>
      <c r="J672" s="12" t="s">
        <v>1183</v>
      </c>
    </row>
    <row r="673" spans="1:10" s="15" customFormat="1" x14ac:dyDescent="0.15">
      <c r="A673" s="11">
        <v>45243</v>
      </c>
      <c r="B673" s="12" t="s">
        <v>12</v>
      </c>
      <c r="C673" s="12" t="s">
        <v>19</v>
      </c>
      <c r="D673" s="13" t="str">
        <f>HYPERLINK("https://www.marklines.com/en/global/2845","General Motors Brazil, Sao Caetano do Sul Plant")</f>
        <v>General Motors Brazil, Sao Caetano do Sul Plant</v>
      </c>
      <c r="E673" s="12" t="s">
        <v>742</v>
      </c>
      <c r="F673" s="12" t="s">
        <v>425</v>
      </c>
      <c r="G673" s="12" t="s">
        <v>426</v>
      </c>
      <c r="H673" s="12"/>
      <c r="I673" s="14">
        <v>45238</v>
      </c>
      <c r="J673" s="12" t="s">
        <v>1183</v>
      </c>
    </row>
    <row r="674" spans="1:10" s="15" customFormat="1" x14ac:dyDescent="0.15">
      <c r="A674" s="11">
        <v>45243</v>
      </c>
      <c r="B674" s="12" t="s">
        <v>12</v>
      </c>
      <c r="C674" s="12" t="s">
        <v>19</v>
      </c>
      <c r="D674" s="13" t="str">
        <f>HYPERLINK("https://www.marklines.com/en/global/2851","General Motors Brazil, Mogi das Cruzes Plant")</f>
        <v>General Motors Brazil, Mogi das Cruzes Plant</v>
      </c>
      <c r="E674" s="12" t="s">
        <v>743</v>
      </c>
      <c r="F674" s="12" t="s">
        <v>425</v>
      </c>
      <c r="G674" s="12" t="s">
        <v>426</v>
      </c>
      <c r="H674" s="12"/>
      <c r="I674" s="14">
        <v>45238</v>
      </c>
      <c r="J674" s="12" t="s">
        <v>1183</v>
      </c>
    </row>
    <row r="675" spans="1:10" s="15" customFormat="1" x14ac:dyDescent="0.15">
      <c r="A675" s="11">
        <v>45243</v>
      </c>
      <c r="B675" s="12" t="s">
        <v>12</v>
      </c>
      <c r="C675" s="12" t="s">
        <v>12</v>
      </c>
      <c r="D675" s="13" t="str">
        <f>HYPERLINK("https://www.marklines.com/en/global/3621","SAIC General Motors Co., Ltd. (SAIC-GM)")</f>
        <v>SAIC General Motors Co., Ltd. (SAIC-GM)</v>
      </c>
      <c r="E675" s="12" t="s">
        <v>1184</v>
      </c>
      <c r="F675" s="12" t="s">
        <v>20</v>
      </c>
      <c r="G675" s="12" t="s">
        <v>27</v>
      </c>
      <c r="H675" s="12" t="s">
        <v>314</v>
      </c>
      <c r="I675" s="14">
        <v>45238</v>
      </c>
      <c r="J675" s="12" t="s">
        <v>1185</v>
      </c>
    </row>
    <row r="676" spans="1:10" s="15" customFormat="1" x14ac:dyDescent="0.15">
      <c r="A676" s="11">
        <v>45243</v>
      </c>
      <c r="B676" s="12" t="s">
        <v>408</v>
      </c>
      <c r="C676" s="12" t="s">
        <v>408</v>
      </c>
      <c r="D676" s="13" t="str">
        <f>HYPERLINK("https://www.marklines.com/en/global/3621","SAIC General Motors Co., Ltd. (SAIC-GM)")</f>
        <v>SAIC General Motors Co., Ltd. (SAIC-GM)</v>
      </c>
      <c r="E676" s="12" t="s">
        <v>1184</v>
      </c>
      <c r="F676" s="12" t="s">
        <v>20</v>
      </c>
      <c r="G676" s="12" t="s">
        <v>27</v>
      </c>
      <c r="H676" s="12" t="s">
        <v>314</v>
      </c>
      <c r="I676" s="14">
        <v>45238</v>
      </c>
      <c r="J676" s="12" t="s">
        <v>1185</v>
      </c>
    </row>
    <row r="677" spans="1:10" s="15" customFormat="1" x14ac:dyDescent="0.15">
      <c r="A677" s="11">
        <v>45243</v>
      </c>
      <c r="B677" s="12" t="s">
        <v>45</v>
      </c>
      <c r="C677" s="12" t="s">
        <v>120</v>
      </c>
      <c r="D677" s="13" t="str">
        <f>HYPERLINK("https://www.marklines.com/en/global/2253","Stellantis, Opel Automobile GmbH, Eisenach Plant (Former Adam Opel AG, Eisenach Plant)")</f>
        <v>Stellantis, Opel Automobile GmbH, Eisenach Plant (Former Adam Opel AG, Eisenach Plant)</v>
      </c>
      <c r="E677" s="12" t="s">
        <v>1186</v>
      </c>
      <c r="F677" s="12" t="s">
        <v>17</v>
      </c>
      <c r="G677" s="12" t="s">
        <v>21</v>
      </c>
      <c r="H677" s="12"/>
      <c r="I677" s="14">
        <v>45238</v>
      </c>
      <c r="J677" s="12" t="s">
        <v>1187</v>
      </c>
    </row>
    <row r="678" spans="1:10" s="15" customFormat="1" x14ac:dyDescent="0.15">
      <c r="A678" s="11">
        <v>45243</v>
      </c>
      <c r="B678" s="12" t="s">
        <v>45</v>
      </c>
      <c r="C678" s="12" t="s">
        <v>120</v>
      </c>
      <c r="D678" s="13" t="str">
        <f>HYPERLINK("https://www.marklines.com/en/global/1931","Stellantis, Opel Espana de Automoviles, S.A., Zaragoza (Figueruelas) Plant")</f>
        <v>Stellantis, Opel Espana de Automoviles, S.A., Zaragoza (Figueruelas) Plant</v>
      </c>
      <c r="E678" s="12" t="s">
        <v>284</v>
      </c>
      <c r="F678" s="12" t="s">
        <v>17</v>
      </c>
      <c r="G678" s="12" t="s">
        <v>62</v>
      </c>
      <c r="H678" s="12"/>
      <c r="I678" s="14">
        <v>45238</v>
      </c>
      <c r="J678" s="12" t="s">
        <v>1187</v>
      </c>
    </row>
    <row r="679" spans="1:10" s="15" customFormat="1" x14ac:dyDescent="0.15">
      <c r="A679" s="11">
        <v>45243</v>
      </c>
      <c r="B679" s="12" t="s">
        <v>408</v>
      </c>
      <c r="C679" s="12" t="s">
        <v>408</v>
      </c>
      <c r="D679" s="13" t="str">
        <f>HYPERLINK("https://www.marklines.com/en/global/9481","SAIC Motor Corporation Limited Passenger Vehicle Zhengzhou Branch")</f>
        <v>SAIC Motor Corporation Limited Passenger Vehicle Zhengzhou Branch</v>
      </c>
      <c r="E679" s="12" t="s">
        <v>813</v>
      </c>
      <c r="F679" s="12" t="s">
        <v>20</v>
      </c>
      <c r="G679" s="12" t="s">
        <v>27</v>
      </c>
      <c r="H679" s="12" t="s">
        <v>404</v>
      </c>
      <c r="I679" s="14">
        <v>45238</v>
      </c>
      <c r="J679" s="12" t="s">
        <v>1188</v>
      </c>
    </row>
    <row r="680" spans="1:10" s="15" customFormat="1" x14ac:dyDescent="0.15">
      <c r="A680" s="11">
        <v>45243</v>
      </c>
      <c r="B680" s="12" t="s">
        <v>36</v>
      </c>
      <c r="C680" s="12" t="s">
        <v>36</v>
      </c>
      <c r="D680" s="13" t="str">
        <f>HYPERLINK("https://www.marklines.com/en/global/3533","Great Wall Motor Company Limited (GWM)")</f>
        <v>Great Wall Motor Company Limited (GWM)</v>
      </c>
      <c r="E680" s="12" t="s">
        <v>266</v>
      </c>
      <c r="F680" s="12" t="s">
        <v>20</v>
      </c>
      <c r="G680" s="12" t="s">
        <v>27</v>
      </c>
      <c r="H680" s="12" t="s">
        <v>267</v>
      </c>
      <c r="I680" s="14">
        <v>45237</v>
      </c>
      <c r="J680" s="12" t="s">
        <v>1189</v>
      </c>
    </row>
    <row r="681" spans="1:10" s="15" customFormat="1" x14ac:dyDescent="0.15">
      <c r="A681" s="11">
        <v>45243</v>
      </c>
      <c r="B681" s="12" t="s">
        <v>321</v>
      </c>
      <c r="C681" s="12" t="s">
        <v>321</v>
      </c>
      <c r="D681" s="13" t="str">
        <f>HYPERLINK("https://www.marklines.com/en/global/9129","BAIC Group Off-road Vehicle Co., Ltd. (formerly Beijing Automotive Group Off-road Vehicle Co., Ltd.) ")</f>
        <v xml:space="preserve">BAIC Group Off-road Vehicle Co., Ltd. (formerly Beijing Automotive Group Off-road Vehicle Co., Ltd.) </v>
      </c>
      <c r="E681" s="12" t="s">
        <v>1190</v>
      </c>
      <c r="F681" s="12" t="s">
        <v>20</v>
      </c>
      <c r="G681" s="12" t="s">
        <v>27</v>
      </c>
      <c r="H681" s="12" t="s">
        <v>456</v>
      </c>
      <c r="I681" s="14">
        <v>45236</v>
      </c>
      <c r="J681" s="12" t="s">
        <v>1191</v>
      </c>
    </row>
    <row r="682" spans="1:10" s="15" customFormat="1" x14ac:dyDescent="0.15">
      <c r="A682" s="11">
        <v>45243</v>
      </c>
      <c r="B682" s="12" t="s">
        <v>551</v>
      </c>
      <c r="C682" s="12" t="s">
        <v>551</v>
      </c>
      <c r="D682" s="13" t="str">
        <f>HYPERLINK("https://www.marklines.com/en/global/10504","Dongfeng Motor Group Co., Ltd. Mengshi Automobile Technology Company (formerly Dongfeng Motor Group Co., Ltd. High-end EV Off-road Vehicle Plant)")</f>
        <v>Dongfeng Motor Group Co., Ltd. Mengshi Automobile Technology Company (formerly Dongfeng Motor Group Co., Ltd. High-end EV Off-road Vehicle Plant)</v>
      </c>
      <c r="E682" s="12" t="s">
        <v>1001</v>
      </c>
      <c r="F682" s="12" t="s">
        <v>20</v>
      </c>
      <c r="G682" s="12" t="s">
        <v>27</v>
      </c>
      <c r="H682" s="12" t="s">
        <v>554</v>
      </c>
      <c r="I682" s="14">
        <v>45236</v>
      </c>
      <c r="J682" s="12" t="s">
        <v>1192</v>
      </c>
    </row>
    <row r="683" spans="1:10" s="15" customFormat="1" x14ac:dyDescent="0.15">
      <c r="A683" s="11">
        <v>45243</v>
      </c>
      <c r="B683" s="12" t="s">
        <v>551</v>
      </c>
      <c r="C683" s="12" t="s">
        <v>551</v>
      </c>
      <c r="D683" s="13" t="str">
        <f>HYPERLINK("https://www.marklines.com/en/global/3977","Dongfeng Passenger Vehicle Company")</f>
        <v>Dongfeng Passenger Vehicle Company</v>
      </c>
      <c r="E683" s="12" t="s">
        <v>780</v>
      </c>
      <c r="F683" s="12" t="s">
        <v>20</v>
      </c>
      <c r="G683" s="12" t="s">
        <v>27</v>
      </c>
      <c r="H683" s="12" t="s">
        <v>554</v>
      </c>
      <c r="I683" s="14">
        <v>45236</v>
      </c>
      <c r="J683" s="12" t="s">
        <v>1192</v>
      </c>
    </row>
    <row r="684" spans="1:10" s="15" customFormat="1" x14ac:dyDescent="0.15">
      <c r="A684" s="11">
        <v>45243</v>
      </c>
      <c r="B684" s="12" t="s">
        <v>551</v>
      </c>
      <c r="C684" s="12" t="s">
        <v>551</v>
      </c>
      <c r="D684" s="13" t="str">
        <f>HYPERLINK("https://www.marklines.com/en/global/3971","Dongfeng Motor Corporation ")</f>
        <v xml:space="preserve">Dongfeng Motor Corporation </v>
      </c>
      <c r="E684" s="12" t="s">
        <v>1002</v>
      </c>
      <c r="F684" s="12" t="s">
        <v>20</v>
      </c>
      <c r="G684" s="12" t="s">
        <v>27</v>
      </c>
      <c r="H684" s="12" t="s">
        <v>554</v>
      </c>
      <c r="I684" s="14">
        <v>45236</v>
      </c>
      <c r="J684" s="12" t="s">
        <v>1192</v>
      </c>
    </row>
    <row r="685" spans="1:10" s="15" customFormat="1" x14ac:dyDescent="0.15">
      <c r="A685" s="11">
        <v>45243</v>
      </c>
      <c r="B685" s="12" t="s">
        <v>13</v>
      </c>
      <c r="C685" s="12" t="s">
        <v>1193</v>
      </c>
      <c r="D685" s="13" t="str">
        <f>HYPERLINK("https://www.marklines.com/en/global/10698","EV Motors Japan Co.,Ltd., Zero Emission e-PARK")</f>
        <v>EV Motors Japan Co.,Ltd., Zero Emission e-PARK</v>
      </c>
      <c r="E685" s="12" t="s">
        <v>1194</v>
      </c>
      <c r="F685" s="12" t="s">
        <v>20</v>
      </c>
      <c r="G685" s="12" t="s">
        <v>23</v>
      </c>
      <c r="H685" s="12" t="s">
        <v>1195</v>
      </c>
      <c r="I685" s="14">
        <v>45232</v>
      </c>
      <c r="J685" s="12" t="s">
        <v>1196</v>
      </c>
    </row>
    <row r="686" spans="1:10" s="15" customFormat="1" x14ac:dyDescent="0.15">
      <c r="A686" s="11">
        <v>45243</v>
      </c>
      <c r="B686" s="12" t="s">
        <v>22</v>
      </c>
      <c r="C686" s="12" t="s">
        <v>22</v>
      </c>
      <c r="D686" s="13" t="str">
        <f>HYPERLINK("https://www.marklines.com/en/global/373","Toyota Motor, Motomachi Plant")</f>
        <v>Toyota Motor, Motomachi Plant</v>
      </c>
      <c r="E686" s="12" t="s">
        <v>566</v>
      </c>
      <c r="F686" s="12" t="s">
        <v>20</v>
      </c>
      <c r="G686" s="12" t="s">
        <v>23</v>
      </c>
      <c r="H686" s="12" t="s">
        <v>61</v>
      </c>
      <c r="I686" s="14">
        <v>45232</v>
      </c>
      <c r="J686" s="12" t="s">
        <v>1197</v>
      </c>
    </row>
    <row r="687" spans="1:10" s="15" customFormat="1" x14ac:dyDescent="0.15">
      <c r="A687" s="11">
        <v>45241</v>
      </c>
      <c r="B687" s="12" t="s">
        <v>12</v>
      </c>
      <c r="C687" s="12" t="s">
        <v>19</v>
      </c>
      <c r="D687" s="13" t="str">
        <f>HYPERLINK("https://www.marklines.com/en/global/2461","General Motors, Flint Assembly Plant")</f>
        <v>General Motors, Flint Assembly Plant</v>
      </c>
      <c r="E687" s="12" t="s">
        <v>1198</v>
      </c>
      <c r="F687" s="12" t="s">
        <v>16</v>
      </c>
      <c r="G687" s="12" t="s">
        <v>11</v>
      </c>
      <c r="H687" s="12" t="s">
        <v>40</v>
      </c>
      <c r="I687" s="14">
        <v>45239</v>
      </c>
      <c r="J687" s="12" t="s">
        <v>1199</v>
      </c>
    </row>
    <row r="688" spans="1:10" s="15" customFormat="1" x14ac:dyDescent="0.15">
      <c r="A688" s="11">
        <v>45241</v>
      </c>
      <c r="B688" s="12" t="s">
        <v>12</v>
      </c>
      <c r="C688" s="12" t="s">
        <v>530</v>
      </c>
      <c r="D688" s="13" t="str">
        <f>HYPERLINK("https://www.marklines.com/en/global/2461","General Motors, Flint Assembly Plant")</f>
        <v>General Motors, Flint Assembly Plant</v>
      </c>
      <c r="E688" s="12" t="s">
        <v>1198</v>
      </c>
      <c r="F688" s="12" t="s">
        <v>16</v>
      </c>
      <c r="G688" s="12" t="s">
        <v>11</v>
      </c>
      <c r="H688" s="12" t="s">
        <v>40</v>
      </c>
      <c r="I688" s="14">
        <v>45239</v>
      </c>
      <c r="J688" s="12" t="s">
        <v>1199</v>
      </c>
    </row>
    <row r="689" spans="1:10" s="15" customFormat="1" x14ac:dyDescent="0.15">
      <c r="A689" s="11">
        <v>45241</v>
      </c>
      <c r="B689" s="12" t="s">
        <v>12</v>
      </c>
      <c r="C689" s="12" t="s">
        <v>12</v>
      </c>
      <c r="D689" s="13" t="str">
        <f>HYPERLINK("https://www.marklines.com/en/global/873","General Motors Mexico, San Luis Potosi Plant")</f>
        <v>General Motors Mexico, San Luis Potosi Plant</v>
      </c>
      <c r="E689" s="12" t="s">
        <v>1200</v>
      </c>
      <c r="F689" s="12" t="s">
        <v>16</v>
      </c>
      <c r="G689" s="12" t="s">
        <v>91</v>
      </c>
      <c r="H689" s="12"/>
      <c r="I689" s="14">
        <v>45238</v>
      </c>
      <c r="J689" s="12" t="s">
        <v>1201</v>
      </c>
    </row>
    <row r="690" spans="1:10" s="15" customFormat="1" x14ac:dyDescent="0.15">
      <c r="A690" s="11">
        <v>45240</v>
      </c>
      <c r="B690" s="12" t="s">
        <v>33</v>
      </c>
      <c r="C690" s="12" t="s">
        <v>44</v>
      </c>
      <c r="D690" s="13" t="str">
        <f>HYPERLINK("https://www.marklines.com/en/global/2281","Volkswagen AG, Kassel Plant")</f>
        <v>Volkswagen AG, Kassel Plant</v>
      </c>
      <c r="E690" s="12" t="s">
        <v>987</v>
      </c>
      <c r="F690" s="12" t="s">
        <v>17</v>
      </c>
      <c r="G690" s="12" t="s">
        <v>21</v>
      </c>
      <c r="H690" s="12"/>
      <c r="I690" s="14">
        <v>45239</v>
      </c>
      <c r="J690" s="12" t="s">
        <v>988</v>
      </c>
    </row>
    <row r="691" spans="1:10" s="15" customFormat="1" x14ac:dyDescent="0.15">
      <c r="A691" s="11">
        <v>45240</v>
      </c>
      <c r="B691" s="12" t="s">
        <v>33</v>
      </c>
      <c r="C691" s="12" t="s">
        <v>44</v>
      </c>
      <c r="D691" s="13" t="str">
        <f>HYPERLINK("https://www.marklines.com/en/global/2277","Volkswagen Sachsen GmbH, Zwickau/Mosel Plant")</f>
        <v>Volkswagen Sachsen GmbH, Zwickau/Mosel Plant</v>
      </c>
      <c r="E691" s="12" t="s">
        <v>135</v>
      </c>
      <c r="F691" s="12" t="s">
        <v>17</v>
      </c>
      <c r="G691" s="12" t="s">
        <v>21</v>
      </c>
      <c r="H691" s="12"/>
      <c r="I691" s="14">
        <v>45239</v>
      </c>
      <c r="J691" s="12" t="s">
        <v>988</v>
      </c>
    </row>
    <row r="692" spans="1:10" s="15" customFormat="1" x14ac:dyDescent="0.15">
      <c r="A692" s="11">
        <v>45240</v>
      </c>
      <c r="B692" s="12" t="s">
        <v>33</v>
      </c>
      <c r="C692" s="12" t="s">
        <v>44</v>
      </c>
      <c r="D692" s="13" t="str">
        <f>HYPERLINK("https://www.marklines.com/en/global/2267","Volkswagen AG, Emden Plant")</f>
        <v>Volkswagen AG, Emden Plant</v>
      </c>
      <c r="E692" s="12" t="s">
        <v>936</v>
      </c>
      <c r="F692" s="12" t="s">
        <v>17</v>
      </c>
      <c r="G692" s="12" t="s">
        <v>21</v>
      </c>
      <c r="H692" s="12"/>
      <c r="I692" s="14">
        <v>45239</v>
      </c>
      <c r="J692" s="12" t="s">
        <v>988</v>
      </c>
    </row>
    <row r="693" spans="1:10" s="15" customFormat="1" x14ac:dyDescent="0.15">
      <c r="A693" s="11">
        <v>45240</v>
      </c>
      <c r="B693" s="12" t="s">
        <v>33</v>
      </c>
      <c r="C693" s="12" t="s">
        <v>63</v>
      </c>
      <c r="D693" s="13" t="str">
        <f>HYPERLINK("https://www.marklines.com/en/global/2277","Volkswagen Sachsen GmbH, Zwickau/Mosel Plant")</f>
        <v>Volkswagen Sachsen GmbH, Zwickau/Mosel Plant</v>
      </c>
      <c r="E693" s="12" t="s">
        <v>135</v>
      </c>
      <c r="F693" s="12" t="s">
        <v>17</v>
      </c>
      <c r="G693" s="12" t="s">
        <v>21</v>
      </c>
      <c r="H693" s="12"/>
      <c r="I693" s="14">
        <v>45239</v>
      </c>
      <c r="J693" s="12" t="s">
        <v>988</v>
      </c>
    </row>
    <row r="694" spans="1:10" s="15" customFormat="1" x14ac:dyDescent="0.15">
      <c r="A694" s="11">
        <v>45240</v>
      </c>
      <c r="B694" s="12" t="s">
        <v>22</v>
      </c>
      <c r="C694" s="12" t="s">
        <v>22</v>
      </c>
      <c r="D694" s="13" t="str">
        <f>HYPERLINK("https://www.marklines.com/en/global/3237","Toyota Motor Manufacturing, Indiana,  Inc. (TMMI), Princeton Plant")</f>
        <v>Toyota Motor Manufacturing, Indiana,  Inc. (TMMI), Princeton Plant</v>
      </c>
      <c r="E694" s="12" t="s">
        <v>989</v>
      </c>
      <c r="F694" s="12" t="s">
        <v>16</v>
      </c>
      <c r="G694" s="12" t="s">
        <v>11</v>
      </c>
      <c r="H694" s="12" t="s">
        <v>296</v>
      </c>
      <c r="I694" s="14">
        <v>45239</v>
      </c>
      <c r="J694" s="12" t="s">
        <v>990</v>
      </c>
    </row>
    <row r="695" spans="1:10" s="15" customFormat="1" x14ac:dyDescent="0.15">
      <c r="A695" s="11">
        <v>45240</v>
      </c>
      <c r="B695" s="12" t="s">
        <v>400</v>
      </c>
      <c r="C695" s="12" t="s">
        <v>441</v>
      </c>
      <c r="D695" s="13" t="str">
        <f>HYPERLINK("https://www.marklines.com/en/global/10726","Volvo Cars, Kosice Plant (tentative name）")</f>
        <v>Volvo Cars, Kosice Plant (tentative name）</v>
      </c>
      <c r="E695" s="12" t="s">
        <v>991</v>
      </c>
      <c r="F695" s="12" t="s">
        <v>18</v>
      </c>
      <c r="G695" s="12" t="s">
        <v>55</v>
      </c>
      <c r="H695" s="12"/>
      <c r="I695" s="14">
        <v>45238</v>
      </c>
      <c r="J695" s="12" t="s">
        <v>992</v>
      </c>
    </row>
    <row r="696" spans="1:10" s="15" customFormat="1" x14ac:dyDescent="0.15">
      <c r="A696" s="11">
        <v>45240</v>
      </c>
      <c r="B696" s="12" t="s">
        <v>993</v>
      </c>
      <c r="C696" s="12" t="s">
        <v>993</v>
      </c>
      <c r="D696" s="13" t="str">
        <f>HYPERLINK("https://www.marklines.com/en/global/10596","Lion Electric, Joliet plant")</f>
        <v>Lion Electric, Joliet plant</v>
      </c>
      <c r="E696" s="12" t="s">
        <v>994</v>
      </c>
      <c r="F696" s="12" t="s">
        <v>16</v>
      </c>
      <c r="G696" s="12" t="s">
        <v>11</v>
      </c>
      <c r="H696" s="12" t="s">
        <v>39</v>
      </c>
      <c r="I696" s="14">
        <v>45237</v>
      </c>
      <c r="J696" s="12" t="s">
        <v>995</v>
      </c>
    </row>
    <row r="697" spans="1:10" s="15" customFormat="1" x14ac:dyDescent="0.15">
      <c r="A697" s="11">
        <v>45240</v>
      </c>
      <c r="B697" s="12" t="s">
        <v>993</v>
      </c>
      <c r="C697" s="12" t="s">
        <v>993</v>
      </c>
      <c r="D697" s="13" t="str">
        <f>HYPERLINK("https://www.marklines.com/en/global/10597","Lion Electric, Canada Plant")</f>
        <v>Lion Electric, Canada Plant</v>
      </c>
      <c r="E697" s="12" t="s">
        <v>996</v>
      </c>
      <c r="F697" s="12" t="s">
        <v>16</v>
      </c>
      <c r="G697" s="12" t="s">
        <v>446</v>
      </c>
      <c r="H697" s="12"/>
      <c r="I697" s="14">
        <v>45237</v>
      </c>
      <c r="J697" s="12" t="s">
        <v>995</v>
      </c>
    </row>
    <row r="698" spans="1:10" s="15" customFormat="1" x14ac:dyDescent="0.15">
      <c r="A698" s="11">
        <v>45240</v>
      </c>
      <c r="B698" s="12" t="s">
        <v>421</v>
      </c>
      <c r="C698" s="12" t="s">
        <v>421</v>
      </c>
      <c r="D698" s="13" t="str">
        <f>HYPERLINK("https://www.marklines.com/en/global/3335","FAW Jiefang Group Co., Ltd  ( Formerly FAW Car Co., Ltd. )")</f>
        <v>FAW Jiefang Group Co., Ltd  ( Formerly FAW Car Co., Ltd. )</v>
      </c>
      <c r="E698" s="12" t="s">
        <v>422</v>
      </c>
      <c r="F698" s="12" t="s">
        <v>20</v>
      </c>
      <c r="G698" s="12" t="s">
        <v>27</v>
      </c>
      <c r="H698" s="12" t="s">
        <v>414</v>
      </c>
      <c r="I698" s="14">
        <v>45236</v>
      </c>
      <c r="J698" s="12" t="s">
        <v>997</v>
      </c>
    </row>
    <row r="699" spans="1:10" s="15" customFormat="1" x14ac:dyDescent="0.15">
      <c r="A699" s="11">
        <v>45240</v>
      </c>
      <c r="B699" s="12" t="s">
        <v>56</v>
      </c>
      <c r="C699" s="12" t="s">
        <v>56</v>
      </c>
      <c r="D699" s="13" t="str">
        <f>HYPERLINK("https://www.marklines.com/en/global/3955","Guangzhou Fengshen Automobile Co., Ltd. Zhengzhou Branch (formerly Dongfeng Nissan Passenger Vehicle Company (Zhengzhou Plant))")</f>
        <v>Guangzhou Fengshen Automobile Co., Ltd. Zhengzhou Branch (formerly Dongfeng Nissan Passenger Vehicle Company (Zhengzhou Plant))</v>
      </c>
      <c r="E699" s="12" t="s">
        <v>844</v>
      </c>
      <c r="F699" s="12" t="s">
        <v>20</v>
      </c>
      <c r="G699" s="12" t="s">
        <v>27</v>
      </c>
      <c r="H699" s="12" t="s">
        <v>404</v>
      </c>
      <c r="I699" s="14">
        <v>45235</v>
      </c>
      <c r="J699" s="12" t="s">
        <v>998</v>
      </c>
    </row>
    <row r="700" spans="1:10" s="15" customFormat="1" x14ac:dyDescent="0.15">
      <c r="A700" s="11">
        <v>45240</v>
      </c>
      <c r="B700" s="12" t="s">
        <v>551</v>
      </c>
      <c r="C700" s="12" t="s">
        <v>551</v>
      </c>
      <c r="D700" s="13" t="str">
        <f>HYPERLINK("https://www.marklines.com/en/global/4089","Dongfeng Honda Engine Co., Ltd. (DHEC)")</f>
        <v>Dongfeng Honda Engine Co., Ltd. (DHEC)</v>
      </c>
      <c r="E700" s="12" t="s">
        <v>999</v>
      </c>
      <c r="F700" s="12" t="s">
        <v>20</v>
      </c>
      <c r="G700" s="12" t="s">
        <v>27</v>
      </c>
      <c r="H700" s="12" t="s">
        <v>357</v>
      </c>
      <c r="I700" s="14">
        <v>45235</v>
      </c>
      <c r="J700" s="12" t="s">
        <v>998</v>
      </c>
    </row>
    <row r="701" spans="1:10" s="15" customFormat="1" x14ac:dyDescent="0.15">
      <c r="A701" s="11">
        <v>45240</v>
      </c>
      <c r="B701" s="12" t="s">
        <v>551</v>
      </c>
      <c r="C701" s="12" t="s">
        <v>551</v>
      </c>
      <c r="D701" s="13" t="str">
        <f>HYPERLINK("https://www.marklines.com/en/global/3981","Dongfeng Honda Automobile Co., Ltd. ")</f>
        <v xml:space="preserve">Dongfeng Honda Automobile Co., Ltd. </v>
      </c>
      <c r="E701" s="12" t="s">
        <v>1000</v>
      </c>
      <c r="F701" s="12" t="s">
        <v>20</v>
      </c>
      <c r="G701" s="12" t="s">
        <v>27</v>
      </c>
      <c r="H701" s="12" t="s">
        <v>554</v>
      </c>
      <c r="I701" s="14">
        <v>45235</v>
      </c>
      <c r="J701" s="12" t="s">
        <v>998</v>
      </c>
    </row>
    <row r="702" spans="1:10" s="15" customFormat="1" x14ac:dyDescent="0.15">
      <c r="A702" s="11">
        <v>45240</v>
      </c>
      <c r="B702" s="12" t="s">
        <v>551</v>
      </c>
      <c r="C702" s="12" t="s">
        <v>551</v>
      </c>
      <c r="D702" s="13" t="str">
        <f>HYPERLINK("https://www.marklines.com/en/global/10504","Dongfeng Motor Group Co., Ltd. Mengshi Automobile Technology Company (formerly Dongfeng Motor Group Co., Ltd. High-end EV Off-road Vehicle Plant)")</f>
        <v>Dongfeng Motor Group Co., Ltd. Mengshi Automobile Technology Company (formerly Dongfeng Motor Group Co., Ltd. High-end EV Off-road Vehicle Plant)</v>
      </c>
      <c r="E702" s="12" t="s">
        <v>1001</v>
      </c>
      <c r="F702" s="12" t="s">
        <v>20</v>
      </c>
      <c r="G702" s="12" t="s">
        <v>27</v>
      </c>
      <c r="H702" s="12" t="s">
        <v>554</v>
      </c>
      <c r="I702" s="14">
        <v>45235</v>
      </c>
      <c r="J702" s="12" t="s">
        <v>998</v>
      </c>
    </row>
    <row r="703" spans="1:10" s="15" customFormat="1" x14ac:dyDescent="0.15">
      <c r="A703" s="11">
        <v>45240</v>
      </c>
      <c r="B703" s="12" t="s">
        <v>551</v>
      </c>
      <c r="C703" s="12" t="s">
        <v>551</v>
      </c>
      <c r="D703" s="13" t="str">
        <f>HYPERLINK("https://www.marklines.com/en/global/9165","Dongfeng Motor (Wuhan) Co., Ltd. (formerly Dongfeng Renault Automotive  Co., Ltd.) ")</f>
        <v xml:space="preserve">Dongfeng Motor (Wuhan) Co., Ltd. (formerly Dongfeng Renault Automotive  Co., Ltd.) </v>
      </c>
      <c r="E703" s="12" t="s">
        <v>553</v>
      </c>
      <c r="F703" s="12" t="s">
        <v>20</v>
      </c>
      <c r="G703" s="12" t="s">
        <v>27</v>
      </c>
      <c r="H703" s="12" t="s">
        <v>554</v>
      </c>
      <c r="I703" s="14">
        <v>45235</v>
      </c>
      <c r="J703" s="12" t="s">
        <v>998</v>
      </c>
    </row>
    <row r="704" spans="1:10" s="15" customFormat="1" x14ac:dyDescent="0.15">
      <c r="A704" s="11">
        <v>45240</v>
      </c>
      <c r="B704" s="12" t="s">
        <v>551</v>
      </c>
      <c r="C704" s="12" t="s">
        <v>551</v>
      </c>
      <c r="D704" s="13" t="str">
        <f>HYPERLINK("https://www.marklines.com/en/global/3955","Guangzhou Fengshen Automobile Co., Ltd. Zhengzhou Branch (formerly Dongfeng Nissan Passenger Vehicle Company (Zhengzhou Plant))")</f>
        <v>Guangzhou Fengshen Automobile Co., Ltd. Zhengzhou Branch (formerly Dongfeng Nissan Passenger Vehicle Company (Zhengzhou Plant))</v>
      </c>
      <c r="E704" s="12" t="s">
        <v>844</v>
      </c>
      <c r="F704" s="12" t="s">
        <v>20</v>
      </c>
      <c r="G704" s="12" t="s">
        <v>27</v>
      </c>
      <c r="H704" s="12" t="s">
        <v>404</v>
      </c>
      <c r="I704" s="14">
        <v>45235</v>
      </c>
      <c r="J704" s="12" t="s">
        <v>998</v>
      </c>
    </row>
    <row r="705" spans="1:10" s="15" customFormat="1" x14ac:dyDescent="0.15">
      <c r="A705" s="11">
        <v>45240</v>
      </c>
      <c r="B705" s="12" t="s">
        <v>551</v>
      </c>
      <c r="C705" s="12" t="s">
        <v>551</v>
      </c>
      <c r="D705" s="13" t="str">
        <f>HYPERLINK("https://www.marklines.com/en/global/3971","Dongfeng Motor Corporation ")</f>
        <v xml:space="preserve">Dongfeng Motor Corporation </v>
      </c>
      <c r="E705" s="12" t="s">
        <v>1002</v>
      </c>
      <c r="F705" s="12" t="s">
        <v>20</v>
      </c>
      <c r="G705" s="12" t="s">
        <v>27</v>
      </c>
      <c r="H705" s="12" t="s">
        <v>554</v>
      </c>
      <c r="I705" s="14">
        <v>45235</v>
      </c>
      <c r="J705" s="12" t="s">
        <v>998</v>
      </c>
    </row>
    <row r="706" spans="1:10" s="15" customFormat="1" x14ac:dyDescent="0.15">
      <c r="A706" s="11">
        <v>45240</v>
      </c>
      <c r="B706" s="12" t="s">
        <v>551</v>
      </c>
      <c r="C706" s="12" t="s">
        <v>552</v>
      </c>
      <c r="D706" s="13" t="str">
        <f>HYPERLINK("https://www.marklines.com/en/global/9165","Dongfeng Motor (Wuhan) Co., Ltd. (formerly Dongfeng Renault Automotive  Co., Ltd.) ")</f>
        <v xml:space="preserve">Dongfeng Motor (Wuhan) Co., Ltd. (formerly Dongfeng Renault Automotive  Co., Ltd.) </v>
      </c>
      <c r="E706" s="12" t="s">
        <v>553</v>
      </c>
      <c r="F706" s="12" t="s">
        <v>20</v>
      </c>
      <c r="G706" s="12" t="s">
        <v>27</v>
      </c>
      <c r="H706" s="12" t="s">
        <v>554</v>
      </c>
      <c r="I706" s="14">
        <v>45235</v>
      </c>
      <c r="J706" s="12" t="s">
        <v>998</v>
      </c>
    </row>
    <row r="707" spans="1:10" s="15" customFormat="1" x14ac:dyDescent="0.15">
      <c r="A707" s="11">
        <v>45239</v>
      </c>
      <c r="B707" s="12" t="s">
        <v>56</v>
      </c>
      <c r="C707" s="12" t="s">
        <v>56</v>
      </c>
      <c r="D707" s="13" t="str">
        <f>HYPERLINK("https://www.marklines.com/en/global/8604","Nissan do Brasil Automóveis Ltda., Resende Plant")</f>
        <v>Nissan do Brasil Automóveis Ltda., Resende Plant</v>
      </c>
      <c r="E707" s="12" t="s">
        <v>1003</v>
      </c>
      <c r="F707" s="12" t="s">
        <v>425</v>
      </c>
      <c r="G707" s="12" t="s">
        <v>426</v>
      </c>
      <c r="H707" s="12"/>
      <c r="I707" s="14">
        <v>45239</v>
      </c>
      <c r="J707" s="12" t="s">
        <v>1004</v>
      </c>
    </row>
    <row r="708" spans="1:10" s="15" customFormat="1" x14ac:dyDescent="0.15">
      <c r="A708" s="11">
        <v>45239</v>
      </c>
      <c r="B708" s="12" t="s">
        <v>65</v>
      </c>
      <c r="C708" s="12" t="s">
        <v>480</v>
      </c>
      <c r="D708" s="13" t="str">
        <f>HYPERLINK("https://www.marklines.com/en/global/1329","Stellantis, FCA Italy, Giambattista Vico (Pomigliano d'Arco) Plant")</f>
        <v>Stellantis, FCA Italy, Giambattista Vico (Pomigliano d'Arco) Plant</v>
      </c>
      <c r="E708" s="12" t="s">
        <v>604</v>
      </c>
      <c r="F708" s="12" t="s">
        <v>17</v>
      </c>
      <c r="G708" s="12" t="s">
        <v>46</v>
      </c>
      <c r="H708" s="12"/>
      <c r="I708" s="14">
        <v>45238</v>
      </c>
      <c r="J708" s="12" t="s">
        <v>1005</v>
      </c>
    </row>
    <row r="709" spans="1:10" s="15" customFormat="1" x14ac:dyDescent="0.15">
      <c r="A709" s="11">
        <v>45239</v>
      </c>
      <c r="B709" s="12" t="s">
        <v>65</v>
      </c>
      <c r="C709" s="12" t="s">
        <v>66</v>
      </c>
      <c r="D709" s="13" t="str">
        <f>HYPERLINK("https://www.marklines.com/en/global/1325","Stellantis, FCA Italy, Melfi Plant")</f>
        <v>Stellantis, FCA Italy, Melfi Plant</v>
      </c>
      <c r="E709" s="12" t="s">
        <v>78</v>
      </c>
      <c r="F709" s="12" t="s">
        <v>17</v>
      </c>
      <c r="G709" s="12" t="s">
        <v>46</v>
      </c>
      <c r="H709" s="12"/>
      <c r="I709" s="14">
        <v>45238</v>
      </c>
      <c r="J709" s="12" t="s">
        <v>1005</v>
      </c>
    </row>
    <row r="710" spans="1:10" s="15" customFormat="1" x14ac:dyDescent="0.15">
      <c r="A710" s="11">
        <v>45239</v>
      </c>
      <c r="B710" s="12" t="s">
        <v>45</v>
      </c>
      <c r="C710" s="12" t="s">
        <v>49</v>
      </c>
      <c r="D710" s="13" t="str">
        <f>HYPERLINK("https://www.marklines.com/en/global/1329","Stellantis, FCA Italy, Giambattista Vico (Pomigliano d'Arco) Plant")</f>
        <v>Stellantis, FCA Italy, Giambattista Vico (Pomigliano d'Arco) Plant</v>
      </c>
      <c r="E710" s="12" t="s">
        <v>604</v>
      </c>
      <c r="F710" s="12" t="s">
        <v>17</v>
      </c>
      <c r="G710" s="12" t="s">
        <v>46</v>
      </c>
      <c r="H710" s="12"/>
      <c r="I710" s="14">
        <v>45238</v>
      </c>
      <c r="J710" s="12" t="s">
        <v>1005</v>
      </c>
    </row>
    <row r="711" spans="1:10" s="15" customFormat="1" x14ac:dyDescent="0.15">
      <c r="A711" s="11">
        <v>45239</v>
      </c>
      <c r="B711" s="12" t="s">
        <v>45</v>
      </c>
      <c r="C711" s="12" t="s">
        <v>49</v>
      </c>
      <c r="D711" s="13" t="str">
        <f>HYPERLINK("https://www.marklines.com/en/global/1325","Stellantis, FCA Italy, Melfi Plant")</f>
        <v>Stellantis, FCA Italy, Melfi Plant</v>
      </c>
      <c r="E711" s="12" t="s">
        <v>78</v>
      </c>
      <c r="F711" s="12" t="s">
        <v>17</v>
      </c>
      <c r="G711" s="12" t="s">
        <v>46</v>
      </c>
      <c r="H711" s="12"/>
      <c r="I711" s="14">
        <v>45238</v>
      </c>
      <c r="J711" s="12" t="s">
        <v>1005</v>
      </c>
    </row>
    <row r="712" spans="1:10" s="15" customFormat="1" x14ac:dyDescent="0.15">
      <c r="A712" s="11">
        <v>45239</v>
      </c>
      <c r="B712" s="12" t="s">
        <v>45</v>
      </c>
      <c r="C712" s="12" t="s">
        <v>606</v>
      </c>
      <c r="D712" s="13" t="str">
        <f>HYPERLINK("https://www.marklines.com/en/global/1329","Stellantis, FCA Italy, Giambattista Vico (Pomigliano d'Arco) Plant")</f>
        <v>Stellantis, FCA Italy, Giambattista Vico (Pomigliano d'Arco) Plant</v>
      </c>
      <c r="E712" s="12" t="s">
        <v>604</v>
      </c>
      <c r="F712" s="12" t="s">
        <v>17</v>
      </c>
      <c r="G712" s="12" t="s">
        <v>46</v>
      </c>
      <c r="H712" s="12"/>
      <c r="I712" s="14">
        <v>45238</v>
      </c>
      <c r="J712" s="12" t="s">
        <v>1005</v>
      </c>
    </row>
    <row r="713" spans="1:10" s="15" customFormat="1" x14ac:dyDescent="0.15">
      <c r="A713" s="11">
        <v>45239</v>
      </c>
      <c r="B713" s="12" t="s">
        <v>52</v>
      </c>
      <c r="C713" s="12" t="s">
        <v>52</v>
      </c>
      <c r="D713" s="13" t="str">
        <f>HYPERLINK("https://www.marklines.com/en/global/749","LLC Lada, St. Petersburg (former Nissan Manufacturing Rus OOO, Kamenka (St. Petersburg) Plant)")</f>
        <v>LLC Lada, St. Petersburg (former Nissan Manufacturing Rus OOO, Kamenka (St. Petersburg) Plant)</v>
      </c>
      <c r="E713" s="12" t="s">
        <v>1006</v>
      </c>
      <c r="F713" s="12" t="s">
        <v>18</v>
      </c>
      <c r="G713" s="12" t="s">
        <v>14</v>
      </c>
      <c r="H713" s="12"/>
      <c r="I713" s="14">
        <v>45238</v>
      </c>
      <c r="J713" s="12" t="s">
        <v>1007</v>
      </c>
    </row>
    <row r="714" spans="1:10" s="15" customFormat="1" x14ac:dyDescent="0.15">
      <c r="A714" s="11">
        <v>45239</v>
      </c>
      <c r="B714" s="12" t="s">
        <v>52</v>
      </c>
      <c r="C714" s="12" t="s">
        <v>53</v>
      </c>
      <c r="D714" s="13" t="str">
        <f>HYPERLINK("https://www.marklines.com/en/global/749","LLC Lada, St. Petersburg (former Nissan Manufacturing Rus OOO, Kamenka (St. Petersburg) Plant)")</f>
        <v>LLC Lada, St. Petersburg (former Nissan Manufacturing Rus OOO, Kamenka (St. Petersburg) Plant)</v>
      </c>
      <c r="E714" s="12" t="s">
        <v>1006</v>
      </c>
      <c r="F714" s="12" t="s">
        <v>18</v>
      </c>
      <c r="G714" s="12" t="s">
        <v>14</v>
      </c>
      <c r="H714" s="12"/>
      <c r="I714" s="14">
        <v>45238</v>
      </c>
      <c r="J714" s="12" t="s">
        <v>1007</v>
      </c>
    </row>
    <row r="715" spans="1:10" s="15" customFormat="1" x14ac:dyDescent="0.15">
      <c r="A715" s="11">
        <v>45239</v>
      </c>
      <c r="B715" s="12" t="s">
        <v>35</v>
      </c>
      <c r="C715" s="12" t="s">
        <v>35</v>
      </c>
      <c r="D715" s="13" t="str">
        <f>HYPERLINK("https://www.marklines.com/en/global/1061","Pak Suzuki Motor Co., Ltd. (PSMCL), Karachi Plant")</f>
        <v>Pak Suzuki Motor Co., Ltd. (PSMCL), Karachi Plant</v>
      </c>
      <c r="E715" s="12" t="s">
        <v>474</v>
      </c>
      <c r="F715" s="12" t="s">
        <v>25</v>
      </c>
      <c r="G715" s="12" t="s">
        <v>82</v>
      </c>
      <c r="H715" s="12"/>
      <c r="I715" s="14">
        <v>45238</v>
      </c>
      <c r="J715" s="12" t="s">
        <v>1008</v>
      </c>
    </row>
    <row r="716" spans="1:10" s="15" customFormat="1" x14ac:dyDescent="0.15">
      <c r="A716" s="11">
        <v>45239</v>
      </c>
      <c r="B716" s="12" t="s">
        <v>28</v>
      </c>
      <c r="C716" s="12" t="s">
        <v>73</v>
      </c>
      <c r="D716" s="13" t="str">
        <f>HYPERLINK("https://www.marklines.com/en/global/1388","Mitsubishi Fuso Truck Europe - Sociedade Europeia de Automóveis, S.A., Tramagal Plant")</f>
        <v>Mitsubishi Fuso Truck Europe - Sociedade Europeia de Automóveis, S.A., Tramagal Plant</v>
      </c>
      <c r="E716" s="12" t="s">
        <v>1009</v>
      </c>
      <c r="F716" s="12" t="s">
        <v>17</v>
      </c>
      <c r="G716" s="12" t="s">
        <v>335</v>
      </c>
      <c r="H716" s="12"/>
      <c r="I716" s="14">
        <v>45237</v>
      </c>
      <c r="J716" s="12" t="s">
        <v>1010</v>
      </c>
    </row>
    <row r="717" spans="1:10" s="15" customFormat="1" x14ac:dyDescent="0.15">
      <c r="A717" s="11">
        <v>45239</v>
      </c>
      <c r="B717" s="12" t="s">
        <v>41</v>
      </c>
      <c r="C717" s="12" t="s">
        <v>42</v>
      </c>
      <c r="D717" s="13" t="str">
        <f>HYPERLINK("https://www.marklines.com/en/global/2223","Mercedes-Benz Group AG, Rastatt Plant")</f>
        <v>Mercedes-Benz Group AG, Rastatt Plant</v>
      </c>
      <c r="E717" s="12" t="s">
        <v>1011</v>
      </c>
      <c r="F717" s="12" t="s">
        <v>17</v>
      </c>
      <c r="G717" s="12" t="s">
        <v>21</v>
      </c>
      <c r="H717" s="12"/>
      <c r="I717" s="14">
        <v>45237</v>
      </c>
      <c r="J717" s="12" t="s">
        <v>1012</v>
      </c>
    </row>
    <row r="718" spans="1:10" s="15" customFormat="1" x14ac:dyDescent="0.15">
      <c r="A718" s="11">
        <v>45239</v>
      </c>
      <c r="B718" s="12" t="s">
        <v>37</v>
      </c>
      <c r="C718" s="12" t="s">
        <v>37</v>
      </c>
      <c r="D718" s="13" t="str">
        <f>HYPERLINK("https://www.marklines.com/en/global/3153","Rivian, Normal Plant (former Mitsubishi Motors North America, Normal Plant)")</f>
        <v>Rivian, Normal Plant (former Mitsubishi Motors North America, Normal Plant)</v>
      </c>
      <c r="E718" s="12" t="s">
        <v>38</v>
      </c>
      <c r="F718" s="12" t="s">
        <v>16</v>
      </c>
      <c r="G718" s="12" t="s">
        <v>11</v>
      </c>
      <c r="H718" s="12" t="s">
        <v>39</v>
      </c>
      <c r="I718" s="14">
        <v>45237</v>
      </c>
      <c r="J718" s="12" t="s">
        <v>1013</v>
      </c>
    </row>
    <row r="719" spans="1:10" s="15" customFormat="1" x14ac:dyDescent="0.15">
      <c r="A719" s="11">
        <v>45239</v>
      </c>
      <c r="B719" s="12" t="s">
        <v>531</v>
      </c>
      <c r="C719" s="12" t="s">
        <v>531</v>
      </c>
      <c r="D719" s="13" t="str">
        <f>HYPERLINK("https://www.marklines.com/en/global/9873","Lucid Motors (Lucid Group, Inc.), Casa Grande plant (AMP-1)")</f>
        <v>Lucid Motors (Lucid Group, Inc.), Casa Grande plant (AMP-1)</v>
      </c>
      <c r="E719" s="12" t="s">
        <v>532</v>
      </c>
      <c r="F719" s="12" t="s">
        <v>16</v>
      </c>
      <c r="G719" s="12" t="s">
        <v>11</v>
      </c>
      <c r="H719" s="12" t="s">
        <v>533</v>
      </c>
      <c r="I719" s="14">
        <v>45237</v>
      </c>
      <c r="J719" s="12" t="s">
        <v>1014</v>
      </c>
    </row>
    <row r="720" spans="1:10" s="15" customFormat="1" x14ac:dyDescent="0.15">
      <c r="A720" s="11">
        <v>45239</v>
      </c>
      <c r="B720" s="12" t="s">
        <v>531</v>
      </c>
      <c r="C720" s="12" t="s">
        <v>531</v>
      </c>
      <c r="D720" s="13" t="str">
        <f>HYPERLINK("https://www.marklines.com/en/global/10762","Lucid Advanced Manufacturing Plant (AMP-2) ")</f>
        <v xml:space="preserve">Lucid Advanced Manufacturing Plant (AMP-2) </v>
      </c>
      <c r="E720" s="12" t="s">
        <v>535</v>
      </c>
      <c r="F720" s="12" t="s">
        <v>106</v>
      </c>
      <c r="G720" s="12" t="s">
        <v>536</v>
      </c>
      <c r="H720" s="12"/>
      <c r="I720" s="14">
        <v>45237</v>
      </c>
      <c r="J720" s="12" t="s">
        <v>1014</v>
      </c>
    </row>
    <row r="721" spans="1:10" s="15" customFormat="1" x14ac:dyDescent="0.15">
      <c r="A721" s="11">
        <v>45239</v>
      </c>
      <c r="B721" s="12" t="s">
        <v>45</v>
      </c>
      <c r="C721" s="12" t="s">
        <v>49</v>
      </c>
      <c r="D721" s="13" t="str">
        <f>HYPERLINK("https://www.marklines.com/en/global/1327","Stellantis, FCA Italy, Mirafiori (Turin) Plant")</f>
        <v>Stellantis, FCA Italy, Mirafiori (Turin) Plant</v>
      </c>
      <c r="E721" s="12" t="s">
        <v>612</v>
      </c>
      <c r="F721" s="12" t="s">
        <v>17</v>
      </c>
      <c r="G721" s="12" t="s">
        <v>46</v>
      </c>
      <c r="H721" s="12"/>
      <c r="I721" s="14">
        <v>45236</v>
      </c>
      <c r="J721" s="12" t="s">
        <v>1015</v>
      </c>
    </row>
    <row r="722" spans="1:10" s="15" customFormat="1" x14ac:dyDescent="0.15">
      <c r="A722" s="11">
        <v>45239</v>
      </c>
      <c r="B722" s="12" t="s">
        <v>45</v>
      </c>
      <c r="C722" s="12" t="s">
        <v>609</v>
      </c>
      <c r="D722" s="13" t="str">
        <f>HYPERLINK("https://www.marklines.com/en/global/1307","Stellantis, Avvocato Gianni Agnelli Plant (formerly Maserati S.p.A., Giovanni Agnelli (Grugliasco) Plant)")</f>
        <v>Stellantis, Avvocato Gianni Agnelli Plant (formerly Maserati S.p.A., Giovanni Agnelli (Grugliasco) Plant)</v>
      </c>
      <c r="E722" s="12" t="s">
        <v>1016</v>
      </c>
      <c r="F722" s="12" t="s">
        <v>17</v>
      </c>
      <c r="G722" s="12" t="s">
        <v>46</v>
      </c>
      <c r="H722" s="12"/>
      <c r="I722" s="14">
        <v>45236</v>
      </c>
      <c r="J722" s="12" t="s">
        <v>1015</v>
      </c>
    </row>
    <row r="723" spans="1:10" s="15" customFormat="1" x14ac:dyDescent="0.15">
      <c r="A723" s="11">
        <v>45239</v>
      </c>
      <c r="B723" s="12" t="s">
        <v>45</v>
      </c>
      <c r="C723" s="12" t="s">
        <v>609</v>
      </c>
      <c r="D723" s="13" t="str">
        <f>HYPERLINK("https://www.marklines.com/en/global/1327","Stellantis, FCA Italy, Mirafiori (Turin) Plant")</f>
        <v>Stellantis, FCA Italy, Mirafiori (Turin) Plant</v>
      </c>
      <c r="E723" s="12" t="s">
        <v>612</v>
      </c>
      <c r="F723" s="12" t="s">
        <v>17</v>
      </c>
      <c r="G723" s="12" t="s">
        <v>46</v>
      </c>
      <c r="H723" s="12"/>
      <c r="I723" s="14">
        <v>45236</v>
      </c>
      <c r="J723" s="12" t="s">
        <v>1015</v>
      </c>
    </row>
    <row r="724" spans="1:10" s="15" customFormat="1" x14ac:dyDescent="0.15">
      <c r="A724" s="11">
        <v>45239</v>
      </c>
      <c r="B724" s="12" t="s">
        <v>43</v>
      </c>
      <c r="C724" s="12" t="s">
        <v>43</v>
      </c>
      <c r="D724" s="13" t="str">
        <f>HYPERLINK("https://www.marklines.com/en/global/4239","Hyundai Truck &amp; Bus (China) Co., Ltd.  (formerly Sichuan Hyundai Motor Co., Ltd.)")</f>
        <v>Hyundai Truck &amp; Bus (China) Co., Ltd.  (formerly Sichuan Hyundai Motor Co., Ltd.)</v>
      </c>
      <c r="E724" s="12" t="s">
        <v>1017</v>
      </c>
      <c r="F724" s="12" t="s">
        <v>20</v>
      </c>
      <c r="G724" s="12" t="s">
        <v>27</v>
      </c>
      <c r="H724" s="12" t="s">
        <v>429</v>
      </c>
      <c r="I724" s="14">
        <v>45236</v>
      </c>
      <c r="J724" s="12" t="s">
        <v>1018</v>
      </c>
    </row>
    <row r="725" spans="1:10" s="15" customFormat="1" x14ac:dyDescent="0.15">
      <c r="A725" s="11">
        <v>45239</v>
      </c>
      <c r="B725" s="12" t="s">
        <v>43</v>
      </c>
      <c r="C725" s="12" t="s">
        <v>43</v>
      </c>
      <c r="D725" s="13" t="str">
        <f>HYPERLINK("https://www.marklines.com/en/global/10720","Hyundai Motor Group (China) Ltd.")</f>
        <v>Hyundai Motor Group (China) Ltd.</v>
      </c>
      <c r="E725" s="12" t="s">
        <v>1019</v>
      </c>
      <c r="F725" s="12" t="s">
        <v>20</v>
      </c>
      <c r="G725" s="12" t="s">
        <v>27</v>
      </c>
      <c r="H725" s="12" t="s">
        <v>456</v>
      </c>
      <c r="I725" s="14">
        <v>45236</v>
      </c>
      <c r="J725" s="12" t="s">
        <v>1018</v>
      </c>
    </row>
    <row r="726" spans="1:10" s="15" customFormat="1" x14ac:dyDescent="0.15">
      <c r="A726" s="11">
        <v>45239</v>
      </c>
      <c r="B726" s="12" t="s">
        <v>43</v>
      </c>
      <c r="C726" s="12" t="s">
        <v>43</v>
      </c>
      <c r="D726" s="13" t="str">
        <f>HYPERLINK("https://www.marklines.com/en/global/10358","Hyundai Motor Hydrogen Fuel Cell System (Guangzhou) Co., Ltd. (HTWO Guangzhou)")</f>
        <v>Hyundai Motor Hydrogen Fuel Cell System (Guangzhou) Co., Ltd. (HTWO Guangzhou)</v>
      </c>
      <c r="E726" s="12" t="s">
        <v>394</v>
      </c>
      <c r="F726" s="12" t="s">
        <v>20</v>
      </c>
      <c r="G726" s="12" t="s">
        <v>27</v>
      </c>
      <c r="H726" s="12" t="s">
        <v>357</v>
      </c>
      <c r="I726" s="14">
        <v>45236</v>
      </c>
      <c r="J726" s="12" t="s">
        <v>1018</v>
      </c>
    </row>
    <row r="727" spans="1:10" s="15" customFormat="1" x14ac:dyDescent="0.15">
      <c r="A727" s="11">
        <v>45239</v>
      </c>
      <c r="B727" s="12" t="s">
        <v>1020</v>
      </c>
      <c r="C727" s="12" t="s">
        <v>1021</v>
      </c>
      <c r="D727" s="13" t="str">
        <f>HYPERLINK("https://www.marklines.com/en/global/3943","Xiamen Golden Dragon Bus Co. Ltd.")</f>
        <v>Xiamen Golden Dragon Bus Co. Ltd.</v>
      </c>
      <c r="E727" s="12" t="s">
        <v>1022</v>
      </c>
      <c r="F727" s="12" t="s">
        <v>20</v>
      </c>
      <c r="G727" s="12" t="s">
        <v>27</v>
      </c>
      <c r="H727" s="12" t="s">
        <v>411</v>
      </c>
      <c r="I727" s="14">
        <v>45236</v>
      </c>
      <c r="J727" s="12" t="s">
        <v>1018</v>
      </c>
    </row>
    <row r="728" spans="1:10" s="15" customFormat="1" x14ac:dyDescent="0.15">
      <c r="A728" s="11">
        <v>45239</v>
      </c>
      <c r="B728" s="12" t="s">
        <v>33</v>
      </c>
      <c r="C728" s="12" t="s">
        <v>44</v>
      </c>
      <c r="D728" s="13" t="str">
        <f>HYPERLINK("https://www.marklines.com/en/global/3481","Volkswagen (China) Investment Co., Ltd. ")</f>
        <v xml:space="preserve">Volkswagen (China) Investment Co., Ltd. </v>
      </c>
      <c r="E728" s="12" t="s">
        <v>1023</v>
      </c>
      <c r="F728" s="12" t="s">
        <v>20</v>
      </c>
      <c r="G728" s="12" t="s">
        <v>27</v>
      </c>
      <c r="H728" s="12" t="s">
        <v>456</v>
      </c>
      <c r="I728" s="14">
        <v>45236</v>
      </c>
      <c r="J728" s="12" t="s">
        <v>1024</v>
      </c>
    </row>
    <row r="729" spans="1:10" s="15" customFormat="1" x14ac:dyDescent="0.15">
      <c r="A729" s="11">
        <v>45239</v>
      </c>
      <c r="B729" s="12" t="s">
        <v>33</v>
      </c>
      <c r="C729" s="12" t="s">
        <v>63</v>
      </c>
      <c r="D729" s="13" t="str">
        <f>HYPERLINK("https://www.marklines.com/en/global/3341","FAW-Volkswagen Automotive Co., Ltd.")</f>
        <v>FAW-Volkswagen Automotive Co., Ltd.</v>
      </c>
      <c r="E729" s="12" t="s">
        <v>413</v>
      </c>
      <c r="F729" s="12" t="s">
        <v>20</v>
      </c>
      <c r="G729" s="12" t="s">
        <v>27</v>
      </c>
      <c r="H729" s="12" t="s">
        <v>414</v>
      </c>
      <c r="I729" s="14">
        <v>45236</v>
      </c>
      <c r="J729" s="12" t="s">
        <v>1024</v>
      </c>
    </row>
    <row r="730" spans="1:10" s="15" customFormat="1" x14ac:dyDescent="0.15">
      <c r="A730" s="11">
        <v>45239</v>
      </c>
      <c r="B730" s="12" t="s">
        <v>421</v>
      </c>
      <c r="C730" s="12" t="s">
        <v>421</v>
      </c>
      <c r="D730" s="13" t="str">
        <f>HYPERLINK("https://www.marklines.com/en/global/3341","FAW-Volkswagen Automotive Co., Ltd.")</f>
        <v>FAW-Volkswagen Automotive Co., Ltd.</v>
      </c>
      <c r="E730" s="12" t="s">
        <v>413</v>
      </c>
      <c r="F730" s="12" t="s">
        <v>20</v>
      </c>
      <c r="G730" s="12" t="s">
        <v>27</v>
      </c>
      <c r="H730" s="12" t="s">
        <v>414</v>
      </c>
      <c r="I730" s="14">
        <v>45236</v>
      </c>
      <c r="J730" s="12" t="s">
        <v>1024</v>
      </c>
    </row>
    <row r="731" spans="1:10" s="15" customFormat="1" x14ac:dyDescent="0.15">
      <c r="A731" s="11">
        <v>45239</v>
      </c>
      <c r="B731" s="12" t="s">
        <v>408</v>
      </c>
      <c r="C731" s="12" t="s">
        <v>924</v>
      </c>
      <c r="D731" s="13" t="str">
        <f>HYPERLINK("https://www.marklines.com/en/global/3735","Nanjing Automobile(Group)Corporation")</f>
        <v>Nanjing Automobile(Group)Corporation</v>
      </c>
      <c r="E731" s="12" t="s">
        <v>1025</v>
      </c>
      <c r="F731" s="12" t="s">
        <v>20</v>
      </c>
      <c r="G731" s="12" t="s">
        <v>27</v>
      </c>
      <c r="H731" s="12" t="s">
        <v>278</v>
      </c>
      <c r="I731" s="14">
        <v>45236</v>
      </c>
      <c r="J731" s="12" t="s">
        <v>1026</v>
      </c>
    </row>
    <row r="732" spans="1:10" s="15" customFormat="1" x14ac:dyDescent="0.15">
      <c r="A732" s="11">
        <v>45239</v>
      </c>
      <c r="B732" s="12" t="s">
        <v>408</v>
      </c>
      <c r="C732" s="12" t="s">
        <v>924</v>
      </c>
      <c r="D732" s="13" t="str">
        <f>HYPERLINK("https://www.marklines.com/en/global/6451","SAIC MAXUS Automotive Co., Ltd. Wuxi Branch")</f>
        <v>SAIC MAXUS Automotive Co., Ltd. Wuxi Branch</v>
      </c>
      <c r="E732" s="12" t="s">
        <v>1027</v>
      </c>
      <c r="F732" s="12" t="s">
        <v>20</v>
      </c>
      <c r="G732" s="12" t="s">
        <v>27</v>
      </c>
      <c r="H732" s="12" t="s">
        <v>278</v>
      </c>
      <c r="I732" s="14">
        <v>45236</v>
      </c>
      <c r="J732" s="12" t="s">
        <v>1026</v>
      </c>
    </row>
    <row r="733" spans="1:10" s="15" customFormat="1" x14ac:dyDescent="0.15">
      <c r="A733" s="11">
        <v>45239</v>
      </c>
      <c r="B733" s="12" t="s">
        <v>33</v>
      </c>
      <c r="C733" s="12" t="s">
        <v>44</v>
      </c>
      <c r="D733" s="13" t="str">
        <f>HYPERLINK("https://www.marklines.com/en/global/10605","Mobility Asia Smart Technology Co., Ltd.")</f>
        <v>Mobility Asia Smart Technology Co., Ltd.</v>
      </c>
      <c r="E733" s="12" t="s">
        <v>1028</v>
      </c>
      <c r="F733" s="12" t="s">
        <v>20</v>
      </c>
      <c r="G733" s="12" t="s">
        <v>27</v>
      </c>
      <c r="H733" s="12" t="s">
        <v>456</v>
      </c>
      <c r="I733" s="14">
        <v>45235</v>
      </c>
      <c r="J733" s="12" t="s">
        <v>1029</v>
      </c>
    </row>
    <row r="734" spans="1:10" s="15" customFormat="1" x14ac:dyDescent="0.15">
      <c r="A734" s="11">
        <v>45239</v>
      </c>
      <c r="B734" s="12" t="s">
        <v>33</v>
      </c>
      <c r="C734" s="12" t="s">
        <v>63</v>
      </c>
      <c r="D734" s="13" t="str">
        <f>HYPERLINK("https://www.marklines.com/en/global/10485","Audi FAW New Energy Vehicle Co., Ltd.")</f>
        <v>Audi FAW New Energy Vehicle Co., Ltd.</v>
      </c>
      <c r="E734" s="12" t="s">
        <v>1030</v>
      </c>
      <c r="F734" s="12" t="s">
        <v>20</v>
      </c>
      <c r="G734" s="12" t="s">
        <v>27</v>
      </c>
      <c r="H734" s="12" t="s">
        <v>414</v>
      </c>
      <c r="I734" s="14">
        <v>45235</v>
      </c>
      <c r="J734" s="12" t="s">
        <v>1029</v>
      </c>
    </row>
    <row r="735" spans="1:10" s="15" customFormat="1" x14ac:dyDescent="0.15">
      <c r="A735" s="11">
        <v>45239</v>
      </c>
      <c r="B735" s="12" t="s">
        <v>33</v>
      </c>
      <c r="C735" s="12" t="s">
        <v>63</v>
      </c>
      <c r="D735" s="13" t="str">
        <f>HYPERLINK("https://www.marklines.com/en/global/4119","FAW-Volkswagen Automotive Co., Ltd. Foshan Branch")</f>
        <v>FAW-Volkswagen Automotive Co., Ltd. Foshan Branch</v>
      </c>
      <c r="E735" s="12" t="s">
        <v>1031</v>
      </c>
      <c r="F735" s="12" t="s">
        <v>20</v>
      </c>
      <c r="G735" s="12" t="s">
        <v>27</v>
      </c>
      <c r="H735" s="12" t="s">
        <v>357</v>
      </c>
      <c r="I735" s="14">
        <v>45235</v>
      </c>
      <c r="J735" s="12" t="s">
        <v>1029</v>
      </c>
    </row>
    <row r="736" spans="1:10" s="15" customFormat="1" x14ac:dyDescent="0.15">
      <c r="A736" s="11">
        <v>45239</v>
      </c>
      <c r="B736" s="12" t="s">
        <v>421</v>
      </c>
      <c r="C736" s="12" t="s">
        <v>421</v>
      </c>
      <c r="D736" s="13" t="str">
        <f>HYPERLINK("https://www.marklines.com/en/global/10485","Audi FAW New Energy Vehicle Co., Ltd.")</f>
        <v>Audi FAW New Energy Vehicle Co., Ltd.</v>
      </c>
      <c r="E736" s="12" t="s">
        <v>1030</v>
      </c>
      <c r="F736" s="12" t="s">
        <v>20</v>
      </c>
      <c r="G736" s="12" t="s">
        <v>27</v>
      </c>
      <c r="H736" s="12" t="s">
        <v>414</v>
      </c>
      <c r="I736" s="14">
        <v>45235</v>
      </c>
      <c r="J736" s="12" t="s">
        <v>1029</v>
      </c>
    </row>
    <row r="737" spans="1:10" s="15" customFormat="1" x14ac:dyDescent="0.15">
      <c r="A737" s="11">
        <v>45239</v>
      </c>
      <c r="B737" s="12" t="s">
        <v>421</v>
      </c>
      <c r="C737" s="12" t="s">
        <v>421</v>
      </c>
      <c r="D737" s="13" t="str">
        <f>HYPERLINK("https://www.marklines.com/en/global/4119","FAW-Volkswagen Automotive Co., Ltd. Foshan Branch")</f>
        <v>FAW-Volkswagen Automotive Co., Ltd. Foshan Branch</v>
      </c>
      <c r="E737" s="12" t="s">
        <v>1031</v>
      </c>
      <c r="F737" s="12" t="s">
        <v>20</v>
      </c>
      <c r="G737" s="12" t="s">
        <v>27</v>
      </c>
      <c r="H737" s="12" t="s">
        <v>357</v>
      </c>
      <c r="I737" s="14">
        <v>45235</v>
      </c>
      <c r="J737" s="12" t="s">
        <v>1029</v>
      </c>
    </row>
    <row r="738" spans="1:10" s="15" customFormat="1" x14ac:dyDescent="0.15">
      <c r="A738" s="11">
        <v>45239</v>
      </c>
      <c r="B738" s="12" t="s">
        <v>56</v>
      </c>
      <c r="C738" s="12" t="s">
        <v>56</v>
      </c>
      <c r="D738" s="13" t="str">
        <f>HYPERLINK("https://www.marklines.com/en/global/3955","Guangzhou Fengshen Automobile Co., Ltd. Zhengzhou Branch (formerly Dongfeng Nissan Passenger Vehicle Company (Zhengzhou Plant))")</f>
        <v>Guangzhou Fengshen Automobile Co., Ltd. Zhengzhou Branch (formerly Dongfeng Nissan Passenger Vehicle Company (Zhengzhou Plant))</v>
      </c>
      <c r="E738" s="12" t="s">
        <v>844</v>
      </c>
      <c r="F738" s="12" t="s">
        <v>20</v>
      </c>
      <c r="G738" s="12" t="s">
        <v>27</v>
      </c>
      <c r="H738" s="12" t="s">
        <v>404</v>
      </c>
      <c r="I738" s="14">
        <v>45233</v>
      </c>
      <c r="J738" s="12" t="s">
        <v>1032</v>
      </c>
    </row>
    <row r="739" spans="1:10" s="15" customFormat="1" x14ac:dyDescent="0.15">
      <c r="A739" s="11">
        <v>45239</v>
      </c>
      <c r="B739" s="12" t="s">
        <v>56</v>
      </c>
      <c r="C739" s="12" t="s">
        <v>56</v>
      </c>
      <c r="D739" s="13" t="str">
        <f>HYPERLINK("https://www.marklines.com/en/global/4101","Dongfeng Nissan Passenger Vehicle Company (DFN)")</f>
        <v>Dongfeng Nissan Passenger Vehicle Company (DFN)</v>
      </c>
      <c r="E739" s="12" t="s">
        <v>406</v>
      </c>
      <c r="F739" s="12" t="s">
        <v>20</v>
      </c>
      <c r="G739" s="12" t="s">
        <v>27</v>
      </c>
      <c r="H739" s="12" t="s">
        <v>357</v>
      </c>
      <c r="I739" s="14">
        <v>45233</v>
      </c>
      <c r="J739" s="12" t="s">
        <v>1032</v>
      </c>
    </row>
    <row r="740" spans="1:10" s="15" customFormat="1" x14ac:dyDescent="0.15">
      <c r="A740" s="11">
        <v>45239</v>
      </c>
      <c r="B740" s="12" t="s">
        <v>56</v>
      </c>
      <c r="C740" s="12" t="s">
        <v>56</v>
      </c>
      <c r="D740" s="13" t="str">
        <f>HYPERLINK("https://www.marklines.com/en/global/3955","Guangzhou Fengshen Automobile Co., Ltd. Zhengzhou Branch (formerly Dongfeng Nissan Passenger Vehicle Company (Zhengzhou Plant))")</f>
        <v>Guangzhou Fengshen Automobile Co., Ltd. Zhengzhou Branch (formerly Dongfeng Nissan Passenger Vehicle Company (Zhengzhou Plant))</v>
      </c>
      <c r="E740" s="12" t="s">
        <v>844</v>
      </c>
      <c r="F740" s="12" t="s">
        <v>20</v>
      </c>
      <c r="G740" s="12" t="s">
        <v>27</v>
      </c>
      <c r="H740" s="12" t="s">
        <v>404</v>
      </c>
      <c r="I740" s="14">
        <v>45233</v>
      </c>
      <c r="J740" s="12" t="s">
        <v>1033</v>
      </c>
    </row>
    <row r="741" spans="1:10" s="15" customFormat="1" x14ac:dyDescent="0.15">
      <c r="A741" s="11">
        <v>45239</v>
      </c>
      <c r="B741" s="12" t="s">
        <v>56</v>
      </c>
      <c r="C741" s="12" t="s">
        <v>56</v>
      </c>
      <c r="D741" s="13" t="str">
        <f>HYPERLINK("https://www.marklines.com/en/global/4101","Dongfeng Nissan Passenger Vehicle Company (DFN)")</f>
        <v>Dongfeng Nissan Passenger Vehicle Company (DFN)</v>
      </c>
      <c r="E741" s="12" t="s">
        <v>406</v>
      </c>
      <c r="F741" s="12" t="s">
        <v>20</v>
      </c>
      <c r="G741" s="12" t="s">
        <v>27</v>
      </c>
      <c r="H741" s="12" t="s">
        <v>357</v>
      </c>
      <c r="I741" s="14">
        <v>45233</v>
      </c>
      <c r="J741" s="12" t="s">
        <v>1033</v>
      </c>
    </row>
    <row r="742" spans="1:10" s="15" customFormat="1" x14ac:dyDescent="0.15">
      <c r="A742" s="11">
        <v>45239</v>
      </c>
      <c r="B742" s="12" t="s">
        <v>567</v>
      </c>
      <c r="C742" s="12" t="s">
        <v>567</v>
      </c>
      <c r="D742" s="13" t="str">
        <f>HYPERLINK("https://www.marklines.com/en/global/3743","Changan Mazda Automobile Co., Ltd.")</f>
        <v>Changan Mazda Automobile Co., Ltd.</v>
      </c>
      <c r="E742" s="12" t="s">
        <v>763</v>
      </c>
      <c r="F742" s="12" t="s">
        <v>20</v>
      </c>
      <c r="G742" s="12" t="s">
        <v>27</v>
      </c>
      <c r="H742" s="12" t="s">
        <v>278</v>
      </c>
      <c r="I742" s="14">
        <v>45233</v>
      </c>
      <c r="J742" s="12" t="s">
        <v>1034</v>
      </c>
    </row>
    <row r="743" spans="1:10" s="15" customFormat="1" x14ac:dyDescent="0.15">
      <c r="A743" s="11">
        <v>45238</v>
      </c>
      <c r="B743" s="12" t="s">
        <v>52</v>
      </c>
      <c r="C743" s="12" t="s">
        <v>53</v>
      </c>
      <c r="D743" s="13" t="str">
        <f>HYPERLINK("https://www.marklines.com/en/global/749","LLC Lada, St. Petersburg (former Nissan Manufacturing Rus OOO, Kamenka (St. Petersburg) Plant)")</f>
        <v>LLC Lada, St. Petersburg (former Nissan Manufacturing Rus OOO, Kamenka (St. Petersburg) Plant)</v>
      </c>
      <c r="E743" s="12" t="s">
        <v>1006</v>
      </c>
      <c r="F743" s="12" t="s">
        <v>18</v>
      </c>
      <c r="G743" s="12" t="s">
        <v>14</v>
      </c>
      <c r="H743" s="12"/>
      <c r="I743" s="14">
        <v>45238</v>
      </c>
      <c r="J743" s="12" t="s">
        <v>1035</v>
      </c>
    </row>
    <row r="744" spans="1:10" s="15" customFormat="1" x14ac:dyDescent="0.15">
      <c r="A744" s="11">
        <v>45238</v>
      </c>
      <c r="B744" s="12" t="s">
        <v>24</v>
      </c>
      <c r="C744" s="12" t="s">
        <v>24</v>
      </c>
      <c r="D744" s="13" t="str">
        <f>HYPERLINK("https://www.marklines.com/en/global/613","Ford South Africa, Silverton Assembly Plant")</f>
        <v>Ford South Africa, Silverton Assembly Plant</v>
      </c>
      <c r="E744" s="12" t="s">
        <v>1036</v>
      </c>
      <c r="F744" s="12" t="s">
        <v>69</v>
      </c>
      <c r="G744" s="12" t="s">
        <v>70</v>
      </c>
      <c r="H744" s="12"/>
      <c r="I744" s="14">
        <v>45238</v>
      </c>
      <c r="J744" s="12" t="s">
        <v>1037</v>
      </c>
    </row>
    <row r="745" spans="1:10" s="15" customFormat="1" x14ac:dyDescent="0.15">
      <c r="A745" s="11">
        <v>45238</v>
      </c>
      <c r="B745" s="12" t="s">
        <v>45</v>
      </c>
      <c r="C745" s="12" t="s">
        <v>45</v>
      </c>
      <c r="D745" s="13" t="str">
        <f>HYPERLINK("https://www.marklines.com/en/global/1343","Stellantis, Fiat Powertrain Technologies, Termoli Plant / Automotive Cell Company (ACC), Termoli Plant")</f>
        <v>Stellantis, Fiat Powertrain Technologies, Termoli Plant / Automotive Cell Company (ACC), Termoli Plant</v>
      </c>
      <c r="E745" s="12" t="s">
        <v>222</v>
      </c>
      <c r="F745" s="12" t="s">
        <v>17</v>
      </c>
      <c r="G745" s="12" t="s">
        <v>46</v>
      </c>
      <c r="H745" s="12"/>
      <c r="I745" s="14">
        <v>45237</v>
      </c>
      <c r="J745" s="12" t="s">
        <v>1038</v>
      </c>
    </row>
    <row r="746" spans="1:10" s="15" customFormat="1" x14ac:dyDescent="0.15">
      <c r="A746" s="11">
        <v>45238</v>
      </c>
      <c r="B746" s="12" t="s">
        <v>15</v>
      </c>
      <c r="C746" s="12" t="s">
        <v>15</v>
      </c>
      <c r="D746" s="13" t="str">
        <f>HYPERLINK("https://www.marklines.com/en/global/1029","Honda Atlas Cars (Pakistan) Ltd., Lahore Plant")</f>
        <v>Honda Atlas Cars (Pakistan) Ltd., Lahore Plant</v>
      </c>
      <c r="E746" s="12" t="s">
        <v>463</v>
      </c>
      <c r="F746" s="12" t="s">
        <v>25</v>
      </c>
      <c r="G746" s="12" t="s">
        <v>82</v>
      </c>
      <c r="H746" s="12"/>
      <c r="I746" s="14">
        <v>45237</v>
      </c>
      <c r="J746" s="12" t="s">
        <v>1039</v>
      </c>
    </row>
    <row r="747" spans="1:10" s="15" customFormat="1" x14ac:dyDescent="0.15">
      <c r="A747" s="11">
        <v>45238</v>
      </c>
      <c r="B747" s="12" t="s">
        <v>33</v>
      </c>
      <c r="C747" s="12" t="s">
        <v>63</v>
      </c>
      <c r="D747" s="13" t="str">
        <f>HYPERLINK("https://www.marklines.com/en/global/1777","Audi Hungaria Zrt., Győr Plant (formerly Audi Hungaria Motor Kft.)")</f>
        <v>Audi Hungaria Zrt., Győr Plant (formerly Audi Hungaria Motor Kft.)</v>
      </c>
      <c r="E747" s="12" t="s">
        <v>1040</v>
      </c>
      <c r="F747" s="12" t="s">
        <v>18</v>
      </c>
      <c r="G747" s="12" t="s">
        <v>132</v>
      </c>
      <c r="H747" s="12"/>
      <c r="I747" s="14">
        <v>45237</v>
      </c>
      <c r="J747" s="12" t="s">
        <v>1041</v>
      </c>
    </row>
    <row r="748" spans="1:10" s="15" customFormat="1" x14ac:dyDescent="0.15">
      <c r="A748" s="11">
        <v>45238</v>
      </c>
      <c r="B748" s="12" t="s">
        <v>33</v>
      </c>
      <c r="C748" s="12" t="s">
        <v>63</v>
      </c>
      <c r="D748" s="13" t="str">
        <f>HYPERLINK("https://www.marklines.com/en/global/2199","Audi AG, Ingolstadt Plant")</f>
        <v>Audi AG, Ingolstadt Plant</v>
      </c>
      <c r="E748" s="12" t="s">
        <v>1042</v>
      </c>
      <c r="F748" s="12" t="s">
        <v>17</v>
      </c>
      <c r="G748" s="12" t="s">
        <v>21</v>
      </c>
      <c r="H748" s="12"/>
      <c r="I748" s="14">
        <v>45237</v>
      </c>
      <c r="J748" s="12" t="s">
        <v>1041</v>
      </c>
    </row>
    <row r="749" spans="1:10" s="15" customFormat="1" x14ac:dyDescent="0.15">
      <c r="A749" s="11">
        <v>45238</v>
      </c>
      <c r="B749" s="12" t="s">
        <v>12</v>
      </c>
      <c r="C749" s="12" t="s">
        <v>19</v>
      </c>
      <c r="D749" s="13" t="str">
        <f>HYPERLINK("https://www.marklines.com/en/global/2459","General Motors, Factory ZERO (Detroit-Hamtramck Plant) ")</f>
        <v xml:space="preserve">General Motors, Factory ZERO (Detroit-Hamtramck Plant) </v>
      </c>
      <c r="E749" s="12" t="s">
        <v>528</v>
      </c>
      <c r="F749" s="12" t="s">
        <v>16</v>
      </c>
      <c r="G749" s="12" t="s">
        <v>11</v>
      </c>
      <c r="H749" s="12" t="s">
        <v>40</v>
      </c>
      <c r="I749" s="14">
        <v>45237</v>
      </c>
      <c r="J749" s="12" t="s">
        <v>1043</v>
      </c>
    </row>
    <row r="750" spans="1:10" s="15" customFormat="1" x14ac:dyDescent="0.15">
      <c r="A750" s="11">
        <v>45238</v>
      </c>
      <c r="B750" s="12" t="s">
        <v>65</v>
      </c>
      <c r="C750" s="12" t="s">
        <v>348</v>
      </c>
      <c r="D750" s="13" t="str">
        <f>HYPERLINK("https://www.marklines.com/en/global/2673","Stellantis, FCA Canada, Etobicoke Casting Plant")</f>
        <v>Stellantis, FCA Canada, Etobicoke Casting Plant</v>
      </c>
      <c r="E750" s="12" t="s">
        <v>478</v>
      </c>
      <c r="F750" s="12" t="s">
        <v>16</v>
      </c>
      <c r="G750" s="12" t="s">
        <v>446</v>
      </c>
      <c r="H750" s="12"/>
      <c r="I750" s="14">
        <v>45236</v>
      </c>
      <c r="J750" s="12" t="s">
        <v>1044</v>
      </c>
    </row>
    <row r="751" spans="1:10" s="15" customFormat="1" x14ac:dyDescent="0.15">
      <c r="A751" s="11">
        <v>45238</v>
      </c>
      <c r="B751" s="12" t="s">
        <v>65</v>
      </c>
      <c r="C751" s="12" t="s">
        <v>348</v>
      </c>
      <c r="D751" s="13" t="str">
        <f>HYPERLINK("https://www.marklines.com/en/global/2671","Stellantis, FCA Canada, Brampton Assembly Plant and Brampton Satellite Stamping Plant")</f>
        <v>Stellantis, FCA Canada, Brampton Assembly Plant and Brampton Satellite Stamping Plant</v>
      </c>
      <c r="E751" s="12" t="s">
        <v>476</v>
      </c>
      <c r="F751" s="12" t="s">
        <v>16</v>
      </c>
      <c r="G751" s="12" t="s">
        <v>446</v>
      </c>
      <c r="H751" s="12"/>
      <c r="I751" s="14">
        <v>45236</v>
      </c>
      <c r="J751" s="12" t="s">
        <v>1044</v>
      </c>
    </row>
    <row r="752" spans="1:10" s="15" customFormat="1" x14ac:dyDescent="0.15">
      <c r="A752" s="11">
        <v>45238</v>
      </c>
      <c r="B752" s="12" t="s">
        <v>65</v>
      </c>
      <c r="C752" s="12" t="s">
        <v>348</v>
      </c>
      <c r="D752" s="13" t="str">
        <f>HYPERLINK("https://www.marklines.com/en/global/2675","Stellantis, FCA Canada, Windsor Assembly Plant")</f>
        <v>Stellantis, FCA Canada, Windsor Assembly Plant</v>
      </c>
      <c r="E752" s="12" t="s">
        <v>479</v>
      </c>
      <c r="F752" s="12" t="s">
        <v>16</v>
      </c>
      <c r="G752" s="12" t="s">
        <v>446</v>
      </c>
      <c r="H752" s="12"/>
      <c r="I752" s="14">
        <v>45236</v>
      </c>
      <c r="J752" s="12" t="s">
        <v>1044</v>
      </c>
    </row>
    <row r="753" spans="1:10" s="15" customFormat="1" x14ac:dyDescent="0.15">
      <c r="A753" s="11">
        <v>45238</v>
      </c>
      <c r="B753" s="12" t="s">
        <v>65</v>
      </c>
      <c r="C753" s="12" t="s">
        <v>480</v>
      </c>
      <c r="D753" s="13" t="str">
        <f>HYPERLINK("https://www.marklines.com/en/global/2671","Stellantis, FCA Canada, Brampton Assembly Plant and Brampton Satellite Stamping Plant")</f>
        <v>Stellantis, FCA Canada, Brampton Assembly Plant and Brampton Satellite Stamping Plant</v>
      </c>
      <c r="E753" s="12" t="s">
        <v>476</v>
      </c>
      <c r="F753" s="12" t="s">
        <v>16</v>
      </c>
      <c r="G753" s="12" t="s">
        <v>446</v>
      </c>
      <c r="H753" s="12"/>
      <c r="I753" s="14">
        <v>45236</v>
      </c>
      <c r="J753" s="12" t="s">
        <v>1044</v>
      </c>
    </row>
    <row r="754" spans="1:10" s="15" customFormat="1" x14ac:dyDescent="0.15">
      <c r="A754" s="11">
        <v>45238</v>
      </c>
      <c r="B754" s="12" t="s">
        <v>65</v>
      </c>
      <c r="C754" s="12" t="s">
        <v>480</v>
      </c>
      <c r="D754" s="13" t="str">
        <f>HYPERLINK("https://www.marklines.com/en/global/2675","Stellantis, FCA Canada, Windsor Assembly Plant")</f>
        <v>Stellantis, FCA Canada, Windsor Assembly Plant</v>
      </c>
      <c r="E754" s="12" t="s">
        <v>479</v>
      </c>
      <c r="F754" s="12" t="s">
        <v>16</v>
      </c>
      <c r="G754" s="12" t="s">
        <v>446</v>
      </c>
      <c r="H754" s="12"/>
      <c r="I754" s="14">
        <v>45236</v>
      </c>
      <c r="J754" s="12" t="s">
        <v>1044</v>
      </c>
    </row>
    <row r="755" spans="1:10" s="15" customFormat="1" x14ac:dyDescent="0.15">
      <c r="A755" s="11">
        <v>45238</v>
      </c>
      <c r="B755" s="12" t="s">
        <v>65</v>
      </c>
      <c r="C755" s="12" t="s">
        <v>66</v>
      </c>
      <c r="D755" s="13" t="str">
        <f>HYPERLINK("https://www.marklines.com/en/global/2671","Stellantis, FCA Canada, Brampton Assembly Plant and Brampton Satellite Stamping Plant")</f>
        <v>Stellantis, FCA Canada, Brampton Assembly Plant and Brampton Satellite Stamping Plant</v>
      </c>
      <c r="E755" s="12" t="s">
        <v>476</v>
      </c>
      <c r="F755" s="12" t="s">
        <v>16</v>
      </c>
      <c r="G755" s="12" t="s">
        <v>446</v>
      </c>
      <c r="H755" s="12"/>
      <c r="I755" s="14">
        <v>45236</v>
      </c>
      <c r="J755" s="12" t="s">
        <v>1044</v>
      </c>
    </row>
    <row r="756" spans="1:10" s="15" customFormat="1" x14ac:dyDescent="0.15">
      <c r="A756" s="11">
        <v>45238</v>
      </c>
      <c r="B756" s="12" t="s">
        <v>300</v>
      </c>
      <c r="C756" s="12" t="s">
        <v>300</v>
      </c>
      <c r="D756" s="13" t="str">
        <f>HYPERLINK("https://www.marklines.com/en/global/2431","KG Mobility (formerly Ssangyong Motor), Changwon Plant")</f>
        <v>KG Mobility (formerly Ssangyong Motor), Changwon Plant</v>
      </c>
      <c r="E756" s="12" t="s">
        <v>1045</v>
      </c>
      <c r="F756" s="12" t="s">
        <v>20</v>
      </c>
      <c r="G756" s="12" t="s">
        <v>79</v>
      </c>
      <c r="H756" s="12"/>
      <c r="I756" s="14">
        <v>45232</v>
      </c>
      <c r="J756" s="12" t="s">
        <v>1046</v>
      </c>
    </row>
    <row r="757" spans="1:10" s="15" customFormat="1" x14ac:dyDescent="0.15">
      <c r="A757" s="11">
        <v>45237</v>
      </c>
      <c r="B757" s="12" t="s">
        <v>400</v>
      </c>
      <c r="C757" s="12" t="s">
        <v>900</v>
      </c>
      <c r="D757" s="13" t="str">
        <f>HYPERLINK("https://www.marklines.com/en/global/10727","Asia-Europe New Energy Vehicle Manufacturing (Chongqing) Co., Ltd.")</f>
        <v>Asia-Europe New Energy Vehicle Manufacturing (Chongqing) Co., Ltd.</v>
      </c>
      <c r="E757" s="12" t="s">
        <v>1047</v>
      </c>
      <c r="F757" s="12" t="s">
        <v>20</v>
      </c>
      <c r="G757" s="12" t="s">
        <v>27</v>
      </c>
      <c r="H757" s="12" t="s">
        <v>29</v>
      </c>
      <c r="I757" s="14">
        <v>45236</v>
      </c>
      <c r="J757" s="12" t="s">
        <v>1048</v>
      </c>
    </row>
    <row r="758" spans="1:10" s="15" customFormat="1" x14ac:dyDescent="0.15">
      <c r="A758" s="11">
        <v>45237</v>
      </c>
      <c r="B758" s="12" t="s">
        <v>217</v>
      </c>
      <c r="C758" s="12" t="s">
        <v>217</v>
      </c>
      <c r="D758" s="13" t="str">
        <f>HYPERLINK("https://www.marklines.com/en/global/1109","Ashok Leyland, Pantnagar Plant")</f>
        <v>Ashok Leyland, Pantnagar Plant</v>
      </c>
      <c r="E758" s="12" t="s">
        <v>826</v>
      </c>
      <c r="F758" s="12" t="s">
        <v>25</v>
      </c>
      <c r="G758" s="12" t="s">
        <v>26</v>
      </c>
      <c r="H758" s="12" t="s">
        <v>827</v>
      </c>
      <c r="I758" s="14">
        <v>45236</v>
      </c>
      <c r="J758" s="12" t="s">
        <v>1049</v>
      </c>
    </row>
    <row r="759" spans="1:10" s="15" customFormat="1" x14ac:dyDescent="0.15">
      <c r="A759" s="11">
        <v>45237</v>
      </c>
      <c r="B759" s="12" t="s">
        <v>22</v>
      </c>
      <c r="C759" s="12" t="s">
        <v>22</v>
      </c>
      <c r="D759" s="13" t="str">
        <f>HYPERLINK("https://www.marklines.com/en/global/1445","Toyota Motor Manufacturing Turkey Inc. (TMMT), Sakarya (Adapazari) Plant")</f>
        <v>Toyota Motor Manufacturing Turkey Inc. (TMMT), Sakarya (Adapazari) Plant</v>
      </c>
      <c r="E759" s="12" t="s">
        <v>1050</v>
      </c>
      <c r="F759" s="12" t="s">
        <v>106</v>
      </c>
      <c r="G759" s="12" t="s">
        <v>107</v>
      </c>
      <c r="H759" s="12"/>
      <c r="I759" s="14">
        <v>45236</v>
      </c>
      <c r="J759" s="12" t="s">
        <v>1051</v>
      </c>
    </row>
    <row r="760" spans="1:10" s="15" customFormat="1" x14ac:dyDescent="0.15">
      <c r="A760" s="11">
        <v>45237</v>
      </c>
      <c r="B760" s="12" t="s">
        <v>15</v>
      </c>
      <c r="C760" s="12" t="s">
        <v>1052</v>
      </c>
      <c r="D760" s="13" t="str">
        <f>HYPERLINK("https://www.marklines.com/en/global/2523","General Motors, Spring Hill Manufacturing (formerly Spring Hill Assembly)")</f>
        <v>General Motors, Spring Hill Manufacturing (formerly Spring Hill Assembly)</v>
      </c>
      <c r="E760" s="12" t="s">
        <v>1053</v>
      </c>
      <c r="F760" s="12" t="s">
        <v>16</v>
      </c>
      <c r="G760" s="12" t="s">
        <v>11</v>
      </c>
      <c r="H760" s="12" t="s">
        <v>490</v>
      </c>
      <c r="I760" s="14">
        <v>45234</v>
      </c>
      <c r="J760" s="12" t="s">
        <v>1054</v>
      </c>
    </row>
    <row r="761" spans="1:10" s="15" customFormat="1" x14ac:dyDescent="0.15">
      <c r="A761" s="11">
        <v>45237</v>
      </c>
      <c r="B761" s="12" t="s">
        <v>12</v>
      </c>
      <c r="C761" s="12" t="s">
        <v>19</v>
      </c>
      <c r="D761" s="13" t="str">
        <f>HYPERLINK("https://www.marklines.com/en/global/2479","General Motors, Orion Assembly Plant")</f>
        <v>General Motors, Orion Assembly Plant</v>
      </c>
      <c r="E761" s="12" t="s">
        <v>526</v>
      </c>
      <c r="F761" s="12" t="s">
        <v>16</v>
      </c>
      <c r="G761" s="12" t="s">
        <v>11</v>
      </c>
      <c r="H761" s="12" t="s">
        <v>40</v>
      </c>
      <c r="I761" s="14">
        <v>45234</v>
      </c>
      <c r="J761" s="12" t="s">
        <v>1054</v>
      </c>
    </row>
    <row r="762" spans="1:10" s="15" customFormat="1" x14ac:dyDescent="0.15">
      <c r="A762" s="11">
        <v>45237</v>
      </c>
      <c r="B762" s="12" t="s">
        <v>12</v>
      </c>
      <c r="C762" s="12" t="s">
        <v>19</v>
      </c>
      <c r="D762" s="13" t="str">
        <f>HYPERLINK("https://www.marklines.com/en/global/2475","General Motors, Lansing Grand River Plant")</f>
        <v>General Motors, Lansing Grand River Plant</v>
      </c>
      <c r="E762" s="12" t="s">
        <v>1055</v>
      </c>
      <c r="F762" s="12" t="s">
        <v>16</v>
      </c>
      <c r="G762" s="12" t="s">
        <v>11</v>
      </c>
      <c r="H762" s="12" t="s">
        <v>40</v>
      </c>
      <c r="I762" s="14">
        <v>45234</v>
      </c>
      <c r="J762" s="12" t="s">
        <v>1054</v>
      </c>
    </row>
    <row r="763" spans="1:10" s="15" customFormat="1" x14ac:dyDescent="0.15">
      <c r="A763" s="11">
        <v>45237</v>
      </c>
      <c r="B763" s="12" t="s">
        <v>12</v>
      </c>
      <c r="C763" s="12" t="s">
        <v>19</v>
      </c>
      <c r="D763" s="13" t="str">
        <f>HYPERLINK("https://www.marklines.com/en/global/2519","General Motors, Fairfax Assembly &amp; Stamping Plant")</f>
        <v>General Motors, Fairfax Assembly &amp; Stamping Plant</v>
      </c>
      <c r="E763" s="12" t="s">
        <v>1056</v>
      </c>
      <c r="F763" s="12" t="s">
        <v>16</v>
      </c>
      <c r="G763" s="12" t="s">
        <v>11</v>
      </c>
      <c r="H763" s="12" t="s">
        <v>1057</v>
      </c>
      <c r="I763" s="14">
        <v>45234</v>
      </c>
      <c r="J763" s="12" t="s">
        <v>1054</v>
      </c>
    </row>
    <row r="764" spans="1:10" s="15" customFormat="1" x14ac:dyDescent="0.15">
      <c r="A764" s="11">
        <v>45237</v>
      </c>
      <c r="B764" s="12" t="s">
        <v>12</v>
      </c>
      <c r="C764" s="12" t="s">
        <v>1058</v>
      </c>
      <c r="D764" s="13" t="str">
        <f>HYPERLINK("https://www.marklines.com/en/global/2519","General Motors, Fairfax Assembly &amp; Stamping Plant")</f>
        <v>General Motors, Fairfax Assembly &amp; Stamping Plant</v>
      </c>
      <c r="E764" s="12" t="s">
        <v>1056</v>
      </c>
      <c r="F764" s="12" t="s">
        <v>16</v>
      </c>
      <c r="G764" s="12" t="s">
        <v>11</v>
      </c>
      <c r="H764" s="12" t="s">
        <v>1057</v>
      </c>
      <c r="I764" s="14">
        <v>45234</v>
      </c>
      <c r="J764" s="12" t="s">
        <v>1054</v>
      </c>
    </row>
    <row r="765" spans="1:10" s="15" customFormat="1" x14ac:dyDescent="0.15">
      <c r="A765" s="11">
        <v>45237</v>
      </c>
      <c r="B765" s="12" t="s">
        <v>12</v>
      </c>
      <c r="C765" s="12" t="s">
        <v>529</v>
      </c>
      <c r="D765" s="13" t="str">
        <f>HYPERLINK("https://www.marklines.com/en/global/2523","General Motors, Spring Hill Manufacturing (formerly Spring Hill Assembly)")</f>
        <v>General Motors, Spring Hill Manufacturing (formerly Spring Hill Assembly)</v>
      </c>
      <c r="E765" s="12" t="s">
        <v>1053</v>
      </c>
      <c r="F765" s="12" t="s">
        <v>16</v>
      </c>
      <c r="G765" s="12" t="s">
        <v>11</v>
      </c>
      <c r="H765" s="12" t="s">
        <v>490</v>
      </c>
      <c r="I765" s="14">
        <v>45234</v>
      </c>
      <c r="J765" s="12" t="s">
        <v>1054</v>
      </c>
    </row>
    <row r="766" spans="1:10" s="15" customFormat="1" x14ac:dyDescent="0.15">
      <c r="A766" s="11">
        <v>45237</v>
      </c>
      <c r="B766" s="12" t="s">
        <v>12</v>
      </c>
      <c r="C766" s="12" t="s">
        <v>529</v>
      </c>
      <c r="D766" s="13" t="str">
        <f>HYPERLINK("https://www.marklines.com/en/global/2475","General Motors, Lansing Grand River Plant")</f>
        <v>General Motors, Lansing Grand River Plant</v>
      </c>
      <c r="E766" s="12" t="s">
        <v>1055</v>
      </c>
      <c r="F766" s="12" t="s">
        <v>16</v>
      </c>
      <c r="G766" s="12" t="s">
        <v>11</v>
      </c>
      <c r="H766" s="12" t="s">
        <v>40</v>
      </c>
      <c r="I766" s="14">
        <v>45234</v>
      </c>
      <c r="J766" s="12" t="s">
        <v>1054</v>
      </c>
    </row>
    <row r="767" spans="1:10" s="15" customFormat="1" x14ac:dyDescent="0.15">
      <c r="A767" s="11">
        <v>45237</v>
      </c>
      <c r="B767" s="12" t="s">
        <v>12</v>
      </c>
      <c r="C767" s="12" t="s">
        <v>529</v>
      </c>
      <c r="D767" s="13" t="str">
        <f>HYPERLINK("https://www.marklines.com/en/global/2519","General Motors, Fairfax Assembly &amp; Stamping Plant")</f>
        <v>General Motors, Fairfax Assembly &amp; Stamping Plant</v>
      </c>
      <c r="E767" s="12" t="s">
        <v>1056</v>
      </c>
      <c r="F767" s="12" t="s">
        <v>16</v>
      </c>
      <c r="G767" s="12" t="s">
        <v>11</v>
      </c>
      <c r="H767" s="12" t="s">
        <v>1057</v>
      </c>
      <c r="I767" s="14">
        <v>45234</v>
      </c>
      <c r="J767" s="12" t="s">
        <v>1054</v>
      </c>
    </row>
    <row r="768" spans="1:10" s="15" customFormat="1" x14ac:dyDescent="0.15">
      <c r="A768" s="11">
        <v>45237</v>
      </c>
      <c r="B768" s="12" t="s">
        <v>12</v>
      </c>
      <c r="C768" s="12" t="s">
        <v>530</v>
      </c>
      <c r="D768" s="13" t="str">
        <f>HYPERLINK("https://www.marklines.com/en/global/2479","General Motors, Orion Assembly Plant")</f>
        <v>General Motors, Orion Assembly Plant</v>
      </c>
      <c r="E768" s="12" t="s">
        <v>526</v>
      </c>
      <c r="F768" s="12" t="s">
        <v>16</v>
      </c>
      <c r="G768" s="12" t="s">
        <v>11</v>
      </c>
      <c r="H768" s="12" t="s">
        <v>40</v>
      </c>
      <c r="I768" s="14">
        <v>45234</v>
      </c>
      <c r="J768" s="12" t="s">
        <v>1054</v>
      </c>
    </row>
    <row r="769" spans="1:10" s="15" customFormat="1" x14ac:dyDescent="0.15">
      <c r="A769" s="11">
        <v>45237</v>
      </c>
      <c r="B769" s="12" t="s">
        <v>24</v>
      </c>
      <c r="C769" s="12" t="s">
        <v>24</v>
      </c>
      <c r="D769" s="13" t="str">
        <f>HYPERLINK("https://www.marklines.com/en/global/2605","Ford Motor, Louisville Assembly Plant")</f>
        <v>Ford Motor, Louisville Assembly Plant</v>
      </c>
      <c r="E769" s="12" t="s">
        <v>252</v>
      </c>
      <c r="F769" s="12" t="s">
        <v>16</v>
      </c>
      <c r="G769" s="12" t="s">
        <v>11</v>
      </c>
      <c r="H769" s="12" t="s">
        <v>90</v>
      </c>
      <c r="I769" s="14">
        <v>45234</v>
      </c>
      <c r="J769" s="12" t="s">
        <v>1059</v>
      </c>
    </row>
    <row r="770" spans="1:10" s="15" customFormat="1" x14ac:dyDescent="0.15">
      <c r="A770" s="11">
        <v>45237</v>
      </c>
      <c r="B770" s="12" t="s">
        <v>24</v>
      </c>
      <c r="C770" s="12" t="s">
        <v>122</v>
      </c>
      <c r="D770" s="13" t="str">
        <f>HYPERLINK("https://www.marklines.com/en/global/2605","Ford Motor, Louisville Assembly Plant")</f>
        <v>Ford Motor, Louisville Assembly Plant</v>
      </c>
      <c r="E770" s="12" t="s">
        <v>252</v>
      </c>
      <c r="F770" s="12" t="s">
        <v>16</v>
      </c>
      <c r="G770" s="12" t="s">
        <v>11</v>
      </c>
      <c r="H770" s="12" t="s">
        <v>90</v>
      </c>
      <c r="I770" s="14">
        <v>45234</v>
      </c>
      <c r="J770" s="12" t="s">
        <v>1059</v>
      </c>
    </row>
    <row r="771" spans="1:10" s="15" customFormat="1" x14ac:dyDescent="0.15">
      <c r="A771" s="11">
        <v>45237</v>
      </c>
      <c r="B771" s="12" t="s">
        <v>1060</v>
      </c>
      <c r="C771" s="12" t="s">
        <v>1060</v>
      </c>
      <c r="D771" s="13" t="str">
        <f>HYPERLINK("https://www.marklines.com/en/global/9889","Beijing CHJ Information Technology Co., Ltd.")</f>
        <v>Beijing CHJ Information Technology Co., Ltd.</v>
      </c>
      <c r="E771" s="12" t="s">
        <v>1061</v>
      </c>
      <c r="F771" s="12" t="s">
        <v>20</v>
      </c>
      <c r="G771" s="12" t="s">
        <v>27</v>
      </c>
      <c r="H771" s="12" t="s">
        <v>456</v>
      </c>
      <c r="I771" s="14">
        <v>45233</v>
      </c>
      <c r="J771" s="12" t="s">
        <v>1062</v>
      </c>
    </row>
    <row r="772" spans="1:10" s="15" customFormat="1" x14ac:dyDescent="0.15">
      <c r="A772" s="11">
        <v>45237</v>
      </c>
      <c r="B772" s="12" t="s">
        <v>33</v>
      </c>
      <c r="C772" s="12" t="s">
        <v>332</v>
      </c>
      <c r="D772" s="13" t="str">
        <f>HYPERLINK("https://www.marklines.com/en/global/10605","Mobility Asia Smart Technology Co., Ltd.")</f>
        <v>Mobility Asia Smart Technology Co., Ltd.</v>
      </c>
      <c r="E772" s="12" t="s">
        <v>1028</v>
      </c>
      <c r="F772" s="12" t="s">
        <v>20</v>
      </c>
      <c r="G772" s="12" t="s">
        <v>27</v>
      </c>
      <c r="H772" s="12" t="s">
        <v>456</v>
      </c>
      <c r="I772" s="14">
        <v>45233</v>
      </c>
      <c r="J772" s="12" t="s">
        <v>1063</v>
      </c>
    </row>
    <row r="773" spans="1:10" s="15" customFormat="1" x14ac:dyDescent="0.15">
      <c r="A773" s="11">
        <v>45237</v>
      </c>
      <c r="B773" s="12" t="s">
        <v>254</v>
      </c>
      <c r="C773" s="12" t="s">
        <v>254</v>
      </c>
      <c r="D773" s="13" t="str">
        <f>HYPERLINK("https://www.marklines.com/en/global/10321","Tesla Gigafactory Texas")</f>
        <v>Tesla Gigafactory Texas</v>
      </c>
      <c r="E773" s="12" t="s">
        <v>255</v>
      </c>
      <c r="F773" s="12" t="s">
        <v>16</v>
      </c>
      <c r="G773" s="12" t="s">
        <v>11</v>
      </c>
      <c r="H773" s="12" t="s">
        <v>256</v>
      </c>
      <c r="I773" s="14">
        <v>45233</v>
      </c>
      <c r="J773" s="12" t="s">
        <v>1064</v>
      </c>
    </row>
    <row r="774" spans="1:10" s="15" customFormat="1" x14ac:dyDescent="0.15">
      <c r="A774" s="11">
        <v>45237</v>
      </c>
      <c r="B774" s="12" t="s">
        <v>254</v>
      </c>
      <c r="C774" s="12" t="s">
        <v>254</v>
      </c>
      <c r="D774" s="13" t="str">
        <f>HYPERLINK("https://www.marklines.com/en/global/9895","Tesla Gigafactory Berlin-Brandenburg")</f>
        <v>Tesla Gigafactory Berlin-Brandenburg</v>
      </c>
      <c r="E774" s="12" t="s">
        <v>325</v>
      </c>
      <c r="F774" s="12" t="s">
        <v>17</v>
      </c>
      <c r="G774" s="12" t="s">
        <v>21</v>
      </c>
      <c r="H774" s="12"/>
      <c r="I774" s="14">
        <v>45233</v>
      </c>
      <c r="J774" s="12" t="s">
        <v>1064</v>
      </c>
    </row>
    <row r="775" spans="1:10" s="15" customFormat="1" x14ac:dyDescent="0.15">
      <c r="A775" s="11">
        <v>45237</v>
      </c>
      <c r="B775" s="12" t="s">
        <v>254</v>
      </c>
      <c r="C775" s="12" t="s">
        <v>254</v>
      </c>
      <c r="D775" s="13" t="str">
        <f>HYPERLINK("https://www.marklines.com/en/global/10671","Tesla Gigafactory Mexico")</f>
        <v>Tesla Gigafactory Mexico</v>
      </c>
      <c r="E775" s="12" t="s">
        <v>450</v>
      </c>
      <c r="F775" s="12" t="s">
        <v>16</v>
      </c>
      <c r="G775" s="12" t="s">
        <v>91</v>
      </c>
      <c r="H775" s="12"/>
      <c r="I775" s="14">
        <v>45233</v>
      </c>
      <c r="J775" s="12" t="s">
        <v>1064</v>
      </c>
    </row>
    <row r="776" spans="1:10" s="15" customFormat="1" x14ac:dyDescent="0.15">
      <c r="A776" s="11">
        <v>45237</v>
      </c>
      <c r="B776" s="12" t="s">
        <v>254</v>
      </c>
      <c r="C776" s="12" t="s">
        <v>254</v>
      </c>
      <c r="D776" s="13" t="str">
        <f>HYPERLINK("https://www.marklines.com/en/global/9895","Tesla Gigafactory Berlin-Brandenburg")</f>
        <v>Tesla Gigafactory Berlin-Brandenburg</v>
      </c>
      <c r="E776" s="12" t="s">
        <v>325</v>
      </c>
      <c r="F776" s="12" t="s">
        <v>17</v>
      </c>
      <c r="G776" s="12" t="s">
        <v>21</v>
      </c>
      <c r="H776" s="12"/>
      <c r="I776" s="14">
        <v>45233</v>
      </c>
      <c r="J776" s="12" t="s">
        <v>1065</v>
      </c>
    </row>
    <row r="777" spans="1:10" s="15" customFormat="1" x14ac:dyDescent="0.15">
      <c r="A777" s="11">
        <v>45237</v>
      </c>
      <c r="B777" s="12" t="s">
        <v>111</v>
      </c>
      <c r="C777" s="12" t="s">
        <v>112</v>
      </c>
      <c r="D777" s="13" t="str">
        <f>HYPERLINK("https://www.marklines.com/en/global/1156","Tata Passenger Electric Mobility Limited (TPEML), Sanand Plant (formerly Ford India, Sanand Plant)")</f>
        <v>Tata Passenger Electric Mobility Limited (TPEML), Sanand Plant (formerly Ford India, Sanand Plant)</v>
      </c>
      <c r="E777" s="12" t="s">
        <v>1066</v>
      </c>
      <c r="F777" s="12" t="s">
        <v>25</v>
      </c>
      <c r="G777" s="12" t="s">
        <v>26</v>
      </c>
      <c r="H777" s="12" t="s">
        <v>470</v>
      </c>
      <c r="I777" s="14">
        <v>45232</v>
      </c>
      <c r="J777" s="12" t="s">
        <v>1067</v>
      </c>
    </row>
    <row r="778" spans="1:10" s="15" customFormat="1" x14ac:dyDescent="0.15">
      <c r="A778" s="11">
        <v>45237</v>
      </c>
      <c r="B778" s="12" t="s">
        <v>13</v>
      </c>
      <c r="C778" s="12" t="s">
        <v>1068</v>
      </c>
      <c r="D778" s="13" t="str">
        <f>HYPERLINK("https://www.marklines.com/en/global/59","Bollore")</f>
        <v>Bollore</v>
      </c>
      <c r="E778" s="12" t="s">
        <v>1069</v>
      </c>
      <c r="F778" s="12" t="s">
        <v>17</v>
      </c>
      <c r="G778" s="12" t="s">
        <v>32</v>
      </c>
      <c r="H778" s="12"/>
      <c r="I778" s="14">
        <v>45231</v>
      </c>
      <c r="J778" s="12" t="s">
        <v>1070</v>
      </c>
    </row>
    <row r="779" spans="1:10" s="15" customFormat="1" x14ac:dyDescent="0.15">
      <c r="A779" s="11">
        <v>45237</v>
      </c>
      <c r="B779" s="12" t="s">
        <v>13</v>
      </c>
      <c r="C779" s="12" t="s">
        <v>1068</v>
      </c>
      <c r="D779" s="13" t="str">
        <f>HYPERLINK("https://www.marklines.com/en/global/9842","Blue Solutions, Ergue-Gaberic plant")</f>
        <v>Blue Solutions, Ergue-Gaberic plant</v>
      </c>
      <c r="E779" s="12" t="s">
        <v>1071</v>
      </c>
      <c r="F779" s="12" t="s">
        <v>17</v>
      </c>
      <c r="G779" s="12" t="s">
        <v>32</v>
      </c>
      <c r="H779" s="12"/>
      <c r="I779" s="14">
        <v>45231</v>
      </c>
      <c r="J779" s="12" t="s">
        <v>1070</v>
      </c>
    </row>
    <row r="780" spans="1:10" s="15" customFormat="1" x14ac:dyDescent="0.15">
      <c r="A780" s="11">
        <v>45237</v>
      </c>
      <c r="B780" s="12" t="s">
        <v>13</v>
      </c>
      <c r="C780" s="12" t="s">
        <v>51</v>
      </c>
      <c r="D780" s="13" t="str">
        <f>HYPERLINK("https://www.marklines.com/en/global/10685","Alexander Dennis Ltd., Larbert Plant")</f>
        <v>Alexander Dennis Ltd., Larbert Plant</v>
      </c>
      <c r="E780" s="12" t="s">
        <v>151</v>
      </c>
      <c r="F780" s="12" t="s">
        <v>17</v>
      </c>
      <c r="G780" s="12" t="s">
        <v>47</v>
      </c>
      <c r="H780" s="12"/>
      <c r="I780" s="14">
        <v>45231</v>
      </c>
      <c r="J780" s="12" t="s">
        <v>1072</v>
      </c>
    </row>
    <row r="781" spans="1:10" s="15" customFormat="1" x14ac:dyDescent="0.15">
      <c r="A781" s="11">
        <v>45237</v>
      </c>
      <c r="B781" s="12" t="s">
        <v>13</v>
      </c>
      <c r="C781" s="12" t="s">
        <v>51</v>
      </c>
      <c r="D781" s="13" t="str">
        <f>HYPERLINK("https://www.marklines.com/en/global/10472","Alexander Dennis Ltd., Plaxton – Scarborough Plant")</f>
        <v>Alexander Dennis Ltd., Plaxton – Scarborough Plant</v>
      </c>
      <c r="E781" s="12" t="s">
        <v>121</v>
      </c>
      <c r="F781" s="12" t="s">
        <v>17</v>
      </c>
      <c r="G781" s="12" t="s">
        <v>47</v>
      </c>
      <c r="H781" s="12"/>
      <c r="I781" s="14">
        <v>45231</v>
      </c>
      <c r="J781" s="12" t="s">
        <v>1072</v>
      </c>
    </row>
    <row r="782" spans="1:10" s="15" customFormat="1" x14ac:dyDescent="0.15">
      <c r="A782" s="11">
        <v>45236</v>
      </c>
      <c r="B782" s="12" t="s">
        <v>24</v>
      </c>
      <c r="C782" s="12" t="s">
        <v>24</v>
      </c>
      <c r="D782" s="13" t="str">
        <f>HYPERLINK("https://www.marklines.com/en/global/8682","Ford Otomotiv Sanayi A.Ş. (Ford Otosan), Yeniköy Plant (Kocaeli Plant) ")</f>
        <v xml:space="preserve">Ford Otomotiv Sanayi A.Ş. (Ford Otosan), Yeniköy Plant (Kocaeli Plant) </v>
      </c>
      <c r="E782" s="12" t="s">
        <v>309</v>
      </c>
      <c r="F782" s="12" t="s">
        <v>106</v>
      </c>
      <c r="G782" s="12" t="s">
        <v>107</v>
      </c>
      <c r="H782" s="12"/>
      <c r="I782" s="14">
        <v>45234</v>
      </c>
      <c r="J782" s="12" t="s">
        <v>859</v>
      </c>
    </row>
    <row r="783" spans="1:10" s="15" customFormat="1" x14ac:dyDescent="0.15">
      <c r="A783" s="11">
        <v>45236</v>
      </c>
      <c r="B783" s="12" t="s">
        <v>33</v>
      </c>
      <c r="C783" s="12" t="s">
        <v>44</v>
      </c>
      <c r="D783" s="13" t="str">
        <f>HYPERLINK("https://www.marklines.com/en/global/1965","Volkswagen Navarra, S.A., Pamplona (Landaben) Plant")</f>
        <v>Volkswagen Navarra, S.A., Pamplona (Landaben) Plant</v>
      </c>
      <c r="E783" s="12" t="s">
        <v>384</v>
      </c>
      <c r="F783" s="12" t="s">
        <v>17</v>
      </c>
      <c r="G783" s="12" t="s">
        <v>62</v>
      </c>
      <c r="H783" s="12"/>
      <c r="I783" s="14">
        <v>45233</v>
      </c>
      <c r="J783" s="12" t="s">
        <v>860</v>
      </c>
    </row>
    <row r="784" spans="1:10" s="15" customFormat="1" x14ac:dyDescent="0.15">
      <c r="A784" s="11">
        <v>45236</v>
      </c>
      <c r="B784" s="12" t="s">
        <v>33</v>
      </c>
      <c r="C784" s="12" t="s">
        <v>80</v>
      </c>
      <c r="D784" s="13" t="str">
        <f>HYPERLINK("https://www.marklines.com/en/global/1965","Volkswagen Navarra, S.A., Pamplona (Landaben) Plant")</f>
        <v>Volkswagen Navarra, S.A., Pamplona (Landaben) Plant</v>
      </c>
      <c r="E784" s="12" t="s">
        <v>384</v>
      </c>
      <c r="F784" s="12" t="s">
        <v>17</v>
      </c>
      <c r="G784" s="12" t="s">
        <v>62</v>
      </c>
      <c r="H784" s="12"/>
      <c r="I784" s="14">
        <v>45233</v>
      </c>
      <c r="J784" s="12" t="s">
        <v>860</v>
      </c>
    </row>
    <row r="785" spans="1:10" s="15" customFormat="1" x14ac:dyDescent="0.15">
      <c r="A785" s="11">
        <v>45236</v>
      </c>
      <c r="B785" s="12" t="s">
        <v>22</v>
      </c>
      <c r="C785" s="12" t="s">
        <v>22</v>
      </c>
      <c r="D785" s="13" t="str">
        <f t="shared" ref="D785:D790" si="0">HYPERLINK("https://www.marklines.com/en/global/1939","Stellantis, Peugeot Citroen Automoviles Espana S.A., Vigo Plant")</f>
        <v>Stellantis, Peugeot Citroen Automoviles Espana S.A., Vigo Plant</v>
      </c>
      <c r="E785" s="12" t="s">
        <v>287</v>
      </c>
      <c r="F785" s="12" t="s">
        <v>17</v>
      </c>
      <c r="G785" s="12" t="s">
        <v>62</v>
      </c>
      <c r="H785" s="12"/>
      <c r="I785" s="14">
        <v>45233</v>
      </c>
      <c r="J785" s="12" t="s">
        <v>861</v>
      </c>
    </row>
    <row r="786" spans="1:10" s="15" customFormat="1" x14ac:dyDescent="0.15">
      <c r="A786" s="11">
        <v>45236</v>
      </c>
      <c r="B786" s="12" t="s">
        <v>45</v>
      </c>
      <c r="C786" s="12" t="s">
        <v>120</v>
      </c>
      <c r="D786" s="13" t="str">
        <f t="shared" si="0"/>
        <v>Stellantis, Peugeot Citroen Automoviles Espana S.A., Vigo Plant</v>
      </c>
      <c r="E786" s="12" t="s">
        <v>287</v>
      </c>
      <c r="F786" s="12" t="s">
        <v>17</v>
      </c>
      <c r="G786" s="12" t="s">
        <v>62</v>
      </c>
      <c r="H786" s="12"/>
      <c r="I786" s="14">
        <v>45233</v>
      </c>
      <c r="J786" s="12" t="s">
        <v>861</v>
      </c>
    </row>
    <row r="787" spans="1:10" s="15" customFormat="1" x14ac:dyDescent="0.15">
      <c r="A787" s="11">
        <v>45236</v>
      </c>
      <c r="B787" s="12" t="s">
        <v>45</v>
      </c>
      <c r="C787" s="12" t="s">
        <v>602</v>
      </c>
      <c r="D787" s="13" t="str">
        <f t="shared" si="0"/>
        <v>Stellantis, Peugeot Citroen Automoviles Espana S.A., Vigo Plant</v>
      </c>
      <c r="E787" s="12" t="s">
        <v>287</v>
      </c>
      <c r="F787" s="12" t="s">
        <v>17</v>
      </c>
      <c r="G787" s="12" t="s">
        <v>62</v>
      </c>
      <c r="H787" s="12"/>
      <c r="I787" s="14">
        <v>45233</v>
      </c>
      <c r="J787" s="12" t="s">
        <v>861</v>
      </c>
    </row>
    <row r="788" spans="1:10" s="15" customFormat="1" x14ac:dyDescent="0.15">
      <c r="A788" s="11">
        <v>45236</v>
      </c>
      <c r="B788" s="12" t="s">
        <v>45</v>
      </c>
      <c r="C788" s="12" t="s">
        <v>603</v>
      </c>
      <c r="D788" s="13" t="str">
        <f t="shared" si="0"/>
        <v>Stellantis, Peugeot Citroen Automoviles Espana S.A., Vigo Plant</v>
      </c>
      <c r="E788" s="12" t="s">
        <v>287</v>
      </c>
      <c r="F788" s="12" t="s">
        <v>17</v>
      </c>
      <c r="G788" s="12" t="s">
        <v>62</v>
      </c>
      <c r="H788" s="12"/>
      <c r="I788" s="14">
        <v>45233</v>
      </c>
      <c r="J788" s="12" t="s">
        <v>861</v>
      </c>
    </row>
    <row r="789" spans="1:10" s="15" customFormat="1" x14ac:dyDescent="0.15">
      <c r="A789" s="11">
        <v>45236</v>
      </c>
      <c r="B789" s="12" t="s">
        <v>45</v>
      </c>
      <c r="C789" s="12" t="s">
        <v>515</v>
      </c>
      <c r="D789" s="13" t="str">
        <f t="shared" si="0"/>
        <v>Stellantis, Peugeot Citroen Automoviles Espana S.A., Vigo Plant</v>
      </c>
      <c r="E789" s="12" t="s">
        <v>287</v>
      </c>
      <c r="F789" s="12" t="s">
        <v>17</v>
      </c>
      <c r="G789" s="12" t="s">
        <v>62</v>
      </c>
      <c r="H789" s="12"/>
      <c r="I789" s="14">
        <v>45233</v>
      </c>
      <c r="J789" s="12" t="s">
        <v>861</v>
      </c>
    </row>
    <row r="790" spans="1:10" s="15" customFormat="1" x14ac:dyDescent="0.15">
      <c r="A790" s="11">
        <v>45236</v>
      </c>
      <c r="B790" s="12" t="s">
        <v>45</v>
      </c>
      <c r="C790" s="12" t="s">
        <v>49</v>
      </c>
      <c r="D790" s="13" t="str">
        <f t="shared" si="0"/>
        <v>Stellantis, Peugeot Citroen Automoviles Espana S.A., Vigo Plant</v>
      </c>
      <c r="E790" s="12" t="s">
        <v>287</v>
      </c>
      <c r="F790" s="12" t="s">
        <v>17</v>
      </c>
      <c r="G790" s="12" t="s">
        <v>62</v>
      </c>
      <c r="H790" s="12"/>
      <c r="I790" s="14">
        <v>45233</v>
      </c>
      <c r="J790" s="12" t="s">
        <v>861</v>
      </c>
    </row>
    <row r="791" spans="1:10" s="15" customFormat="1" x14ac:dyDescent="0.15">
      <c r="A791" s="11">
        <v>45236</v>
      </c>
      <c r="B791" s="12" t="s">
        <v>33</v>
      </c>
      <c r="C791" s="12" t="s">
        <v>80</v>
      </c>
      <c r="D791" s="13" t="str">
        <f>HYPERLINK("https://www.marklines.com/en/global/1771","Volkswagen Slovakia, Bratislava Plant")</f>
        <v>Volkswagen Slovakia, Bratislava Plant</v>
      </c>
      <c r="E791" s="12" t="s">
        <v>109</v>
      </c>
      <c r="F791" s="12" t="s">
        <v>18</v>
      </c>
      <c r="G791" s="12" t="s">
        <v>55</v>
      </c>
      <c r="H791" s="12"/>
      <c r="I791" s="14">
        <v>45232</v>
      </c>
      <c r="J791" s="12" t="s">
        <v>862</v>
      </c>
    </row>
    <row r="792" spans="1:10" s="15" customFormat="1" x14ac:dyDescent="0.15">
      <c r="A792" s="11">
        <v>45236</v>
      </c>
      <c r="B792" s="12" t="s">
        <v>863</v>
      </c>
      <c r="C792" s="12" t="s">
        <v>863</v>
      </c>
      <c r="D792" s="13" t="str">
        <f>HYPERLINK("https://www.marklines.com/en/global/8787","Jingma Motor Co., Ltd. JMCG")</f>
        <v>Jingma Motor Co., Ltd. JMCG</v>
      </c>
      <c r="E792" s="12" t="s">
        <v>864</v>
      </c>
      <c r="F792" s="12" t="s">
        <v>20</v>
      </c>
      <c r="G792" s="12" t="s">
        <v>27</v>
      </c>
      <c r="H792" s="12" t="s">
        <v>418</v>
      </c>
      <c r="I792" s="14">
        <v>45232</v>
      </c>
      <c r="J792" s="12" t="s">
        <v>865</v>
      </c>
    </row>
    <row r="793" spans="1:10" s="15" customFormat="1" x14ac:dyDescent="0.15">
      <c r="A793" s="11">
        <v>45236</v>
      </c>
      <c r="B793" s="12" t="s">
        <v>316</v>
      </c>
      <c r="C793" s="12" t="s">
        <v>316</v>
      </c>
      <c r="D793" s="13" t="str">
        <f>HYPERLINK("https://www.marklines.com/en/global/4125","BYD Automobile Industry Co., Ltd., Shenzhen Plant")</f>
        <v>BYD Automobile Industry Co., Ltd., Shenzhen Plant</v>
      </c>
      <c r="E793" s="12" t="s">
        <v>356</v>
      </c>
      <c r="F793" s="12" t="s">
        <v>20</v>
      </c>
      <c r="G793" s="12" t="s">
        <v>27</v>
      </c>
      <c r="H793" s="12" t="s">
        <v>357</v>
      </c>
      <c r="I793" s="14">
        <v>45230</v>
      </c>
      <c r="J793" s="12" t="s">
        <v>866</v>
      </c>
    </row>
    <row r="794" spans="1:10" s="15" customFormat="1" x14ac:dyDescent="0.15">
      <c r="A794" s="11">
        <v>45236</v>
      </c>
      <c r="B794" s="12" t="s">
        <v>400</v>
      </c>
      <c r="C794" s="12" t="s">
        <v>400</v>
      </c>
      <c r="D794" s="13" t="str">
        <f>HYPERLINK("https://www.marklines.com/en/global/10476","Shanghai Jidu Automobile Co., Ltd.")</f>
        <v>Shanghai Jidu Automobile Co., Ltd.</v>
      </c>
      <c r="E794" s="12" t="s">
        <v>867</v>
      </c>
      <c r="F794" s="12" t="s">
        <v>20</v>
      </c>
      <c r="G794" s="12" t="s">
        <v>27</v>
      </c>
      <c r="H794" s="12" t="s">
        <v>314</v>
      </c>
      <c r="I794" s="14">
        <v>45230</v>
      </c>
      <c r="J794" s="12" t="s">
        <v>868</v>
      </c>
    </row>
    <row r="795" spans="1:10" s="15" customFormat="1" x14ac:dyDescent="0.15">
      <c r="A795" s="11">
        <v>45236</v>
      </c>
      <c r="B795" s="12" t="s">
        <v>117</v>
      </c>
      <c r="C795" s="12" t="s">
        <v>117</v>
      </c>
      <c r="D795" s="13" t="str">
        <f>HYPERLINK("https://www.marklines.com/en/global/9540","SERES Automobile Co., Ltd. (formerly Chongqing Jinkang New Energy Automobile Co., Ltd.)")</f>
        <v>SERES Automobile Co., Ltd. (formerly Chongqing Jinkang New Energy Automobile Co., Ltd.)</v>
      </c>
      <c r="E795" s="12" t="s">
        <v>869</v>
      </c>
      <c r="F795" s="12" t="s">
        <v>20</v>
      </c>
      <c r="G795" s="12" t="s">
        <v>27</v>
      </c>
      <c r="H795" s="12" t="s">
        <v>29</v>
      </c>
      <c r="I795" s="14">
        <v>45227</v>
      </c>
      <c r="J795" s="12" t="s">
        <v>870</v>
      </c>
    </row>
    <row r="796" spans="1:10" s="15" customFormat="1" x14ac:dyDescent="0.15">
      <c r="A796" s="11">
        <v>45236</v>
      </c>
      <c r="B796" s="12" t="s">
        <v>871</v>
      </c>
      <c r="C796" s="12" t="s">
        <v>871</v>
      </c>
      <c r="D796" s="13" t="str">
        <f>HYPERLINK("https://www.marklines.com/en/global/3659","China National Heavy Duty Truck Group Co., Ltd. (CNHTC/SINOTRUK)")</f>
        <v>China National Heavy Duty Truck Group Co., Ltd. (CNHTC/SINOTRUK)</v>
      </c>
      <c r="E796" s="12" t="s">
        <v>872</v>
      </c>
      <c r="F796" s="12" t="s">
        <v>20</v>
      </c>
      <c r="G796" s="12" t="s">
        <v>27</v>
      </c>
      <c r="H796" s="12" t="s">
        <v>354</v>
      </c>
      <c r="I796" s="14">
        <v>45224</v>
      </c>
      <c r="J796" s="12" t="s">
        <v>873</v>
      </c>
    </row>
    <row r="797" spans="1:10" s="15" customFormat="1" x14ac:dyDescent="0.15">
      <c r="A797" s="11">
        <v>45234</v>
      </c>
      <c r="B797" s="12" t="s">
        <v>65</v>
      </c>
      <c r="C797" s="12" t="s">
        <v>348</v>
      </c>
      <c r="D797" s="13" t="str">
        <f>HYPERLINK("https://www.marklines.com/en/global/10578","StarPlus Energy, Kokomo plant")</f>
        <v>StarPlus Energy, Kokomo plant</v>
      </c>
      <c r="E797" s="12" t="s">
        <v>295</v>
      </c>
      <c r="F797" s="12" t="s">
        <v>16</v>
      </c>
      <c r="G797" s="12" t="s">
        <v>11</v>
      </c>
      <c r="H797" s="12" t="s">
        <v>296</v>
      </c>
      <c r="I797" s="14">
        <v>45232</v>
      </c>
      <c r="J797" s="12" t="s">
        <v>874</v>
      </c>
    </row>
    <row r="798" spans="1:10" s="15" customFormat="1" x14ac:dyDescent="0.15">
      <c r="A798" s="11">
        <v>45234</v>
      </c>
      <c r="B798" s="12" t="s">
        <v>65</v>
      </c>
      <c r="C798" s="12" t="s">
        <v>480</v>
      </c>
      <c r="D798" s="13" t="str">
        <f>HYPERLINK("https://www.marklines.com/en/global/2627","Stellantis, FCA US, Detroit Assembly Complex - Jefferson (formerly Jefferson North Assembly Plant)")</f>
        <v>Stellantis, FCA US, Detroit Assembly Complex - Jefferson (formerly Jefferson North Assembly Plant)</v>
      </c>
      <c r="E798" s="12" t="s">
        <v>875</v>
      </c>
      <c r="F798" s="12" t="s">
        <v>16</v>
      </c>
      <c r="G798" s="12" t="s">
        <v>11</v>
      </c>
      <c r="H798" s="12" t="s">
        <v>40</v>
      </c>
      <c r="I798" s="14">
        <v>45232</v>
      </c>
      <c r="J798" s="12" t="s">
        <v>874</v>
      </c>
    </row>
    <row r="799" spans="1:10" s="15" customFormat="1" x14ac:dyDescent="0.15">
      <c r="A799" s="11">
        <v>45234</v>
      </c>
      <c r="B799" s="12" t="s">
        <v>65</v>
      </c>
      <c r="C799" s="12" t="s">
        <v>480</v>
      </c>
      <c r="D799" s="13" t="str">
        <f>HYPERLINK("https://www.marklines.com/en/global/10578","StarPlus Energy, Kokomo plant")</f>
        <v>StarPlus Energy, Kokomo plant</v>
      </c>
      <c r="E799" s="12" t="s">
        <v>295</v>
      </c>
      <c r="F799" s="12" t="s">
        <v>16</v>
      </c>
      <c r="G799" s="12" t="s">
        <v>11</v>
      </c>
      <c r="H799" s="12" t="s">
        <v>296</v>
      </c>
      <c r="I799" s="14">
        <v>45232</v>
      </c>
      <c r="J799" s="12" t="s">
        <v>874</v>
      </c>
    </row>
    <row r="800" spans="1:10" s="15" customFormat="1" x14ac:dyDescent="0.15">
      <c r="A800" s="11">
        <v>45234</v>
      </c>
      <c r="B800" s="12" t="s">
        <v>65</v>
      </c>
      <c r="C800" s="12" t="s">
        <v>66</v>
      </c>
      <c r="D800" s="13" t="str">
        <f>HYPERLINK("https://www.marklines.com/en/global/2627","Stellantis, FCA US, Detroit Assembly Complex - Jefferson (formerly Jefferson North Assembly Plant)")</f>
        <v>Stellantis, FCA US, Detroit Assembly Complex - Jefferson (formerly Jefferson North Assembly Plant)</v>
      </c>
      <c r="E800" s="12" t="s">
        <v>875</v>
      </c>
      <c r="F800" s="12" t="s">
        <v>16</v>
      </c>
      <c r="G800" s="12" t="s">
        <v>11</v>
      </c>
      <c r="H800" s="12" t="s">
        <v>40</v>
      </c>
      <c r="I800" s="14">
        <v>45232</v>
      </c>
      <c r="J800" s="12" t="s">
        <v>874</v>
      </c>
    </row>
    <row r="801" spans="1:10" s="15" customFormat="1" x14ac:dyDescent="0.15">
      <c r="A801" s="11">
        <v>45234</v>
      </c>
      <c r="B801" s="12" t="s">
        <v>65</v>
      </c>
      <c r="C801" s="12" t="s">
        <v>66</v>
      </c>
      <c r="D801" s="13" t="str">
        <f>HYPERLINK("https://www.marklines.com/en/global/2647","Stellantis, FCA US, Warren Truck Assembly Plant")</f>
        <v>Stellantis, FCA US, Warren Truck Assembly Plant</v>
      </c>
      <c r="E801" s="12" t="s">
        <v>876</v>
      </c>
      <c r="F801" s="12" t="s">
        <v>16</v>
      </c>
      <c r="G801" s="12" t="s">
        <v>11</v>
      </c>
      <c r="H801" s="12" t="s">
        <v>40</v>
      </c>
      <c r="I801" s="14">
        <v>45232</v>
      </c>
      <c r="J801" s="12" t="s">
        <v>874</v>
      </c>
    </row>
    <row r="802" spans="1:10" s="15" customFormat="1" x14ac:dyDescent="0.15">
      <c r="A802" s="11">
        <v>45234</v>
      </c>
      <c r="B802" s="12" t="s">
        <v>65</v>
      </c>
      <c r="C802" s="12" t="s">
        <v>66</v>
      </c>
      <c r="D802" s="13" t="str">
        <f>HYPERLINK("https://www.marklines.com/en/global/2653","Stellantis, FCA US, Toledo Assembly Complex (Toledo North)")</f>
        <v>Stellantis, FCA US, Toledo Assembly Complex (Toledo North)</v>
      </c>
      <c r="E802" s="12" t="s">
        <v>857</v>
      </c>
      <c r="F802" s="12" t="s">
        <v>16</v>
      </c>
      <c r="G802" s="12" t="s">
        <v>11</v>
      </c>
      <c r="H802" s="12" t="s">
        <v>101</v>
      </c>
      <c r="I802" s="14">
        <v>45232</v>
      </c>
      <c r="J802" s="12" t="s">
        <v>874</v>
      </c>
    </row>
    <row r="803" spans="1:10" s="15" customFormat="1" x14ac:dyDescent="0.15">
      <c r="A803" s="11">
        <v>45234</v>
      </c>
      <c r="B803" s="12" t="s">
        <v>65</v>
      </c>
      <c r="C803" s="12" t="s">
        <v>66</v>
      </c>
      <c r="D803" s="13" t="str">
        <f>HYPERLINK("https://www.marklines.com/en/global/2663","Stellantis, FCA US, Belvidere Assembly Plant and Belvidere Satellite Stamping Plant")</f>
        <v>Stellantis, FCA US, Belvidere Assembly Plant and Belvidere Satellite Stamping Plant</v>
      </c>
      <c r="E803" s="12" t="s">
        <v>877</v>
      </c>
      <c r="F803" s="12" t="s">
        <v>16</v>
      </c>
      <c r="G803" s="12" t="s">
        <v>11</v>
      </c>
      <c r="H803" s="12" t="s">
        <v>39</v>
      </c>
      <c r="I803" s="14">
        <v>45232</v>
      </c>
      <c r="J803" s="12" t="s">
        <v>874</v>
      </c>
    </row>
    <row r="804" spans="1:10" s="15" customFormat="1" x14ac:dyDescent="0.15">
      <c r="A804" s="11">
        <v>45234</v>
      </c>
      <c r="B804" s="12" t="s">
        <v>65</v>
      </c>
      <c r="C804" s="12" t="s">
        <v>66</v>
      </c>
      <c r="D804" s="13" t="str">
        <f>HYPERLINK("https://www.marklines.com/en/global/2655","Stellantis, FCA US, Toledo Assembly Complex (Toledo Supplier Park)")</f>
        <v>Stellantis, FCA US, Toledo Assembly Complex (Toledo Supplier Park)</v>
      </c>
      <c r="E804" s="12" t="s">
        <v>858</v>
      </c>
      <c r="F804" s="12" t="s">
        <v>16</v>
      </c>
      <c r="G804" s="12" t="s">
        <v>11</v>
      </c>
      <c r="H804" s="12" t="s">
        <v>101</v>
      </c>
      <c r="I804" s="14">
        <v>45232</v>
      </c>
      <c r="J804" s="12" t="s">
        <v>874</v>
      </c>
    </row>
    <row r="805" spans="1:10" s="15" customFormat="1" x14ac:dyDescent="0.15">
      <c r="A805" s="11">
        <v>45234</v>
      </c>
      <c r="B805" s="12" t="s">
        <v>65</v>
      </c>
      <c r="C805" s="12" t="s">
        <v>66</v>
      </c>
      <c r="D805" s="13" t="str">
        <f>HYPERLINK("https://www.marklines.com/en/global/10578","StarPlus Energy, Kokomo plant")</f>
        <v>StarPlus Energy, Kokomo plant</v>
      </c>
      <c r="E805" s="12" t="s">
        <v>295</v>
      </c>
      <c r="F805" s="12" t="s">
        <v>16</v>
      </c>
      <c r="G805" s="12" t="s">
        <v>11</v>
      </c>
      <c r="H805" s="12" t="s">
        <v>296</v>
      </c>
      <c r="I805" s="14">
        <v>45232</v>
      </c>
      <c r="J805" s="12" t="s">
        <v>874</v>
      </c>
    </row>
    <row r="806" spans="1:10" s="15" customFormat="1" x14ac:dyDescent="0.15">
      <c r="A806" s="11">
        <v>45234</v>
      </c>
      <c r="B806" s="12" t="s">
        <v>65</v>
      </c>
      <c r="C806" s="12" t="s">
        <v>798</v>
      </c>
      <c r="D806" s="13" t="str">
        <f>HYPERLINK("https://www.marklines.com/en/global/2641","Stellantis, FCA US, Sterling Heights Assembly Plant")</f>
        <v>Stellantis, FCA US, Sterling Heights Assembly Plant</v>
      </c>
      <c r="E806" s="12" t="s">
        <v>799</v>
      </c>
      <c r="F806" s="12" t="s">
        <v>16</v>
      </c>
      <c r="G806" s="12" t="s">
        <v>11</v>
      </c>
      <c r="H806" s="12" t="s">
        <v>40</v>
      </c>
      <c r="I806" s="14">
        <v>45232</v>
      </c>
      <c r="J806" s="12" t="s">
        <v>874</v>
      </c>
    </row>
    <row r="807" spans="1:10" s="15" customFormat="1" x14ac:dyDescent="0.15">
      <c r="A807" s="11">
        <v>45234</v>
      </c>
      <c r="B807" s="12" t="s">
        <v>65</v>
      </c>
      <c r="C807" s="12" t="s">
        <v>798</v>
      </c>
      <c r="D807" s="13" t="str">
        <f>HYPERLINK("https://www.marklines.com/en/global/2647","Stellantis, FCA US, Warren Truck Assembly Plant")</f>
        <v>Stellantis, FCA US, Warren Truck Assembly Plant</v>
      </c>
      <c r="E807" s="12" t="s">
        <v>876</v>
      </c>
      <c r="F807" s="12" t="s">
        <v>16</v>
      </c>
      <c r="G807" s="12" t="s">
        <v>11</v>
      </c>
      <c r="H807" s="12" t="s">
        <v>40</v>
      </c>
      <c r="I807" s="14">
        <v>45232</v>
      </c>
      <c r="J807" s="12" t="s">
        <v>874</v>
      </c>
    </row>
    <row r="808" spans="1:10" s="15" customFormat="1" x14ac:dyDescent="0.15">
      <c r="A808" s="11">
        <v>45234</v>
      </c>
      <c r="B808" s="12" t="s">
        <v>65</v>
      </c>
      <c r="C808" s="12" t="s">
        <v>798</v>
      </c>
      <c r="D808" s="13" t="str">
        <f>HYPERLINK("https://www.marklines.com/en/global/2655","Stellantis, FCA US, Toledo Assembly Complex (Toledo Supplier Park)")</f>
        <v>Stellantis, FCA US, Toledo Assembly Complex (Toledo Supplier Park)</v>
      </c>
      <c r="E808" s="12" t="s">
        <v>858</v>
      </c>
      <c r="F808" s="12" t="s">
        <v>16</v>
      </c>
      <c r="G808" s="12" t="s">
        <v>11</v>
      </c>
      <c r="H808" s="12" t="s">
        <v>101</v>
      </c>
      <c r="I808" s="14">
        <v>45232</v>
      </c>
      <c r="J808" s="12" t="s">
        <v>874</v>
      </c>
    </row>
    <row r="809" spans="1:10" s="15" customFormat="1" x14ac:dyDescent="0.15">
      <c r="A809" s="11">
        <v>45234</v>
      </c>
      <c r="B809" s="12" t="s">
        <v>65</v>
      </c>
      <c r="C809" s="12" t="s">
        <v>798</v>
      </c>
      <c r="D809" s="13" t="str">
        <f>HYPERLINK("https://www.marklines.com/en/global/10578","StarPlus Energy, Kokomo plant")</f>
        <v>StarPlus Energy, Kokomo plant</v>
      </c>
      <c r="E809" s="12" t="s">
        <v>295</v>
      </c>
      <c r="F809" s="12" t="s">
        <v>16</v>
      </c>
      <c r="G809" s="12" t="s">
        <v>11</v>
      </c>
      <c r="H809" s="12" t="s">
        <v>296</v>
      </c>
      <c r="I809" s="14">
        <v>45232</v>
      </c>
      <c r="J809" s="12" t="s">
        <v>874</v>
      </c>
    </row>
    <row r="810" spans="1:10" s="15" customFormat="1" x14ac:dyDescent="0.15">
      <c r="A810" s="11">
        <v>45234</v>
      </c>
      <c r="B810" s="12" t="s">
        <v>878</v>
      </c>
      <c r="C810" s="12" t="s">
        <v>878</v>
      </c>
      <c r="D810" s="13" t="str">
        <f>HYPERLINK("https://www.marklines.com/en/global/10448","Nikola Coolidge Manufacturing Facility")</f>
        <v>Nikola Coolidge Manufacturing Facility</v>
      </c>
      <c r="E810" s="12" t="s">
        <v>879</v>
      </c>
      <c r="F810" s="12" t="s">
        <v>16</v>
      </c>
      <c r="G810" s="12" t="s">
        <v>11</v>
      </c>
      <c r="H810" s="12" t="s">
        <v>533</v>
      </c>
      <c r="I810" s="14">
        <v>45232</v>
      </c>
      <c r="J810" s="12" t="s">
        <v>880</v>
      </c>
    </row>
    <row r="811" spans="1:10" s="15" customFormat="1" x14ac:dyDescent="0.15">
      <c r="A811" s="11">
        <v>45234</v>
      </c>
      <c r="B811" s="12" t="s">
        <v>881</v>
      </c>
      <c r="C811" s="12" t="s">
        <v>881</v>
      </c>
      <c r="D811" s="13" t="str">
        <f>HYPERLINK("https://www.marklines.com/en/global/10710","PACCAR Engine Company Plant")</f>
        <v>PACCAR Engine Company Plant</v>
      </c>
      <c r="E811" s="12" t="s">
        <v>882</v>
      </c>
      <c r="F811" s="12" t="s">
        <v>16</v>
      </c>
      <c r="G811" s="12" t="s">
        <v>11</v>
      </c>
      <c r="H811" s="12" t="s">
        <v>883</v>
      </c>
      <c r="I811" s="14">
        <v>45229</v>
      </c>
      <c r="J811" s="12" t="s">
        <v>884</v>
      </c>
    </row>
    <row r="812" spans="1:10" s="15" customFormat="1" x14ac:dyDescent="0.15">
      <c r="A812" s="11">
        <v>45233</v>
      </c>
      <c r="B812" s="12" t="s">
        <v>31</v>
      </c>
      <c r="C812" s="12" t="s">
        <v>31</v>
      </c>
      <c r="D812" s="13" t="str">
        <f>HYPERLINK("https://www.marklines.com/en/global/2209","BMW AG, Regensburg Plant")</f>
        <v>BMW AG, Regensburg Plant</v>
      </c>
      <c r="E812" s="12" t="s">
        <v>226</v>
      </c>
      <c r="F812" s="12" t="s">
        <v>17</v>
      </c>
      <c r="G812" s="12" t="s">
        <v>21</v>
      </c>
      <c r="H812" s="12"/>
      <c r="I812" s="14">
        <v>45232</v>
      </c>
      <c r="J812" s="12" t="s">
        <v>885</v>
      </c>
    </row>
    <row r="813" spans="1:10" s="15" customFormat="1" x14ac:dyDescent="0.15">
      <c r="A813" s="11">
        <v>45233</v>
      </c>
      <c r="B813" s="12" t="s">
        <v>13</v>
      </c>
      <c r="C813" s="12" t="s">
        <v>282</v>
      </c>
      <c r="D813" s="13" t="str">
        <f>HYPERLINK("https://www.marklines.com/en/global/1485","VDL Nedcar, Born Plant")</f>
        <v>VDL Nedcar, Born Plant</v>
      </c>
      <c r="E813" s="12" t="s">
        <v>280</v>
      </c>
      <c r="F813" s="12" t="s">
        <v>17</v>
      </c>
      <c r="G813" s="12" t="s">
        <v>230</v>
      </c>
      <c r="H813" s="12"/>
      <c r="I813" s="14">
        <v>45232</v>
      </c>
      <c r="J813" s="12" t="s">
        <v>886</v>
      </c>
    </row>
    <row r="814" spans="1:10" s="15" customFormat="1" x14ac:dyDescent="0.15">
      <c r="A814" s="11">
        <v>45233</v>
      </c>
      <c r="B814" s="12" t="s">
        <v>887</v>
      </c>
      <c r="C814" s="12" t="s">
        <v>887</v>
      </c>
      <c r="D814" s="13" t="str">
        <f>HYPERLINK("https://www.marklines.com/en/global/1535","Aston Martin, Gaydon Plant")</f>
        <v>Aston Martin, Gaydon Plant</v>
      </c>
      <c r="E814" s="12" t="s">
        <v>888</v>
      </c>
      <c r="F814" s="12" t="s">
        <v>17</v>
      </c>
      <c r="G814" s="12" t="s">
        <v>47</v>
      </c>
      <c r="H814" s="12"/>
      <c r="I814" s="14">
        <v>45231</v>
      </c>
      <c r="J814" s="12" t="s">
        <v>889</v>
      </c>
    </row>
    <row r="815" spans="1:10" s="15" customFormat="1" x14ac:dyDescent="0.15">
      <c r="A815" s="11">
        <v>45233</v>
      </c>
      <c r="B815" s="12" t="s">
        <v>35</v>
      </c>
      <c r="C815" s="12" t="s">
        <v>35</v>
      </c>
      <c r="D815" s="13" t="str">
        <f>HYPERLINK("https://www.marklines.com/en/global/1061","Pak Suzuki Motor Co., Ltd. (PSMCL), Karachi Plant")</f>
        <v>Pak Suzuki Motor Co., Ltd. (PSMCL), Karachi Plant</v>
      </c>
      <c r="E815" s="12" t="s">
        <v>474</v>
      </c>
      <c r="F815" s="12" t="s">
        <v>25</v>
      </c>
      <c r="G815" s="12" t="s">
        <v>82</v>
      </c>
      <c r="H815" s="12"/>
      <c r="I815" s="14">
        <v>45231</v>
      </c>
      <c r="J815" s="12" t="s">
        <v>890</v>
      </c>
    </row>
    <row r="816" spans="1:10" s="15" customFormat="1" x14ac:dyDescent="0.15">
      <c r="A816" s="11">
        <v>45233</v>
      </c>
      <c r="B816" s="12" t="s">
        <v>567</v>
      </c>
      <c r="C816" s="12" t="s">
        <v>567</v>
      </c>
      <c r="D816" s="13" t="str">
        <f>HYPERLINK("https://www.marklines.com/en/global/965","Inokom Corporation Sdn. Bhd., Kulim Plant")</f>
        <v>Inokom Corporation Sdn. Bhd., Kulim Plant</v>
      </c>
      <c r="E816" s="12" t="s">
        <v>537</v>
      </c>
      <c r="F816" s="12" t="s">
        <v>34</v>
      </c>
      <c r="G816" s="12" t="s">
        <v>538</v>
      </c>
      <c r="H816" s="12"/>
      <c r="I816" s="14">
        <v>45230</v>
      </c>
      <c r="J816" s="12" t="s">
        <v>891</v>
      </c>
    </row>
    <row r="817" spans="1:10" s="15" customFormat="1" x14ac:dyDescent="0.15">
      <c r="A817" s="11">
        <v>45233</v>
      </c>
      <c r="B817" s="12" t="s">
        <v>36</v>
      </c>
      <c r="C817" s="12" t="s">
        <v>892</v>
      </c>
      <c r="D817" s="13" t="str">
        <f>HYPERLINK("https://www.marklines.com/en/global/9835","CIAUTO (Ciudad del Auto)")</f>
        <v>CIAUTO (Ciudad del Auto)</v>
      </c>
      <c r="E817" s="12" t="s">
        <v>893</v>
      </c>
      <c r="F817" s="12" t="s">
        <v>425</v>
      </c>
      <c r="G817" s="12" t="s">
        <v>894</v>
      </c>
      <c r="H817" s="12"/>
      <c r="I817" s="14">
        <v>45225</v>
      </c>
      <c r="J817" s="12" t="s">
        <v>895</v>
      </c>
    </row>
    <row r="818" spans="1:10" s="15" customFormat="1" x14ac:dyDescent="0.15">
      <c r="A818" s="11">
        <v>45233</v>
      </c>
      <c r="B818" s="12" t="s">
        <v>45</v>
      </c>
      <c r="C818" s="12" t="s">
        <v>45</v>
      </c>
      <c r="D818" s="13" t="str">
        <f>HYPERLINK("https://www.marklines.com/en/global/10652","ACC Deutschland GmbH, Kaiserslautern Plant (formerly Opel-ACC GmbH)")</f>
        <v>ACC Deutschland GmbH, Kaiserslautern Plant (formerly Opel-ACC GmbH)</v>
      </c>
      <c r="E818" s="12" t="s">
        <v>896</v>
      </c>
      <c r="F818" s="12" t="s">
        <v>17</v>
      </c>
      <c r="G818" s="12" t="s">
        <v>21</v>
      </c>
      <c r="H818" s="12"/>
      <c r="I818" s="14">
        <v>45223</v>
      </c>
      <c r="J818" s="12" t="s">
        <v>897</v>
      </c>
    </row>
    <row r="819" spans="1:10" s="15" customFormat="1" x14ac:dyDescent="0.15">
      <c r="A819" s="11">
        <v>45233</v>
      </c>
      <c r="B819" s="12" t="s">
        <v>45</v>
      </c>
      <c r="C819" s="12" t="s">
        <v>45</v>
      </c>
      <c r="D819" s="13" t="str">
        <f>HYPERLINK("https://www.marklines.com/en/global/10274","Automotive Cell Company (ACC)")</f>
        <v>Automotive Cell Company (ACC)</v>
      </c>
      <c r="E819" s="12" t="s">
        <v>898</v>
      </c>
      <c r="F819" s="12" t="s">
        <v>17</v>
      </c>
      <c r="G819" s="12" t="s">
        <v>32</v>
      </c>
      <c r="H819" s="12"/>
      <c r="I819" s="14">
        <v>45223</v>
      </c>
      <c r="J819" s="12" t="s">
        <v>897</v>
      </c>
    </row>
    <row r="820" spans="1:10" s="15" customFormat="1" x14ac:dyDescent="0.15">
      <c r="A820" s="11">
        <v>45233</v>
      </c>
      <c r="B820" s="12" t="s">
        <v>45</v>
      </c>
      <c r="C820" s="12" t="s">
        <v>45</v>
      </c>
      <c r="D820" s="13" t="str">
        <f>HYPERLINK("https://www.marklines.com/en/global/10614","Automotive Cell Company (ACC), Douvrin/Billy-Berclau Plant")</f>
        <v>Automotive Cell Company (ACC), Douvrin/Billy-Berclau Plant</v>
      </c>
      <c r="E820" s="12" t="s">
        <v>461</v>
      </c>
      <c r="F820" s="12" t="s">
        <v>17</v>
      </c>
      <c r="G820" s="12" t="s">
        <v>32</v>
      </c>
      <c r="H820" s="12"/>
      <c r="I820" s="14">
        <v>45223</v>
      </c>
      <c r="J820" s="12" t="s">
        <v>897</v>
      </c>
    </row>
    <row r="821" spans="1:10" s="15" customFormat="1" x14ac:dyDescent="0.15">
      <c r="A821" s="11">
        <v>45233</v>
      </c>
      <c r="B821" s="12" t="s">
        <v>45</v>
      </c>
      <c r="C821" s="12" t="s">
        <v>45</v>
      </c>
      <c r="D821" s="13" t="str">
        <f>HYPERLINK("https://www.marklines.com/en/global/1343","Stellantis, Fiat Powertrain Technologies, Termoli Plant / Automotive Cell Company (ACC), Termoli Plant")</f>
        <v>Stellantis, Fiat Powertrain Technologies, Termoli Plant / Automotive Cell Company (ACC), Termoli Plant</v>
      </c>
      <c r="E821" s="12" t="s">
        <v>222</v>
      </c>
      <c r="F821" s="12" t="s">
        <v>17</v>
      </c>
      <c r="G821" s="12" t="s">
        <v>46</v>
      </c>
      <c r="H821" s="12"/>
      <c r="I821" s="14">
        <v>45223</v>
      </c>
      <c r="J821" s="12" t="s">
        <v>897</v>
      </c>
    </row>
    <row r="822" spans="1:10" s="15" customFormat="1" x14ac:dyDescent="0.15">
      <c r="A822" s="11">
        <v>45232</v>
      </c>
      <c r="B822" s="12" t="s">
        <v>595</v>
      </c>
      <c r="C822" s="12" t="s">
        <v>596</v>
      </c>
      <c r="D822" s="13" t="str">
        <f>HYPERLINK("https://www.marklines.com/en/global/997","Proton, Tanjung Malim Plant")</f>
        <v>Proton, Tanjung Malim Plant</v>
      </c>
      <c r="E822" s="12" t="s">
        <v>597</v>
      </c>
      <c r="F822" s="12" t="s">
        <v>34</v>
      </c>
      <c r="G822" s="12" t="s">
        <v>538</v>
      </c>
      <c r="H822" s="12"/>
      <c r="I822" s="14">
        <v>45231</v>
      </c>
      <c r="J822" s="12" t="s">
        <v>899</v>
      </c>
    </row>
    <row r="823" spans="1:10" s="15" customFormat="1" x14ac:dyDescent="0.15">
      <c r="A823" s="11">
        <v>45232</v>
      </c>
      <c r="B823" s="12" t="s">
        <v>400</v>
      </c>
      <c r="C823" s="12" t="s">
        <v>900</v>
      </c>
      <c r="D823" s="13" t="str">
        <f>HYPERLINK("https://www.marklines.com/en/global/10387","Zeekr Automobile (Ningbo Hangzhou Bay New Zone) Co., Ltd. (formerly Ningbo Zeekr Intelligent Technology Co., Ltd.")</f>
        <v>Zeekr Automobile (Ningbo Hangzhou Bay New Zone) Co., Ltd. (formerly Ningbo Zeekr Intelligent Technology Co., Ltd.</v>
      </c>
      <c r="E823" s="12" t="s">
        <v>901</v>
      </c>
      <c r="F823" s="12" t="s">
        <v>20</v>
      </c>
      <c r="G823" s="12" t="s">
        <v>27</v>
      </c>
      <c r="H823" s="12" t="s">
        <v>342</v>
      </c>
      <c r="I823" s="14">
        <v>45231</v>
      </c>
      <c r="J823" s="12" t="s">
        <v>902</v>
      </c>
    </row>
    <row r="824" spans="1:10" s="15" customFormat="1" x14ac:dyDescent="0.15">
      <c r="A824" s="11">
        <v>45232</v>
      </c>
      <c r="B824" s="12" t="s">
        <v>243</v>
      </c>
      <c r="C824" s="12" t="s">
        <v>243</v>
      </c>
      <c r="D824" s="13" t="str">
        <f>HYPERLINK("https://www.marklines.com/en/global/1947","Renault Spain, Valladolid Plant")</f>
        <v>Renault Spain, Valladolid Plant</v>
      </c>
      <c r="E824" s="12" t="s">
        <v>903</v>
      </c>
      <c r="F824" s="12" t="s">
        <v>17</v>
      </c>
      <c r="G824" s="12" t="s">
        <v>62</v>
      </c>
      <c r="H824" s="12"/>
      <c r="I824" s="14">
        <v>45230</v>
      </c>
      <c r="J824" s="12" t="s">
        <v>904</v>
      </c>
    </row>
    <row r="825" spans="1:10" s="15" customFormat="1" x14ac:dyDescent="0.15">
      <c r="A825" s="11">
        <v>45232</v>
      </c>
      <c r="B825" s="12" t="s">
        <v>243</v>
      </c>
      <c r="C825" s="12" t="s">
        <v>243</v>
      </c>
      <c r="D825" s="13" t="str">
        <f>HYPERLINK("https://www.marklines.com/en/global/1943","Renault Spain, Palencia Plant")</f>
        <v>Renault Spain, Palencia Plant</v>
      </c>
      <c r="E825" s="12" t="s">
        <v>905</v>
      </c>
      <c r="F825" s="12" t="s">
        <v>17</v>
      </c>
      <c r="G825" s="12" t="s">
        <v>62</v>
      </c>
      <c r="H825" s="12"/>
      <c r="I825" s="14">
        <v>45230</v>
      </c>
      <c r="J825" s="12" t="s">
        <v>904</v>
      </c>
    </row>
    <row r="826" spans="1:10" s="15" customFormat="1" x14ac:dyDescent="0.15">
      <c r="A826" s="11">
        <v>45232</v>
      </c>
      <c r="B826" s="12" t="s">
        <v>33</v>
      </c>
      <c r="C826" s="12" t="s">
        <v>131</v>
      </c>
      <c r="D826" s="13" t="str">
        <f>HYPERLINK("https://www.marklines.com/en/global/2189","Porsche AG, Stuttgart-Zuffenhausen Plant")</f>
        <v>Porsche AG, Stuttgart-Zuffenhausen Plant</v>
      </c>
      <c r="E826" s="12" t="s">
        <v>906</v>
      </c>
      <c r="F826" s="12" t="s">
        <v>17</v>
      </c>
      <c r="G826" s="12" t="s">
        <v>21</v>
      </c>
      <c r="H826" s="12"/>
      <c r="I826" s="14">
        <v>45230</v>
      </c>
      <c r="J826" s="12" t="s">
        <v>907</v>
      </c>
    </row>
    <row r="827" spans="1:10" s="15" customFormat="1" x14ac:dyDescent="0.15">
      <c r="A827" s="11">
        <v>45232</v>
      </c>
      <c r="B827" s="12" t="s">
        <v>33</v>
      </c>
      <c r="C827" s="12" t="s">
        <v>131</v>
      </c>
      <c r="D827" s="13" t="str">
        <f>HYPERLINK("https://www.marklines.com/en/global/2187","Dr. Ing. h.c. F. Porsche AG")</f>
        <v>Dr. Ing. h.c. F. Porsche AG</v>
      </c>
      <c r="E827" s="12" t="s">
        <v>908</v>
      </c>
      <c r="F827" s="12" t="s">
        <v>17</v>
      </c>
      <c r="G827" s="12" t="s">
        <v>21</v>
      </c>
      <c r="H827" s="12"/>
      <c r="I827" s="14">
        <v>45230</v>
      </c>
      <c r="J827" s="12" t="s">
        <v>907</v>
      </c>
    </row>
    <row r="828" spans="1:10" s="15" customFormat="1" x14ac:dyDescent="0.15">
      <c r="A828" s="11">
        <v>45232</v>
      </c>
      <c r="B828" s="12" t="s">
        <v>408</v>
      </c>
      <c r="C828" s="12" t="s">
        <v>409</v>
      </c>
      <c r="D828" s="13" t="str">
        <f>HYPERLINK("https://www.marklines.com/en/global/9045","SAIC Motor - CP Co., Ltd., Chonburi Plant")</f>
        <v>SAIC Motor - CP Co., Ltd., Chonburi Plant</v>
      </c>
      <c r="E828" s="12" t="s">
        <v>909</v>
      </c>
      <c r="F828" s="12" t="s">
        <v>34</v>
      </c>
      <c r="G828" s="12" t="s">
        <v>71</v>
      </c>
      <c r="H828" s="12" t="s">
        <v>72</v>
      </c>
      <c r="I828" s="14">
        <v>45230</v>
      </c>
      <c r="J828" s="12" t="s">
        <v>910</v>
      </c>
    </row>
    <row r="829" spans="1:10" s="15" customFormat="1" x14ac:dyDescent="0.15">
      <c r="A829" s="11">
        <v>45232</v>
      </c>
      <c r="B829" s="12" t="s">
        <v>567</v>
      </c>
      <c r="C829" s="12" t="s">
        <v>567</v>
      </c>
      <c r="D829" s="13" t="str">
        <f>HYPERLINK("https://www.marklines.com/en/global/503","Mazda Motor, Hiroshima Plant")</f>
        <v>Mazda Motor, Hiroshima Plant</v>
      </c>
      <c r="E829" s="12" t="s">
        <v>568</v>
      </c>
      <c r="F829" s="12" t="s">
        <v>20</v>
      </c>
      <c r="G829" s="12" t="s">
        <v>23</v>
      </c>
      <c r="H829" s="12" t="s">
        <v>569</v>
      </c>
      <c r="I829" s="14">
        <v>45230</v>
      </c>
      <c r="J829" s="12" t="s">
        <v>911</v>
      </c>
    </row>
    <row r="830" spans="1:10" s="15" customFormat="1" x14ac:dyDescent="0.15">
      <c r="A830" s="11">
        <v>45232</v>
      </c>
      <c r="B830" s="12" t="s">
        <v>551</v>
      </c>
      <c r="C830" s="12" t="s">
        <v>552</v>
      </c>
      <c r="D830" s="13" t="str">
        <f>HYPERLINK("https://www.marklines.com/en/global/9165","Dongfeng Motor (Wuhan) Co., Ltd. (formerly Dongfeng Renault Automotive  Co., Ltd.) ")</f>
        <v xml:space="preserve">Dongfeng Motor (Wuhan) Co., Ltd. (formerly Dongfeng Renault Automotive  Co., Ltd.) </v>
      </c>
      <c r="E830" s="12" t="s">
        <v>553</v>
      </c>
      <c r="F830" s="12" t="s">
        <v>20</v>
      </c>
      <c r="G830" s="12" t="s">
        <v>27</v>
      </c>
      <c r="H830" s="12" t="s">
        <v>554</v>
      </c>
      <c r="I830" s="14">
        <v>45229</v>
      </c>
      <c r="J830" s="12" t="s">
        <v>912</v>
      </c>
    </row>
    <row r="831" spans="1:10" s="15" customFormat="1" x14ac:dyDescent="0.15">
      <c r="A831" s="11">
        <v>45232</v>
      </c>
      <c r="B831" s="12" t="s">
        <v>437</v>
      </c>
      <c r="C831" s="12" t="s">
        <v>437</v>
      </c>
      <c r="D831" s="13" t="str">
        <f>HYPERLINK("https://www.marklines.com/en/global/9872","Chery Holding Group Co., Ltd. (formerly Chery Holding Co., Ltd.)")</f>
        <v>Chery Holding Group Co., Ltd. (formerly Chery Holding Co., Ltd.)</v>
      </c>
      <c r="E831" s="12" t="s">
        <v>635</v>
      </c>
      <c r="F831" s="12" t="s">
        <v>20</v>
      </c>
      <c r="G831" s="12" t="s">
        <v>27</v>
      </c>
      <c r="H831" s="12" t="s">
        <v>303</v>
      </c>
      <c r="I831" s="14">
        <v>45229</v>
      </c>
      <c r="J831" s="12" t="s">
        <v>913</v>
      </c>
    </row>
    <row r="832" spans="1:10" s="15" customFormat="1" x14ac:dyDescent="0.15">
      <c r="A832" s="11">
        <v>45232</v>
      </c>
      <c r="B832" s="12" t="s">
        <v>24</v>
      </c>
      <c r="C832" s="12" t="s">
        <v>24</v>
      </c>
      <c r="D832" s="13" t="str">
        <f>HYPERLINK("https://www.marklines.com/en/global/2569","Ford Motor, Michigan Assembly Plant")</f>
        <v>Ford Motor, Michigan Assembly Plant</v>
      </c>
      <c r="E832" s="12" t="s">
        <v>137</v>
      </c>
      <c r="F832" s="12" t="s">
        <v>16</v>
      </c>
      <c r="G832" s="12" t="s">
        <v>11</v>
      </c>
      <c r="H832" s="12" t="s">
        <v>40</v>
      </c>
      <c r="I832" s="14">
        <v>45229</v>
      </c>
      <c r="J832" s="12" t="s">
        <v>914</v>
      </c>
    </row>
    <row r="833" spans="1:10" s="15" customFormat="1" x14ac:dyDescent="0.15">
      <c r="A833" s="11">
        <v>45232</v>
      </c>
      <c r="B833" s="12" t="s">
        <v>24</v>
      </c>
      <c r="C833" s="12" t="s">
        <v>24</v>
      </c>
      <c r="D833" s="13" t="str">
        <f>HYPERLINK("https://www.marklines.com/en/global/2595","Ford Motor, Chicago Assembly Plant")</f>
        <v>Ford Motor, Chicago Assembly Plant</v>
      </c>
      <c r="E833" s="12" t="s">
        <v>141</v>
      </c>
      <c r="F833" s="12" t="s">
        <v>16</v>
      </c>
      <c r="G833" s="12" t="s">
        <v>11</v>
      </c>
      <c r="H833" s="12" t="s">
        <v>39</v>
      </c>
      <c r="I833" s="14">
        <v>45229</v>
      </c>
      <c r="J833" s="12" t="s">
        <v>914</v>
      </c>
    </row>
    <row r="834" spans="1:10" s="15" customFormat="1" x14ac:dyDescent="0.15">
      <c r="A834" s="11">
        <v>45232</v>
      </c>
      <c r="B834" s="12" t="s">
        <v>24</v>
      </c>
      <c r="C834" s="12" t="s">
        <v>24</v>
      </c>
      <c r="D834" s="13" t="str">
        <f>HYPERLINK("https://www.marklines.com/en/global/2607","Ford Motor, Kentucky Truck Plant")</f>
        <v>Ford Motor, Kentucky Truck Plant</v>
      </c>
      <c r="E834" s="12" t="s">
        <v>253</v>
      </c>
      <c r="F834" s="12" t="s">
        <v>16</v>
      </c>
      <c r="G834" s="12" t="s">
        <v>11</v>
      </c>
      <c r="H834" s="12" t="s">
        <v>90</v>
      </c>
      <c r="I834" s="14">
        <v>45229</v>
      </c>
      <c r="J834" s="12" t="s">
        <v>914</v>
      </c>
    </row>
    <row r="835" spans="1:10" s="15" customFormat="1" x14ac:dyDescent="0.15">
      <c r="A835" s="11">
        <v>45232</v>
      </c>
      <c r="B835" s="12" t="s">
        <v>12</v>
      </c>
      <c r="C835" s="12" t="s">
        <v>19</v>
      </c>
      <c r="D835" s="13" t="str">
        <f>HYPERLINK("https://www.marklines.com/en/global/867","General Motors Mexico, Ramos Arizpe Plant")</f>
        <v>General Motors Mexico, Ramos Arizpe Plant</v>
      </c>
      <c r="E835" s="12" t="s">
        <v>915</v>
      </c>
      <c r="F835" s="12" t="s">
        <v>16</v>
      </c>
      <c r="G835" s="12" t="s">
        <v>91</v>
      </c>
      <c r="H835" s="12"/>
      <c r="I835" s="14">
        <v>45229</v>
      </c>
      <c r="J835" s="12" t="s">
        <v>916</v>
      </c>
    </row>
    <row r="836" spans="1:10" s="15" customFormat="1" x14ac:dyDescent="0.15">
      <c r="A836" s="11">
        <v>45232</v>
      </c>
      <c r="B836" s="12" t="s">
        <v>22</v>
      </c>
      <c r="C836" s="12" t="s">
        <v>22</v>
      </c>
      <c r="D836" s="13" t="str">
        <f>HYPERLINK("https://www.marklines.com/en/global/417","Gifu Auto Body Co., Ltd., Honsha Plant")</f>
        <v>Gifu Auto Body Co., Ltd., Honsha Plant</v>
      </c>
      <c r="E836" s="12" t="s">
        <v>664</v>
      </c>
      <c r="F836" s="12" t="s">
        <v>20</v>
      </c>
      <c r="G836" s="12" t="s">
        <v>23</v>
      </c>
      <c r="H836" s="12" t="s">
        <v>665</v>
      </c>
      <c r="I836" s="14">
        <v>45225</v>
      </c>
      <c r="J836" s="12" t="s">
        <v>917</v>
      </c>
    </row>
    <row r="837" spans="1:10" s="15" customFormat="1" x14ac:dyDescent="0.15">
      <c r="A837" s="11">
        <v>45232</v>
      </c>
      <c r="B837" s="12" t="s">
        <v>104</v>
      </c>
      <c r="C837" s="12" t="s">
        <v>104</v>
      </c>
      <c r="D837" s="13" t="str">
        <f>HYPERLINK("https://www.marklines.com/en/global/595","J-Bus, Utsunomiya Plant")</f>
        <v>J-Bus, Utsunomiya Plant</v>
      </c>
      <c r="E837" s="12" t="s">
        <v>918</v>
      </c>
      <c r="F837" s="12" t="s">
        <v>20</v>
      </c>
      <c r="G837" s="12" t="s">
        <v>23</v>
      </c>
      <c r="H837" s="12" t="s">
        <v>919</v>
      </c>
      <c r="I837" s="14">
        <v>45225</v>
      </c>
      <c r="J837" s="12" t="s">
        <v>920</v>
      </c>
    </row>
    <row r="838" spans="1:10" s="15" customFormat="1" x14ac:dyDescent="0.15">
      <c r="A838" s="11">
        <v>45232</v>
      </c>
      <c r="B838" s="12" t="s">
        <v>28</v>
      </c>
      <c r="C838" s="12" t="s">
        <v>73</v>
      </c>
      <c r="D838" s="13" t="str">
        <f>HYPERLINK("https://www.marklines.com/en/global/581","Mitsubishi Fuso Truck and Bus, Kawasaki Plant")</f>
        <v>Mitsubishi Fuso Truck and Bus, Kawasaki Plant</v>
      </c>
      <c r="E838" s="12" t="s">
        <v>75</v>
      </c>
      <c r="F838" s="12" t="s">
        <v>20</v>
      </c>
      <c r="G838" s="12" t="s">
        <v>23</v>
      </c>
      <c r="H838" s="12" t="s">
        <v>64</v>
      </c>
      <c r="I838" s="14">
        <v>45224</v>
      </c>
      <c r="J838" s="12" t="s">
        <v>921</v>
      </c>
    </row>
    <row r="839" spans="1:10" s="15" customFormat="1" x14ac:dyDescent="0.15">
      <c r="A839" s="11">
        <v>45232</v>
      </c>
      <c r="B839" s="12" t="s">
        <v>114</v>
      </c>
      <c r="C839" s="12" t="s">
        <v>114</v>
      </c>
      <c r="D839" s="13" t="str">
        <f>HYPERLINK("https://www.marklines.com/en/global/529","Subaru, Gunma Main Plant (Gunma Plant)")</f>
        <v>Subaru, Gunma Main Plant (Gunma Plant)</v>
      </c>
      <c r="E839" s="12" t="s">
        <v>138</v>
      </c>
      <c r="F839" s="12" t="s">
        <v>20</v>
      </c>
      <c r="G839" s="12" t="s">
        <v>23</v>
      </c>
      <c r="H839" s="12" t="s">
        <v>127</v>
      </c>
      <c r="I839" s="14">
        <v>45224</v>
      </c>
      <c r="J839" s="12" t="s">
        <v>922</v>
      </c>
    </row>
    <row r="840" spans="1:10" s="15" customFormat="1" x14ac:dyDescent="0.15">
      <c r="A840" s="11">
        <v>45232</v>
      </c>
      <c r="B840" s="12" t="s">
        <v>22</v>
      </c>
      <c r="C840" s="12" t="s">
        <v>22</v>
      </c>
      <c r="D840" s="13" t="str">
        <f>HYPERLINK("https://www.marklines.com/en/global/373","Toyota Motor, Motomachi Plant")</f>
        <v>Toyota Motor, Motomachi Plant</v>
      </c>
      <c r="E840" s="12" t="s">
        <v>566</v>
      </c>
      <c r="F840" s="12" t="s">
        <v>20</v>
      </c>
      <c r="G840" s="12" t="s">
        <v>23</v>
      </c>
      <c r="H840" s="12" t="s">
        <v>61</v>
      </c>
      <c r="I840" s="14">
        <v>45224</v>
      </c>
      <c r="J840" s="12" t="s">
        <v>923</v>
      </c>
    </row>
    <row r="841" spans="1:10" s="15" customFormat="1" x14ac:dyDescent="0.15">
      <c r="A841" s="11">
        <v>45232</v>
      </c>
      <c r="B841" s="12" t="s">
        <v>408</v>
      </c>
      <c r="C841" s="12" t="s">
        <v>924</v>
      </c>
      <c r="D841" s="13" t="str">
        <f>HYPERLINK("https://www.marklines.com/en/global/4315","SAIC Maxus Automotive Co., Ltd.")</f>
        <v>SAIC Maxus Automotive Co., Ltd.</v>
      </c>
      <c r="E841" s="12" t="s">
        <v>925</v>
      </c>
      <c r="F841" s="12" t="s">
        <v>20</v>
      </c>
      <c r="G841" s="12" t="s">
        <v>27</v>
      </c>
      <c r="H841" s="12" t="s">
        <v>314</v>
      </c>
      <c r="I841" s="14">
        <v>45223</v>
      </c>
      <c r="J841" s="12" t="s">
        <v>926</v>
      </c>
    </row>
    <row r="842" spans="1:10" s="15" customFormat="1" x14ac:dyDescent="0.15">
      <c r="A842" s="11">
        <v>45231</v>
      </c>
      <c r="B842" s="12" t="s">
        <v>45</v>
      </c>
      <c r="C842" s="12" t="s">
        <v>515</v>
      </c>
      <c r="D842" s="13" t="str">
        <f>HYPERLINK("https://www.marklines.com/en/global/2903","Stellantis, Peugeot-Citroen do Brasil S.A., Porto Real Plant")</f>
        <v>Stellantis, Peugeot-Citroen do Brasil S.A., Porto Real Plant</v>
      </c>
      <c r="E842" s="12" t="s">
        <v>927</v>
      </c>
      <c r="F842" s="12" t="s">
        <v>425</v>
      </c>
      <c r="G842" s="12" t="s">
        <v>426</v>
      </c>
      <c r="H842" s="12"/>
      <c r="I842" s="14">
        <v>45231</v>
      </c>
      <c r="J842" s="12" t="s">
        <v>928</v>
      </c>
    </row>
    <row r="843" spans="1:10" s="15" customFormat="1" x14ac:dyDescent="0.15">
      <c r="A843" s="11">
        <v>45231</v>
      </c>
      <c r="B843" s="12" t="s">
        <v>15</v>
      </c>
      <c r="C843" s="12" t="s">
        <v>15</v>
      </c>
      <c r="D843" s="13" t="str">
        <f>HYPERLINK("https://www.marklines.com/en/global/1029","Honda Atlas Cars (Pakistan) Ltd., Lahore Plant")</f>
        <v>Honda Atlas Cars (Pakistan) Ltd., Lahore Plant</v>
      </c>
      <c r="E843" s="12" t="s">
        <v>463</v>
      </c>
      <c r="F843" s="12" t="s">
        <v>25</v>
      </c>
      <c r="G843" s="12" t="s">
        <v>82</v>
      </c>
      <c r="H843" s="12"/>
      <c r="I843" s="14">
        <v>45230</v>
      </c>
      <c r="J843" s="12" t="s">
        <v>929</v>
      </c>
    </row>
    <row r="844" spans="1:10" s="15" customFormat="1" x14ac:dyDescent="0.15">
      <c r="A844" s="11">
        <v>45231</v>
      </c>
      <c r="B844" s="12" t="s">
        <v>33</v>
      </c>
      <c r="C844" s="12" t="s">
        <v>80</v>
      </c>
      <c r="D844" s="13" t="str">
        <f>HYPERLINK("https://www.marklines.com/en/global/1739","Škoda Auto, Mladá Boleslav Plant")</f>
        <v>Škoda Auto, Mladá Boleslav Plant</v>
      </c>
      <c r="E844" s="12" t="s">
        <v>376</v>
      </c>
      <c r="F844" s="12" t="s">
        <v>18</v>
      </c>
      <c r="G844" s="12" t="s">
        <v>81</v>
      </c>
      <c r="H844" s="12"/>
      <c r="I844" s="14">
        <v>45230</v>
      </c>
      <c r="J844" s="12" t="s">
        <v>930</v>
      </c>
    </row>
    <row r="845" spans="1:10" s="15" customFormat="1" x14ac:dyDescent="0.15">
      <c r="A845" s="11">
        <v>45231</v>
      </c>
      <c r="B845" s="12" t="s">
        <v>31</v>
      </c>
      <c r="C845" s="12" t="s">
        <v>31</v>
      </c>
      <c r="D845" s="13" t="str">
        <f>HYPERLINK("https://www.marklines.com/en/global/9879","BMW Manufacturing Hungary Kft., Debrecen Gyar plant")</f>
        <v>BMW Manufacturing Hungary Kft., Debrecen Gyar plant</v>
      </c>
      <c r="E845" s="12" t="s">
        <v>931</v>
      </c>
      <c r="F845" s="12" t="s">
        <v>18</v>
      </c>
      <c r="G845" s="12" t="s">
        <v>132</v>
      </c>
      <c r="H845" s="12"/>
      <c r="I845" s="14">
        <v>45230</v>
      </c>
      <c r="J845" s="12" t="s">
        <v>932</v>
      </c>
    </row>
    <row r="846" spans="1:10" s="15" customFormat="1" x14ac:dyDescent="0.15">
      <c r="A846" s="11">
        <v>45231</v>
      </c>
      <c r="B846" s="12" t="s">
        <v>22</v>
      </c>
      <c r="C846" s="12" t="s">
        <v>22</v>
      </c>
      <c r="D846" s="13" t="str">
        <f>HYPERLINK("https://www.marklines.com/en/global/10455","Toyota Battery Manufacturing, North Carolina (TBMNC)")</f>
        <v>Toyota Battery Manufacturing, North Carolina (TBMNC)</v>
      </c>
      <c r="E846" s="12" t="s">
        <v>933</v>
      </c>
      <c r="F846" s="12" t="s">
        <v>16</v>
      </c>
      <c r="G846" s="12" t="s">
        <v>11</v>
      </c>
      <c r="H846" s="12" t="s">
        <v>934</v>
      </c>
      <c r="I846" s="14">
        <v>45230</v>
      </c>
      <c r="J846" s="12" t="s">
        <v>1784</v>
      </c>
    </row>
    <row r="847" spans="1:10" s="15" customFormat="1" x14ac:dyDescent="0.15">
      <c r="A847" s="11">
        <v>45231</v>
      </c>
      <c r="B847" s="12" t="s">
        <v>22</v>
      </c>
      <c r="C847" s="12" t="s">
        <v>673</v>
      </c>
      <c r="D847" s="13" t="str">
        <f>HYPERLINK("https://www.marklines.com/en/global/10455","Toyota Battery Manufacturing, North Carolina (TBMNC)")</f>
        <v>Toyota Battery Manufacturing, North Carolina (TBMNC)</v>
      </c>
      <c r="E847" s="12" t="s">
        <v>933</v>
      </c>
      <c r="F847" s="12" t="s">
        <v>16</v>
      </c>
      <c r="G847" s="12" t="s">
        <v>11</v>
      </c>
      <c r="H847" s="12" t="s">
        <v>934</v>
      </c>
      <c r="I847" s="14">
        <v>45230</v>
      </c>
      <c r="J847" s="12" t="s">
        <v>1784</v>
      </c>
    </row>
    <row r="848" spans="1:10" s="15" customFormat="1" x14ac:dyDescent="0.15">
      <c r="A848" s="11">
        <v>45231</v>
      </c>
      <c r="B848" s="12" t="s">
        <v>33</v>
      </c>
      <c r="C848" s="12" t="s">
        <v>48</v>
      </c>
      <c r="D848" s="13" t="str">
        <f>HYPERLINK("https://www.marklines.com/en/global/2175","MAN Truck &amp; Bus, Nürnberg Plant")</f>
        <v>MAN Truck &amp; Bus, Nürnberg Plant</v>
      </c>
      <c r="E848" s="12" t="s">
        <v>339</v>
      </c>
      <c r="F848" s="12" t="s">
        <v>17</v>
      </c>
      <c r="G848" s="12" t="s">
        <v>21</v>
      </c>
      <c r="H848" s="12"/>
      <c r="I848" s="14">
        <v>45229</v>
      </c>
      <c r="J848" s="12" t="s">
        <v>935</v>
      </c>
    </row>
    <row r="849" spans="1:10" s="15" customFormat="1" x14ac:dyDescent="0.15">
      <c r="A849" s="11">
        <v>45231</v>
      </c>
      <c r="B849" s="12" t="s">
        <v>33</v>
      </c>
      <c r="C849" s="12" t="s">
        <v>48</v>
      </c>
      <c r="D849" s="13" t="str">
        <f>HYPERLINK("https://www.marklines.com/en/global/2171","MAN Truck &amp; Bus, Munich Plant")</f>
        <v>MAN Truck &amp; Bus, Munich Plant</v>
      </c>
      <c r="E849" s="12" t="s">
        <v>337</v>
      </c>
      <c r="F849" s="12" t="s">
        <v>17</v>
      </c>
      <c r="G849" s="12" t="s">
        <v>21</v>
      </c>
      <c r="H849" s="12"/>
      <c r="I849" s="14">
        <v>45229</v>
      </c>
      <c r="J849" s="12" t="s">
        <v>935</v>
      </c>
    </row>
    <row r="850" spans="1:10" s="15" customFormat="1" x14ac:dyDescent="0.15">
      <c r="A850" s="11">
        <v>45231</v>
      </c>
      <c r="B850" s="12" t="s">
        <v>33</v>
      </c>
      <c r="C850" s="12" t="s">
        <v>44</v>
      </c>
      <c r="D850" s="13" t="str">
        <f>HYPERLINK("https://www.marklines.com/en/global/2267","Volkswagen AG, Emden Plant")</f>
        <v>Volkswagen AG, Emden Plant</v>
      </c>
      <c r="E850" s="12" t="s">
        <v>936</v>
      </c>
      <c r="F850" s="12" t="s">
        <v>17</v>
      </c>
      <c r="G850" s="12" t="s">
        <v>21</v>
      </c>
      <c r="H850" s="12"/>
      <c r="I850" s="14">
        <v>45229</v>
      </c>
      <c r="J850" s="12" t="s">
        <v>937</v>
      </c>
    </row>
    <row r="851" spans="1:10" s="15" customFormat="1" x14ac:dyDescent="0.15">
      <c r="A851" s="11">
        <v>45231</v>
      </c>
      <c r="B851" s="12" t="s">
        <v>28</v>
      </c>
      <c r="C851" s="12" t="s">
        <v>96</v>
      </c>
      <c r="D851" s="13" t="str">
        <f>HYPERLINK("https://www.marklines.com/en/global/2227","Daimler Truck AG, Mannheim Plant")</f>
        <v>Daimler Truck AG, Mannheim Plant</v>
      </c>
      <c r="E851" s="12" t="s">
        <v>938</v>
      </c>
      <c r="F851" s="12" t="s">
        <v>17</v>
      </c>
      <c r="G851" s="12" t="s">
        <v>21</v>
      </c>
      <c r="H851" s="12"/>
      <c r="I851" s="14">
        <v>45229</v>
      </c>
      <c r="J851" s="12" t="s">
        <v>939</v>
      </c>
    </row>
    <row r="852" spans="1:10" s="15" customFormat="1" x14ac:dyDescent="0.15">
      <c r="A852" s="11">
        <v>45231</v>
      </c>
      <c r="B852" s="12" t="s">
        <v>28</v>
      </c>
      <c r="C852" s="12" t="s">
        <v>96</v>
      </c>
      <c r="D852" s="13" t="str">
        <f>HYPERLINK("https://www.marklines.com/en/global/2243","Daimler Truck AG, Wörth Plant")</f>
        <v>Daimler Truck AG, Wörth Plant</v>
      </c>
      <c r="E852" s="12" t="s">
        <v>97</v>
      </c>
      <c r="F852" s="12" t="s">
        <v>17</v>
      </c>
      <c r="G852" s="12" t="s">
        <v>21</v>
      </c>
      <c r="H852" s="12"/>
      <c r="I852" s="14">
        <v>45229</v>
      </c>
      <c r="J852" s="12" t="s">
        <v>939</v>
      </c>
    </row>
    <row r="853" spans="1:10" s="15" customFormat="1" x14ac:dyDescent="0.15">
      <c r="A853" s="11">
        <v>45231</v>
      </c>
      <c r="B853" s="12" t="s">
        <v>43</v>
      </c>
      <c r="C853" s="12" t="s">
        <v>43</v>
      </c>
      <c r="D853" s="13" t="str">
        <f>HYPERLINK("https://www.marklines.com/en/global/9886","Gwangju Global Motors, Gwangju Plant")</f>
        <v>Gwangju Global Motors, Gwangju Plant</v>
      </c>
      <c r="E853" s="12" t="s">
        <v>940</v>
      </c>
      <c r="F853" s="12" t="s">
        <v>20</v>
      </c>
      <c r="G853" s="12" t="s">
        <v>79</v>
      </c>
      <c r="H853" s="12"/>
      <c r="I853" s="14">
        <v>45229</v>
      </c>
      <c r="J853" s="12" t="s">
        <v>941</v>
      </c>
    </row>
    <row r="854" spans="1:10" s="15" customFormat="1" x14ac:dyDescent="0.15">
      <c r="A854" s="11">
        <v>45231</v>
      </c>
      <c r="B854" s="12" t="s">
        <v>551</v>
      </c>
      <c r="C854" s="12" t="s">
        <v>551</v>
      </c>
      <c r="D854" s="13" t="str">
        <f>HYPERLINK("https://www.marklines.com/en/global/3977","Dongfeng Passenger Vehicle Company")</f>
        <v>Dongfeng Passenger Vehicle Company</v>
      </c>
      <c r="E854" s="12" t="s">
        <v>780</v>
      </c>
      <c r="F854" s="12" t="s">
        <v>20</v>
      </c>
      <c r="G854" s="12" t="s">
        <v>27</v>
      </c>
      <c r="H854" s="12" t="s">
        <v>554</v>
      </c>
      <c r="I854" s="14">
        <v>45229</v>
      </c>
      <c r="J854" s="12" t="s">
        <v>942</v>
      </c>
    </row>
    <row r="855" spans="1:10" s="15" customFormat="1" x14ac:dyDescent="0.15">
      <c r="A855" s="11">
        <v>45231</v>
      </c>
      <c r="B855" s="12" t="s">
        <v>65</v>
      </c>
      <c r="C855" s="12" t="s">
        <v>66</v>
      </c>
      <c r="D855" s="13" t="str">
        <f>HYPERLINK("https://www.marklines.com/en/global/2663","Stellantis, FCA US, Belvidere Assembly Plant and Belvidere Satellite Stamping Plant")</f>
        <v>Stellantis, FCA US, Belvidere Assembly Plant and Belvidere Satellite Stamping Plant</v>
      </c>
      <c r="E855" s="12" t="s">
        <v>877</v>
      </c>
      <c r="F855" s="12" t="s">
        <v>16</v>
      </c>
      <c r="G855" s="12" t="s">
        <v>11</v>
      </c>
      <c r="H855" s="12" t="s">
        <v>39</v>
      </c>
      <c r="I855" s="14">
        <v>45229</v>
      </c>
      <c r="J855" s="12" t="s">
        <v>943</v>
      </c>
    </row>
    <row r="856" spans="1:10" s="15" customFormat="1" x14ac:dyDescent="0.15">
      <c r="A856" s="11">
        <v>45231</v>
      </c>
      <c r="B856" s="12" t="s">
        <v>344</v>
      </c>
      <c r="C856" s="12" t="s">
        <v>345</v>
      </c>
      <c r="D856" s="13" t="str">
        <f>HYPERLINK("https://www.marklines.com/en/global/10404","Hozon New Energy Automobile Co., Ltd. Yichun Branch")</f>
        <v>Hozon New Energy Automobile Co., Ltd. Yichun Branch</v>
      </c>
      <c r="E856" s="12" t="s">
        <v>944</v>
      </c>
      <c r="F856" s="12" t="s">
        <v>20</v>
      </c>
      <c r="G856" s="12" t="s">
        <v>27</v>
      </c>
      <c r="H856" s="12" t="s">
        <v>418</v>
      </c>
      <c r="I856" s="14">
        <v>45228</v>
      </c>
      <c r="J856" s="12" t="s">
        <v>945</v>
      </c>
    </row>
    <row r="857" spans="1:10" s="15" customFormat="1" x14ac:dyDescent="0.15">
      <c r="A857" s="11">
        <v>45231</v>
      </c>
      <c r="B857" s="12" t="s">
        <v>344</v>
      </c>
      <c r="C857" s="12" t="s">
        <v>345</v>
      </c>
      <c r="D857" s="13" t="str">
        <f>HYPERLINK("https://www.marklines.com/en/global/9538","Hozon New Energy Automobile Co., Ltd. (formerly Zhejiang Hozon New Energy Automobile Co., Ltd.)")</f>
        <v>Hozon New Energy Automobile Co., Ltd. (formerly Zhejiang Hozon New Energy Automobile Co., Ltd.)</v>
      </c>
      <c r="E857" s="12" t="s">
        <v>360</v>
      </c>
      <c r="F857" s="12" t="s">
        <v>20</v>
      </c>
      <c r="G857" s="12" t="s">
        <v>27</v>
      </c>
      <c r="H857" s="12" t="s">
        <v>342</v>
      </c>
      <c r="I857" s="14">
        <v>45228</v>
      </c>
      <c r="J857" s="12" t="s">
        <v>945</v>
      </c>
    </row>
    <row r="858" spans="1:10" s="15" customFormat="1" x14ac:dyDescent="0.15">
      <c r="A858" s="11">
        <v>45231</v>
      </c>
      <c r="B858" s="12" t="s">
        <v>400</v>
      </c>
      <c r="C858" s="12" t="s">
        <v>946</v>
      </c>
      <c r="D858" s="13" t="str">
        <f>HYPERLINK("https://www.marklines.com/en/global/10393","Sichuan Lynk &amp; Co Automobile Manufacturing Co., Ltd. (formerly Zhejiang Haoqing Automotive Manufacturing Co.,Ltd. Chengdu Branch)")</f>
        <v>Sichuan Lynk &amp; Co Automobile Manufacturing Co., Ltd. (formerly Zhejiang Haoqing Automotive Manufacturing Co.,Ltd. Chengdu Branch)</v>
      </c>
      <c r="E858" s="12" t="s">
        <v>428</v>
      </c>
      <c r="F858" s="12" t="s">
        <v>20</v>
      </c>
      <c r="G858" s="12" t="s">
        <v>27</v>
      </c>
      <c r="H858" s="12" t="s">
        <v>429</v>
      </c>
      <c r="I858" s="14">
        <v>45227</v>
      </c>
      <c r="J858" s="12" t="s">
        <v>947</v>
      </c>
    </row>
    <row r="859" spans="1:10" s="15" customFormat="1" x14ac:dyDescent="0.15">
      <c r="A859" s="11">
        <v>45231</v>
      </c>
      <c r="B859" s="12" t="s">
        <v>400</v>
      </c>
      <c r="C859" s="12" t="s">
        <v>946</v>
      </c>
      <c r="D859" s="13" t="str">
        <f>HYPERLINK("https://www.marklines.com/en/global/10387","Zeekr Automobile (Ningbo Hangzhou Bay New Zone) Co., Ltd. (formerly Ningbo Zeekr Intelligent Technology Co., Ltd.")</f>
        <v>Zeekr Automobile (Ningbo Hangzhou Bay New Zone) Co., Ltd. (formerly Ningbo Zeekr Intelligent Technology Co., Ltd.</v>
      </c>
      <c r="E859" s="12" t="s">
        <v>901</v>
      </c>
      <c r="F859" s="12" t="s">
        <v>20</v>
      </c>
      <c r="G859" s="12" t="s">
        <v>27</v>
      </c>
      <c r="H859" s="12" t="s">
        <v>342</v>
      </c>
      <c r="I859" s="14">
        <v>45227</v>
      </c>
      <c r="J859" s="12" t="s">
        <v>947</v>
      </c>
    </row>
    <row r="860" spans="1:10" s="15" customFormat="1" x14ac:dyDescent="0.15">
      <c r="A860" s="11">
        <v>45231</v>
      </c>
      <c r="B860" s="12" t="s">
        <v>400</v>
      </c>
      <c r="C860" s="12" t="s">
        <v>946</v>
      </c>
      <c r="D860" s="13" t="str">
        <f>HYPERLINK("https://www.marklines.com/en/global/10391","Zhejiang Geely Automobile Co., Ltd. Meishan Plant")</f>
        <v>Zhejiang Geely Automobile Co., Ltd. Meishan Plant</v>
      </c>
      <c r="E860" s="12" t="s">
        <v>948</v>
      </c>
      <c r="F860" s="12" t="s">
        <v>20</v>
      </c>
      <c r="G860" s="12" t="s">
        <v>27</v>
      </c>
      <c r="H860" s="12" t="s">
        <v>342</v>
      </c>
      <c r="I860" s="14">
        <v>45227</v>
      </c>
      <c r="J860" s="12" t="s">
        <v>947</v>
      </c>
    </row>
    <row r="861" spans="1:10" s="15" customFormat="1" x14ac:dyDescent="0.15">
      <c r="A861" s="11">
        <v>45231</v>
      </c>
      <c r="B861" s="12" t="s">
        <v>408</v>
      </c>
      <c r="C861" s="12" t="s">
        <v>482</v>
      </c>
      <c r="D861" s="13" t="str">
        <f>HYPERLINK("https://www.marklines.com/en/global/4153","SAIC-GM-Wuling Automobile Co., Ltd. (SGMW)　")</f>
        <v>SAIC-GM-Wuling Automobile Co., Ltd. (SGMW)　</v>
      </c>
      <c r="E861" s="12" t="s">
        <v>485</v>
      </c>
      <c r="F861" s="12" t="s">
        <v>20</v>
      </c>
      <c r="G861" s="12" t="s">
        <v>27</v>
      </c>
      <c r="H861" s="12" t="s">
        <v>486</v>
      </c>
      <c r="I861" s="14">
        <v>45226</v>
      </c>
      <c r="J861" s="12" t="s">
        <v>949</v>
      </c>
    </row>
    <row r="862" spans="1:10" s="15" customFormat="1" x14ac:dyDescent="0.15">
      <c r="A862" s="11">
        <v>45231</v>
      </c>
      <c r="B862" s="12" t="s">
        <v>400</v>
      </c>
      <c r="C862" s="12" t="s">
        <v>400</v>
      </c>
      <c r="D862" s="13" t="str">
        <f>HYPERLINK("https://www.marklines.com/en/global/10387","Zeekr Automobile (Ningbo Hangzhou Bay New Zone) Co., Ltd. (formerly Ningbo Zeekr Intelligent Technology Co., Ltd.")</f>
        <v>Zeekr Automobile (Ningbo Hangzhou Bay New Zone) Co., Ltd. (formerly Ningbo Zeekr Intelligent Technology Co., Ltd.</v>
      </c>
      <c r="E862" s="12" t="s">
        <v>901</v>
      </c>
      <c r="F862" s="12" t="s">
        <v>20</v>
      </c>
      <c r="G862" s="12" t="s">
        <v>27</v>
      </c>
      <c r="H862" s="12" t="s">
        <v>342</v>
      </c>
      <c r="I862" s="14">
        <v>45226</v>
      </c>
      <c r="J862" s="12" t="s">
        <v>950</v>
      </c>
    </row>
    <row r="863" spans="1:10" s="15" customFormat="1" x14ac:dyDescent="0.15">
      <c r="A863" s="11">
        <v>45231</v>
      </c>
      <c r="B863" s="12" t="s">
        <v>400</v>
      </c>
      <c r="C863" s="12" t="s">
        <v>400</v>
      </c>
      <c r="D863" s="13" t="str">
        <f>HYPERLINK("https://www.marklines.com/en/global/10391","Zhejiang Geely Automobile Co., Ltd. Meishan Plant")</f>
        <v>Zhejiang Geely Automobile Co., Ltd. Meishan Plant</v>
      </c>
      <c r="E863" s="12" t="s">
        <v>948</v>
      </c>
      <c r="F863" s="12" t="s">
        <v>20</v>
      </c>
      <c r="G863" s="12" t="s">
        <v>27</v>
      </c>
      <c r="H863" s="12" t="s">
        <v>342</v>
      </c>
      <c r="I863" s="14">
        <v>45226</v>
      </c>
      <c r="J863" s="12" t="s">
        <v>950</v>
      </c>
    </row>
    <row r="864" spans="1:10" s="15" customFormat="1" x14ac:dyDescent="0.15">
      <c r="A864" s="11">
        <v>45231</v>
      </c>
      <c r="B864" s="12" t="s">
        <v>366</v>
      </c>
      <c r="C864" s="12" t="s">
        <v>622</v>
      </c>
      <c r="D864" s="13" t="str">
        <f>HYPERLINK("https://www.marklines.com/en/global/9824","GAC Aion New Energy Automobile Co., Ltd.")</f>
        <v>GAC Aion New Energy Automobile Co., Ltd.</v>
      </c>
      <c r="E864" s="12" t="s">
        <v>623</v>
      </c>
      <c r="F864" s="12" t="s">
        <v>20</v>
      </c>
      <c r="G864" s="12" t="s">
        <v>27</v>
      </c>
      <c r="H864" s="12" t="s">
        <v>357</v>
      </c>
      <c r="I864" s="14">
        <v>45225</v>
      </c>
      <c r="J864" s="12" t="s">
        <v>951</v>
      </c>
    </row>
    <row r="865" spans="1:10" s="15" customFormat="1" x14ac:dyDescent="0.15">
      <c r="A865" s="11">
        <v>45231</v>
      </c>
      <c r="B865" s="12" t="s">
        <v>408</v>
      </c>
      <c r="C865" s="12" t="s">
        <v>408</v>
      </c>
      <c r="D865" s="13" t="str">
        <f>HYPERLINK("https://www.marklines.com/en/global/4187","SAIC-Hongyan Automobile Co., Ltd.")</f>
        <v>SAIC-Hongyan Automobile Co., Ltd.</v>
      </c>
      <c r="E865" s="12" t="s">
        <v>952</v>
      </c>
      <c r="F865" s="12" t="s">
        <v>20</v>
      </c>
      <c r="G865" s="12" t="s">
        <v>27</v>
      </c>
      <c r="H865" s="12" t="s">
        <v>29</v>
      </c>
      <c r="I865" s="14">
        <v>45224</v>
      </c>
      <c r="J865" s="12" t="s">
        <v>953</v>
      </c>
    </row>
    <row r="866" spans="1:10" s="15" customFormat="1" x14ac:dyDescent="0.15">
      <c r="A866" s="11">
        <v>45231</v>
      </c>
      <c r="B866" s="12" t="s">
        <v>863</v>
      </c>
      <c r="C866" s="12" t="s">
        <v>863</v>
      </c>
      <c r="D866" s="13" t="str">
        <f>HYPERLINK("https://www.marklines.com/en/global/3909","Jiangling Motors Co., Ltd. Xiaolan Branch")</f>
        <v>Jiangling Motors Co., Ltd. Xiaolan Branch</v>
      </c>
      <c r="E866" s="12" t="s">
        <v>954</v>
      </c>
      <c r="F866" s="12" t="s">
        <v>20</v>
      </c>
      <c r="G866" s="12" t="s">
        <v>27</v>
      </c>
      <c r="H866" s="12" t="s">
        <v>418</v>
      </c>
      <c r="I866" s="14">
        <v>45222</v>
      </c>
      <c r="J866" s="12" t="s">
        <v>955</v>
      </c>
    </row>
    <row r="867" spans="1:10" s="15" customFormat="1" x14ac:dyDescent="0.15">
      <c r="A867" s="11">
        <v>45230</v>
      </c>
      <c r="B867" s="12" t="s">
        <v>243</v>
      </c>
      <c r="C867" s="12" t="s">
        <v>243</v>
      </c>
      <c r="D867" s="13" t="str">
        <f>HYPERLINK("https://www.marklines.com/en/global/10509","Verkor Gigafactory, Dunkirk Plant (tentative name)")</f>
        <v>Verkor Gigafactory, Dunkirk Plant (tentative name)</v>
      </c>
      <c r="E867" s="12" t="s">
        <v>956</v>
      </c>
      <c r="F867" s="12" t="s">
        <v>17</v>
      </c>
      <c r="G867" s="12" t="s">
        <v>32</v>
      </c>
      <c r="H867" s="12"/>
      <c r="I867" s="14">
        <v>45229</v>
      </c>
      <c r="J867" s="12" t="s">
        <v>957</v>
      </c>
    </row>
    <row r="868" spans="1:10" s="15" customFormat="1" x14ac:dyDescent="0.15">
      <c r="A868" s="11">
        <v>45230</v>
      </c>
      <c r="B868" s="12" t="s">
        <v>243</v>
      </c>
      <c r="C868" s="12" t="s">
        <v>243</v>
      </c>
      <c r="D868" s="13" t="str">
        <f>HYPERLINK("https://www.marklines.com/en/global/10414","Verkor SA")</f>
        <v>Verkor SA</v>
      </c>
      <c r="E868" s="12" t="s">
        <v>958</v>
      </c>
      <c r="F868" s="12" t="s">
        <v>17</v>
      </c>
      <c r="G868" s="12" t="s">
        <v>32</v>
      </c>
      <c r="H868" s="12"/>
      <c r="I868" s="14">
        <v>45229</v>
      </c>
      <c r="J868" s="12" t="s">
        <v>957</v>
      </c>
    </row>
    <row r="869" spans="1:10" s="15" customFormat="1" x14ac:dyDescent="0.15">
      <c r="A869" s="11">
        <v>45230</v>
      </c>
      <c r="B869" s="12" t="s">
        <v>43</v>
      </c>
      <c r="C869" s="12" t="s">
        <v>43</v>
      </c>
      <c r="D869" s="13" t="str">
        <f>HYPERLINK("https://www.marklines.com/en/global/709","Hyundai Motor Manufacturing Russia (HMMR), Kamenka (St. Petersburg)  Plant")</f>
        <v>Hyundai Motor Manufacturing Russia (HMMR), Kamenka (St. Petersburg)  Plant</v>
      </c>
      <c r="E869" s="12" t="s">
        <v>959</v>
      </c>
      <c r="F869" s="12" t="s">
        <v>18</v>
      </c>
      <c r="G869" s="12" t="s">
        <v>14</v>
      </c>
      <c r="H869" s="12"/>
      <c r="I869" s="14">
        <v>45229</v>
      </c>
      <c r="J869" s="12" t="s">
        <v>960</v>
      </c>
    </row>
    <row r="870" spans="1:10" s="15" customFormat="1" x14ac:dyDescent="0.15">
      <c r="A870" s="11">
        <v>45230</v>
      </c>
      <c r="B870" s="12" t="s">
        <v>24</v>
      </c>
      <c r="C870" s="12" t="s">
        <v>24</v>
      </c>
      <c r="D870" s="13" t="str">
        <f>HYPERLINK("https://www.marklines.com/en/global/2143","Ford Motor Germany, Cologne (Köln)-Niehl Plant")</f>
        <v>Ford Motor Germany, Cologne (Köln)-Niehl Plant</v>
      </c>
      <c r="E870" s="12" t="s">
        <v>961</v>
      </c>
      <c r="F870" s="12" t="s">
        <v>17</v>
      </c>
      <c r="G870" s="12" t="s">
        <v>21</v>
      </c>
      <c r="H870" s="12"/>
      <c r="I870" s="14">
        <v>45229</v>
      </c>
      <c r="J870" s="12" t="s">
        <v>962</v>
      </c>
    </row>
    <row r="871" spans="1:10" s="15" customFormat="1" x14ac:dyDescent="0.15">
      <c r="A871" s="11">
        <v>45230</v>
      </c>
      <c r="B871" s="12" t="s">
        <v>24</v>
      </c>
      <c r="C871" s="12" t="s">
        <v>24</v>
      </c>
      <c r="D871" s="13" t="str">
        <f>HYPERLINK("https://www.marklines.com/en/global/10138","Ford Werke GmbH John Andrews Entwicklungszentrum (Cologne)")</f>
        <v>Ford Werke GmbH John Andrews Entwicklungszentrum (Cologne)</v>
      </c>
      <c r="E871" s="12" t="s">
        <v>963</v>
      </c>
      <c r="F871" s="12" t="s">
        <v>17</v>
      </c>
      <c r="G871" s="12" t="s">
        <v>21</v>
      </c>
      <c r="H871" s="12"/>
      <c r="I871" s="14">
        <v>45229</v>
      </c>
      <c r="J871" s="12" t="s">
        <v>962</v>
      </c>
    </row>
    <row r="872" spans="1:10" s="15" customFormat="1" x14ac:dyDescent="0.15">
      <c r="A872" s="11">
        <v>45230</v>
      </c>
      <c r="B872" s="12" t="s">
        <v>24</v>
      </c>
      <c r="C872" s="12" t="s">
        <v>24</v>
      </c>
      <c r="D872" s="13" t="str">
        <f>HYPERLINK("https://www.marklines.com/en/global/10338","Ford Research and Innovation Center (RIC) Aachen")</f>
        <v>Ford Research and Innovation Center (RIC) Aachen</v>
      </c>
      <c r="E872" s="12" t="s">
        <v>964</v>
      </c>
      <c r="F872" s="12" t="s">
        <v>17</v>
      </c>
      <c r="G872" s="12" t="s">
        <v>21</v>
      </c>
      <c r="H872" s="12"/>
      <c r="I872" s="14">
        <v>45229</v>
      </c>
      <c r="J872" s="12" t="s">
        <v>962</v>
      </c>
    </row>
    <row r="873" spans="1:10" s="15" customFormat="1" x14ac:dyDescent="0.15">
      <c r="A873" s="11">
        <v>45230</v>
      </c>
      <c r="B873" s="12" t="s">
        <v>12</v>
      </c>
      <c r="C873" s="12" t="s">
        <v>12</v>
      </c>
      <c r="D873" s="13" t="str">
        <f>HYPERLINK("https://www.marklines.com/en/global/9976","Ultium Cells LLC, Warren Plant ")</f>
        <v xml:space="preserve">Ultium Cells LLC, Warren Plant </v>
      </c>
      <c r="E873" s="12" t="s">
        <v>625</v>
      </c>
      <c r="F873" s="12" t="s">
        <v>16</v>
      </c>
      <c r="G873" s="12" t="s">
        <v>11</v>
      </c>
      <c r="H873" s="12" t="s">
        <v>101</v>
      </c>
      <c r="I873" s="14">
        <v>45229</v>
      </c>
      <c r="J873" s="12" t="s">
        <v>965</v>
      </c>
    </row>
    <row r="874" spans="1:10" s="15" customFormat="1" x14ac:dyDescent="0.15">
      <c r="A874" s="11">
        <v>45230</v>
      </c>
      <c r="B874" s="12" t="s">
        <v>28</v>
      </c>
      <c r="C874" s="12" t="s">
        <v>966</v>
      </c>
      <c r="D874" s="13" t="str">
        <f>HYPERLINK("https://www.marklines.com/en/global/3073","Western Star Trucks, Portland Plant")</f>
        <v>Western Star Trucks, Portland Plant</v>
      </c>
      <c r="E874" s="12" t="s">
        <v>967</v>
      </c>
      <c r="F874" s="12" t="s">
        <v>16</v>
      </c>
      <c r="G874" s="12" t="s">
        <v>11</v>
      </c>
      <c r="H874" s="12" t="s">
        <v>968</v>
      </c>
      <c r="I874" s="14">
        <v>45229</v>
      </c>
      <c r="J874" s="12" t="s">
        <v>969</v>
      </c>
    </row>
    <row r="875" spans="1:10" s="15" customFormat="1" x14ac:dyDescent="0.15">
      <c r="A875" s="11">
        <v>45230</v>
      </c>
      <c r="B875" s="12" t="s">
        <v>24</v>
      </c>
      <c r="C875" s="12" t="s">
        <v>24</v>
      </c>
      <c r="D875" s="13" t="str">
        <f>HYPERLINK("https://www.marklines.com/en/global/2559","Ford Motor, Dearborn Truck Plant")</f>
        <v>Ford Motor, Dearborn Truck Plant</v>
      </c>
      <c r="E875" s="12" t="s">
        <v>970</v>
      </c>
      <c r="F875" s="12" t="s">
        <v>16</v>
      </c>
      <c r="G875" s="12" t="s">
        <v>11</v>
      </c>
      <c r="H875" s="12" t="s">
        <v>40</v>
      </c>
      <c r="I875" s="14">
        <v>45228</v>
      </c>
      <c r="J875" s="12" t="s">
        <v>971</v>
      </c>
    </row>
    <row r="876" spans="1:10" s="15" customFormat="1" x14ac:dyDescent="0.15">
      <c r="A876" s="11">
        <v>45230</v>
      </c>
      <c r="B876" s="12" t="s">
        <v>24</v>
      </c>
      <c r="C876" s="12" t="s">
        <v>24</v>
      </c>
      <c r="D876" s="13" t="str">
        <f>HYPERLINK("https://www.marklines.com/en/global/10376","Ford Motor, Rouge Electric Vehicle Center")</f>
        <v>Ford Motor, Rouge Electric Vehicle Center</v>
      </c>
      <c r="E876" s="12" t="s">
        <v>589</v>
      </c>
      <c r="F876" s="12" t="s">
        <v>16</v>
      </c>
      <c r="G876" s="12" t="s">
        <v>11</v>
      </c>
      <c r="H876" s="12" t="s">
        <v>40</v>
      </c>
      <c r="I876" s="14">
        <v>45228</v>
      </c>
      <c r="J876" s="12" t="s">
        <v>971</v>
      </c>
    </row>
    <row r="877" spans="1:10" s="15" customFormat="1" x14ac:dyDescent="0.15">
      <c r="A877" s="11">
        <v>45230</v>
      </c>
      <c r="B877" s="12" t="s">
        <v>24</v>
      </c>
      <c r="C877" s="12" t="s">
        <v>24</v>
      </c>
      <c r="D877" s="13" t="str">
        <f>HYPERLINK("https://www.marklines.com/en/global/3041","Ford Motor, Flat Rock Assembly Plant")</f>
        <v>Ford Motor, Flat Rock Assembly Plant</v>
      </c>
      <c r="E877" s="12" t="s">
        <v>972</v>
      </c>
      <c r="F877" s="12" t="s">
        <v>16</v>
      </c>
      <c r="G877" s="12" t="s">
        <v>11</v>
      </c>
      <c r="H877" s="12" t="s">
        <v>40</v>
      </c>
      <c r="I877" s="14">
        <v>45228</v>
      </c>
      <c r="J877" s="12" t="s">
        <v>971</v>
      </c>
    </row>
    <row r="878" spans="1:10" s="15" customFormat="1" x14ac:dyDescent="0.15">
      <c r="A878" s="11">
        <v>45230</v>
      </c>
      <c r="B878" s="12" t="s">
        <v>24</v>
      </c>
      <c r="C878" s="12" t="s">
        <v>24</v>
      </c>
      <c r="D878" s="13" t="str">
        <f>HYPERLINK("https://www.marklines.com/en/global/2605","Ford Motor, Louisville Assembly Plant")</f>
        <v>Ford Motor, Louisville Assembly Plant</v>
      </c>
      <c r="E878" s="12" t="s">
        <v>252</v>
      </c>
      <c r="F878" s="12" t="s">
        <v>16</v>
      </c>
      <c r="G878" s="12" t="s">
        <v>11</v>
      </c>
      <c r="H878" s="12" t="s">
        <v>90</v>
      </c>
      <c r="I878" s="14">
        <v>45228</v>
      </c>
      <c r="J878" s="12" t="s">
        <v>971</v>
      </c>
    </row>
    <row r="879" spans="1:10" s="15" customFormat="1" x14ac:dyDescent="0.15">
      <c r="A879" s="11">
        <v>45230</v>
      </c>
      <c r="B879" s="12" t="s">
        <v>24</v>
      </c>
      <c r="C879" s="12" t="s">
        <v>24</v>
      </c>
      <c r="D879" s="13" t="str">
        <f>HYPERLINK("https://www.marklines.com/en/global/2589","Ford Motor, Ohio Assembly Plant")</f>
        <v>Ford Motor, Ohio Assembly Plant</v>
      </c>
      <c r="E879" s="12" t="s">
        <v>250</v>
      </c>
      <c r="F879" s="12" t="s">
        <v>16</v>
      </c>
      <c r="G879" s="12" t="s">
        <v>11</v>
      </c>
      <c r="H879" s="12" t="s">
        <v>101</v>
      </c>
      <c r="I879" s="14">
        <v>45228</v>
      </c>
      <c r="J879" s="12" t="s">
        <v>971</v>
      </c>
    </row>
    <row r="880" spans="1:10" s="15" customFormat="1" x14ac:dyDescent="0.15">
      <c r="A880" s="11">
        <v>45230</v>
      </c>
      <c r="B880" s="12" t="s">
        <v>24</v>
      </c>
      <c r="C880" s="12" t="s">
        <v>24</v>
      </c>
      <c r="D880" s="13" t="str">
        <f>HYPERLINK("https://www.marklines.com/en/global/2563","Ford Motor, Dearborn Engine &amp; Fuel Tank Plant")</f>
        <v>Ford Motor, Dearborn Engine &amp; Fuel Tank Plant</v>
      </c>
      <c r="E880" s="12" t="s">
        <v>973</v>
      </c>
      <c r="F880" s="12" t="s">
        <v>16</v>
      </c>
      <c r="G880" s="12" t="s">
        <v>11</v>
      </c>
      <c r="H880" s="12" t="s">
        <v>40</v>
      </c>
      <c r="I880" s="14">
        <v>45228</v>
      </c>
      <c r="J880" s="12" t="s">
        <v>971</v>
      </c>
    </row>
    <row r="881" spans="1:10" s="15" customFormat="1" x14ac:dyDescent="0.15">
      <c r="A881" s="11">
        <v>45230</v>
      </c>
      <c r="B881" s="12" t="s">
        <v>33</v>
      </c>
      <c r="C881" s="12" t="s">
        <v>48</v>
      </c>
      <c r="D881" s="13" t="str">
        <f>HYPERLINK("https://www.marklines.com/en/global/1679","MAN Bus Sp. z o.o. Starachowice Plant")</f>
        <v>MAN Bus Sp. z o.o. Starachowice Plant</v>
      </c>
      <c r="E881" s="12" t="s">
        <v>139</v>
      </c>
      <c r="F881" s="12" t="s">
        <v>18</v>
      </c>
      <c r="G881" s="12" t="s">
        <v>30</v>
      </c>
      <c r="H881" s="12"/>
      <c r="I881" s="14">
        <v>45226</v>
      </c>
      <c r="J881" s="12" t="s">
        <v>974</v>
      </c>
    </row>
    <row r="882" spans="1:10" s="15" customFormat="1" x14ac:dyDescent="0.15">
      <c r="A882" s="11">
        <v>45230</v>
      </c>
      <c r="B882" s="12" t="s">
        <v>33</v>
      </c>
      <c r="C882" s="12" t="s">
        <v>48</v>
      </c>
      <c r="D882" s="13" t="str">
        <f>HYPERLINK("https://www.marklines.com/en/global/627","MAN Bus &amp; Coach (Pty) Ltd, Olifantsfontein Plant")</f>
        <v>MAN Bus &amp; Coach (Pty) Ltd, Olifantsfontein Plant</v>
      </c>
      <c r="E882" s="12" t="s">
        <v>173</v>
      </c>
      <c r="F882" s="12" t="s">
        <v>69</v>
      </c>
      <c r="G882" s="12" t="s">
        <v>70</v>
      </c>
      <c r="H882" s="12"/>
      <c r="I882" s="14">
        <v>45226</v>
      </c>
      <c r="J882" s="12" t="s">
        <v>974</v>
      </c>
    </row>
    <row r="883" spans="1:10" s="15" customFormat="1" x14ac:dyDescent="0.15">
      <c r="A883" s="11">
        <v>45230</v>
      </c>
      <c r="B883" s="12" t="s">
        <v>33</v>
      </c>
      <c r="C883" s="12" t="s">
        <v>48</v>
      </c>
      <c r="D883" s="13" t="str">
        <f>HYPERLINK("https://www.marklines.com/en/global/1430","MAN Turkiye A.S., Ankara Plant")</f>
        <v>MAN Turkiye A.S., Ankara Plant</v>
      </c>
      <c r="E883" s="12" t="s">
        <v>975</v>
      </c>
      <c r="F883" s="12" t="s">
        <v>106</v>
      </c>
      <c r="G883" s="12" t="s">
        <v>107</v>
      </c>
      <c r="H883" s="12"/>
      <c r="I883" s="14">
        <v>45226</v>
      </c>
      <c r="J883" s="12" t="s">
        <v>974</v>
      </c>
    </row>
    <row r="884" spans="1:10" s="15" customFormat="1" x14ac:dyDescent="0.15">
      <c r="A884" s="11">
        <v>45230</v>
      </c>
      <c r="B884" s="12" t="s">
        <v>33</v>
      </c>
      <c r="C884" s="12" t="s">
        <v>332</v>
      </c>
      <c r="D884" s="13" t="str">
        <f>HYPERLINK("https://www.marklines.com/en/global/1773","Volkswagen Slovakia, Martin Plant")</f>
        <v>Volkswagen Slovakia, Martin Plant</v>
      </c>
      <c r="E884" s="12" t="s">
        <v>976</v>
      </c>
      <c r="F884" s="12" t="s">
        <v>18</v>
      </c>
      <c r="G884" s="12" t="s">
        <v>55</v>
      </c>
      <c r="H884" s="12"/>
      <c r="I884" s="14">
        <v>45226</v>
      </c>
      <c r="J884" s="12" t="s">
        <v>977</v>
      </c>
    </row>
    <row r="885" spans="1:10" s="15" customFormat="1" x14ac:dyDescent="0.15">
      <c r="A885" s="11">
        <v>45230</v>
      </c>
      <c r="B885" s="12" t="s">
        <v>495</v>
      </c>
      <c r="C885" s="12" t="s">
        <v>495</v>
      </c>
      <c r="D885" s="13" t="str">
        <f>HYPERLINK("https://www.marklines.com/en/global/10769","Changan Auto Southeast Asia Co., Ltd., Rayong Plant")</f>
        <v>Changan Auto Southeast Asia Co., Ltd., Rayong Plant</v>
      </c>
      <c r="E885" s="12" t="s">
        <v>978</v>
      </c>
      <c r="F885" s="12" t="s">
        <v>34</v>
      </c>
      <c r="G885" s="12" t="s">
        <v>71</v>
      </c>
      <c r="H885" s="12" t="s">
        <v>979</v>
      </c>
      <c r="I885" s="14">
        <v>45225</v>
      </c>
      <c r="J885" s="12" t="s">
        <v>980</v>
      </c>
    </row>
    <row r="886" spans="1:10" s="15" customFormat="1" x14ac:dyDescent="0.15">
      <c r="A886" s="11">
        <v>45230</v>
      </c>
      <c r="B886" s="12" t="s">
        <v>45</v>
      </c>
      <c r="C886" s="12" t="s">
        <v>603</v>
      </c>
      <c r="D886" s="13" t="str">
        <f>HYPERLINK("https://www.marklines.com/en/global/2797","Stellantis, PSA Argentina, Buenos Aires (El Palomar) Plant")</f>
        <v>Stellantis, PSA Argentina, Buenos Aires (El Palomar) Plant</v>
      </c>
      <c r="E886" s="12" t="s">
        <v>981</v>
      </c>
      <c r="F886" s="12" t="s">
        <v>425</v>
      </c>
      <c r="G886" s="12" t="s">
        <v>505</v>
      </c>
      <c r="H886" s="12"/>
      <c r="I886" s="14">
        <v>45225</v>
      </c>
      <c r="J886" s="12" t="s">
        <v>982</v>
      </c>
    </row>
    <row r="887" spans="1:10" s="15" customFormat="1" x14ac:dyDescent="0.15">
      <c r="A887" s="11">
        <v>45230</v>
      </c>
      <c r="B887" s="12" t="s">
        <v>45</v>
      </c>
      <c r="C887" s="12" t="s">
        <v>603</v>
      </c>
      <c r="D887" s="13" t="str">
        <f>HYPERLINK("https://www.marklines.com/en/global/2903","Stellantis, Peugeot-Citroen do Brasil S.A., Porto Real Plant")</f>
        <v>Stellantis, Peugeot-Citroen do Brasil S.A., Porto Real Plant</v>
      </c>
      <c r="E887" s="12" t="s">
        <v>927</v>
      </c>
      <c r="F887" s="12" t="s">
        <v>425</v>
      </c>
      <c r="G887" s="12" t="s">
        <v>426</v>
      </c>
      <c r="H887" s="12"/>
      <c r="I887" s="14">
        <v>45225</v>
      </c>
      <c r="J887" s="12" t="s">
        <v>982</v>
      </c>
    </row>
    <row r="888" spans="1:10" s="15" customFormat="1" x14ac:dyDescent="0.15">
      <c r="A888" s="11">
        <v>45230</v>
      </c>
      <c r="B888" s="12" t="s">
        <v>24</v>
      </c>
      <c r="C888" s="12" t="s">
        <v>24</v>
      </c>
      <c r="D888" s="13" t="str">
        <f>HYPERLINK("https://www.marklines.com/en/global/10432","Ford, BlueOval SK Battery Park ")</f>
        <v xml:space="preserve">Ford, BlueOval SK Battery Park </v>
      </c>
      <c r="E888" s="12" t="s">
        <v>577</v>
      </c>
      <c r="F888" s="12" t="s">
        <v>16</v>
      </c>
      <c r="G888" s="12" t="s">
        <v>11</v>
      </c>
      <c r="H888" s="12" t="s">
        <v>90</v>
      </c>
      <c r="I888" s="14">
        <v>45225</v>
      </c>
      <c r="J888" s="12" t="s">
        <v>983</v>
      </c>
    </row>
    <row r="889" spans="1:10" s="15" customFormat="1" x14ac:dyDescent="0.15">
      <c r="A889" s="11">
        <v>45230</v>
      </c>
      <c r="B889" s="12" t="s">
        <v>344</v>
      </c>
      <c r="C889" s="12" t="s">
        <v>345</v>
      </c>
      <c r="D889" s="13" t="str">
        <f>HYPERLINK("https://www.marklines.com/en/global/10768","NexV Manufacturing Sdn Bhd (NMSB), Chembong Plant")</f>
        <v>NexV Manufacturing Sdn Bhd (NMSB), Chembong Plant</v>
      </c>
      <c r="E889" s="12" t="s">
        <v>984</v>
      </c>
      <c r="F889" s="12" t="s">
        <v>34</v>
      </c>
      <c r="G889" s="12" t="s">
        <v>538</v>
      </c>
      <c r="H889" s="12"/>
      <c r="I889" s="14">
        <v>45223</v>
      </c>
      <c r="J889" s="12" t="s">
        <v>985</v>
      </c>
    </row>
    <row r="890" spans="1:10" s="15" customFormat="1" x14ac:dyDescent="0.15">
      <c r="A890" s="11">
        <v>45230</v>
      </c>
      <c r="B890" s="12" t="s">
        <v>495</v>
      </c>
      <c r="C890" s="12" t="s">
        <v>495</v>
      </c>
      <c r="D890" s="13" t="str">
        <f>HYPERLINK("https://www.marklines.com/en/global/10769","Changan Auto Southeast Asia Co., Ltd., Rayong Plant")</f>
        <v>Changan Auto Southeast Asia Co., Ltd., Rayong Plant</v>
      </c>
      <c r="E890" s="12" t="s">
        <v>978</v>
      </c>
      <c r="F890" s="12" t="s">
        <v>34</v>
      </c>
      <c r="G890" s="12" t="s">
        <v>71</v>
      </c>
      <c r="H890" s="12" t="s">
        <v>979</v>
      </c>
      <c r="I890" s="14">
        <v>45210</v>
      </c>
      <c r="J890" s="12" t="s">
        <v>986</v>
      </c>
    </row>
    <row r="891" spans="1:10" s="15" customFormat="1" x14ac:dyDescent="0.15">
      <c r="A891" s="11">
        <v>45229</v>
      </c>
      <c r="B891" s="12" t="s">
        <v>45</v>
      </c>
      <c r="C891" s="12" t="s">
        <v>120</v>
      </c>
      <c r="D891" s="13" t="str">
        <f>HYPERLINK("https://www.marklines.com/en/global/2389","Stellantis, Vauxhall Motors Ltd., Ellesmere Port plant (Former GM Manufacturing, Ellesmere Port plant)")</f>
        <v>Stellantis, Vauxhall Motors Ltd., Ellesmere Port plant (Former GM Manufacturing, Ellesmere Port plant)</v>
      </c>
      <c r="E891" s="12" t="s">
        <v>631</v>
      </c>
      <c r="F891" s="12" t="s">
        <v>17</v>
      </c>
      <c r="G891" s="12" t="s">
        <v>47</v>
      </c>
      <c r="H891" s="12"/>
      <c r="I891" s="14">
        <v>45226</v>
      </c>
      <c r="J891" s="12" t="s">
        <v>632</v>
      </c>
    </row>
    <row r="892" spans="1:10" s="15" customFormat="1" x14ac:dyDescent="0.15">
      <c r="A892" s="11">
        <v>45229</v>
      </c>
      <c r="B892" s="12" t="s">
        <v>45</v>
      </c>
      <c r="C892" s="12" t="s">
        <v>602</v>
      </c>
      <c r="D892" s="13" t="str">
        <f>HYPERLINK("https://www.marklines.com/en/global/2389","Stellantis, Vauxhall Motors Ltd., Ellesmere Port plant (Former GM Manufacturing, Ellesmere Port plant)")</f>
        <v>Stellantis, Vauxhall Motors Ltd., Ellesmere Port plant (Former GM Manufacturing, Ellesmere Port plant)</v>
      </c>
      <c r="E892" s="12" t="s">
        <v>631</v>
      </c>
      <c r="F892" s="12" t="s">
        <v>17</v>
      </c>
      <c r="G892" s="12" t="s">
        <v>47</v>
      </c>
      <c r="H892" s="12"/>
      <c r="I892" s="14">
        <v>45226</v>
      </c>
      <c r="J892" s="12" t="s">
        <v>632</v>
      </c>
    </row>
    <row r="893" spans="1:10" s="15" customFormat="1" x14ac:dyDescent="0.15">
      <c r="A893" s="11">
        <v>45229</v>
      </c>
      <c r="B893" s="12" t="s">
        <v>45</v>
      </c>
      <c r="C893" s="12" t="s">
        <v>602</v>
      </c>
      <c r="D893" s="13" t="str">
        <f>HYPERLINK("https://www.marklines.com/en/global/1939","Stellantis, Peugeot Citroen Automoviles Espana S.A., Vigo Plant")</f>
        <v>Stellantis, Peugeot Citroen Automoviles Espana S.A., Vigo Plant</v>
      </c>
      <c r="E893" s="12" t="s">
        <v>287</v>
      </c>
      <c r="F893" s="12" t="s">
        <v>17</v>
      </c>
      <c r="G893" s="12" t="s">
        <v>62</v>
      </c>
      <c r="H893" s="12"/>
      <c r="I893" s="14">
        <v>45226</v>
      </c>
      <c r="J893" s="12" t="s">
        <v>632</v>
      </c>
    </row>
    <row r="894" spans="1:10" s="15" customFormat="1" x14ac:dyDescent="0.15">
      <c r="A894" s="11">
        <v>45229</v>
      </c>
      <c r="B894" s="12" t="s">
        <v>45</v>
      </c>
      <c r="C894" s="12" t="s">
        <v>603</v>
      </c>
      <c r="D894" s="13" t="str">
        <f>HYPERLINK("https://www.marklines.com/en/global/2389","Stellantis, Vauxhall Motors Ltd., Ellesmere Port plant (Former GM Manufacturing, Ellesmere Port plant)")</f>
        <v>Stellantis, Vauxhall Motors Ltd., Ellesmere Port plant (Former GM Manufacturing, Ellesmere Port plant)</v>
      </c>
      <c r="E894" s="12" t="s">
        <v>631</v>
      </c>
      <c r="F894" s="12" t="s">
        <v>17</v>
      </c>
      <c r="G894" s="12" t="s">
        <v>47</v>
      </c>
      <c r="H894" s="12"/>
      <c r="I894" s="14">
        <v>45226</v>
      </c>
      <c r="J894" s="12" t="s">
        <v>632</v>
      </c>
    </row>
    <row r="895" spans="1:10" s="15" customFormat="1" x14ac:dyDescent="0.15">
      <c r="A895" s="11">
        <v>45229</v>
      </c>
      <c r="B895" s="12" t="s">
        <v>45</v>
      </c>
      <c r="C895" s="12" t="s">
        <v>515</v>
      </c>
      <c r="D895" s="13" t="str">
        <f>HYPERLINK("https://www.marklines.com/en/global/2389","Stellantis, Vauxhall Motors Ltd., Ellesmere Port plant (Former GM Manufacturing, Ellesmere Port plant)")</f>
        <v>Stellantis, Vauxhall Motors Ltd., Ellesmere Port plant (Former GM Manufacturing, Ellesmere Port plant)</v>
      </c>
      <c r="E895" s="12" t="s">
        <v>631</v>
      </c>
      <c r="F895" s="12" t="s">
        <v>17</v>
      </c>
      <c r="G895" s="12" t="s">
        <v>47</v>
      </c>
      <c r="H895" s="12"/>
      <c r="I895" s="14">
        <v>45226</v>
      </c>
      <c r="J895" s="12" t="s">
        <v>632</v>
      </c>
    </row>
    <row r="896" spans="1:10" s="15" customFormat="1" x14ac:dyDescent="0.15">
      <c r="A896" s="11">
        <v>45229</v>
      </c>
      <c r="B896" s="12" t="s">
        <v>45</v>
      </c>
      <c r="C896" s="12" t="s">
        <v>49</v>
      </c>
      <c r="D896" s="13" t="str">
        <f>HYPERLINK("https://www.marklines.com/en/global/2389","Stellantis, Vauxhall Motors Ltd., Ellesmere Port plant (Former GM Manufacturing, Ellesmere Port plant)")</f>
        <v>Stellantis, Vauxhall Motors Ltd., Ellesmere Port plant (Former GM Manufacturing, Ellesmere Port plant)</v>
      </c>
      <c r="E896" s="12" t="s">
        <v>631</v>
      </c>
      <c r="F896" s="12" t="s">
        <v>17</v>
      </c>
      <c r="G896" s="12" t="s">
        <v>47</v>
      </c>
      <c r="H896" s="12"/>
      <c r="I896" s="14">
        <v>45226</v>
      </c>
      <c r="J896" s="12" t="s">
        <v>632</v>
      </c>
    </row>
    <row r="897" spans="1:10" s="15" customFormat="1" x14ac:dyDescent="0.15">
      <c r="A897" s="11">
        <v>45229</v>
      </c>
      <c r="B897" s="12" t="s">
        <v>33</v>
      </c>
      <c r="C897" s="12" t="s">
        <v>513</v>
      </c>
      <c r="D897" s="13" t="str">
        <f>HYPERLINK("https://www.marklines.com/en/global/2695","Scania AB, Södertälje Plant")</f>
        <v>Scania AB, Södertälje Plant</v>
      </c>
      <c r="E897" s="12" t="s">
        <v>514</v>
      </c>
      <c r="F897" s="12" t="s">
        <v>17</v>
      </c>
      <c r="G897" s="12" t="s">
        <v>50</v>
      </c>
      <c r="H897" s="12"/>
      <c r="I897" s="14">
        <v>45225</v>
      </c>
      <c r="J897" s="12" t="s">
        <v>633</v>
      </c>
    </row>
    <row r="898" spans="1:10" s="15" customFormat="1" x14ac:dyDescent="0.15">
      <c r="A898" s="11">
        <v>45229</v>
      </c>
      <c r="B898" s="12" t="s">
        <v>243</v>
      </c>
      <c r="C898" s="12" t="s">
        <v>243</v>
      </c>
      <c r="D898" s="13" t="str">
        <f>HYPERLINK("https://www.marklines.com/en/global/179","Renault S.A., Cléon Plant")</f>
        <v>Renault S.A., Cléon Plant</v>
      </c>
      <c r="E898" s="12" t="s">
        <v>524</v>
      </c>
      <c r="F898" s="12" t="s">
        <v>17</v>
      </c>
      <c r="G898" s="12" t="s">
        <v>32</v>
      </c>
      <c r="H898" s="12"/>
      <c r="I898" s="14">
        <v>45225</v>
      </c>
      <c r="J898" s="12" t="s">
        <v>634</v>
      </c>
    </row>
    <row r="899" spans="1:10" s="15" customFormat="1" x14ac:dyDescent="0.15">
      <c r="A899" s="11">
        <v>45229</v>
      </c>
      <c r="B899" s="12" t="s">
        <v>437</v>
      </c>
      <c r="C899" s="12" t="s">
        <v>437</v>
      </c>
      <c r="D899" s="13" t="str">
        <f>HYPERLINK("https://www.marklines.com/en/global/9872","Chery Holding Group Co., Ltd. (formerly Chery Holding Co., Ltd.)")</f>
        <v>Chery Holding Group Co., Ltd. (formerly Chery Holding Co., Ltd.)</v>
      </c>
      <c r="E899" s="12" t="s">
        <v>635</v>
      </c>
      <c r="F899" s="12" t="s">
        <v>20</v>
      </c>
      <c r="G899" s="12" t="s">
        <v>27</v>
      </c>
      <c r="H899" s="12" t="s">
        <v>303</v>
      </c>
      <c r="I899" s="14">
        <v>45225</v>
      </c>
      <c r="J899" s="12" t="s">
        <v>636</v>
      </c>
    </row>
    <row r="900" spans="1:10" s="15" customFormat="1" x14ac:dyDescent="0.15">
      <c r="A900" s="11">
        <v>45229</v>
      </c>
      <c r="B900" s="12" t="s">
        <v>243</v>
      </c>
      <c r="C900" s="12" t="s">
        <v>243</v>
      </c>
      <c r="D900" s="13" t="str">
        <f>HYPERLINK("https://www.marklines.com/en/global/10191","Renault Design Center (Seoul)")</f>
        <v>Renault Design Center (Seoul)</v>
      </c>
      <c r="E900" s="12" t="s">
        <v>637</v>
      </c>
      <c r="F900" s="12" t="s">
        <v>20</v>
      </c>
      <c r="G900" s="12" t="s">
        <v>79</v>
      </c>
      <c r="H900" s="12"/>
      <c r="I900" s="14">
        <v>45224</v>
      </c>
      <c r="J900" s="12" t="s">
        <v>638</v>
      </c>
    </row>
    <row r="901" spans="1:10" s="15" customFormat="1" x14ac:dyDescent="0.15">
      <c r="A901" s="11">
        <v>45229</v>
      </c>
      <c r="B901" s="12" t="s">
        <v>243</v>
      </c>
      <c r="C901" s="12" t="s">
        <v>243</v>
      </c>
      <c r="D901" s="13" t="str">
        <f>HYPERLINK("https://www.marklines.com/en/global/2425","Renault Korea Motors (formerly Renault Samsung), Busan Plant")</f>
        <v>Renault Korea Motors (formerly Renault Samsung), Busan Plant</v>
      </c>
      <c r="E901" s="12" t="s">
        <v>639</v>
      </c>
      <c r="F901" s="12" t="s">
        <v>20</v>
      </c>
      <c r="G901" s="12" t="s">
        <v>79</v>
      </c>
      <c r="H901" s="12"/>
      <c r="I901" s="14">
        <v>45224</v>
      </c>
      <c r="J901" s="12" t="s">
        <v>638</v>
      </c>
    </row>
    <row r="902" spans="1:10" s="15" customFormat="1" x14ac:dyDescent="0.15">
      <c r="A902" s="11">
        <v>45229</v>
      </c>
      <c r="B902" s="12" t="s">
        <v>400</v>
      </c>
      <c r="C902" s="12" t="s">
        <v>400</v>
      </c>
      <c r="D902" s="13" t="str">
        <f>HYPERLINK("https://www.marklines.com/en/global/2425","Renault Korea Motors (formerly Renault Samsung), Busan Plant")</f>
        <v>Renault Korea Motors (formerly Renault Samsung), Busan Plant</v>
      </c>
      <c r="E902" s="12" t="s">
        <v>639</v>
      </c>
      <c r="F902" s="12" t="s">
        <v>20</v>
      </c>
      <c r="G902" s="12" t="s">
        <v>79</v>
      </c>
      <c r="H902" s="12"/>
      <c r="I902" s="14">
        <v>45224</v>
      </c>
      <c r="J902" s="12" t="s">
        <v>638</v>
      </c>
    </row>
    <row r="903" spans="1:10" s="15" customFormat="1" x14ac:dyDescent="0.15">
      <c r="A903" s="11">
        <v>45229</v>
      </c>
      <c r="B903" s="12" t="s">
        <v>243</v>
      </c>
      <c r="C903" s="12" t="s">
        <v>243</v>
      </c>
      <c r="D903" s="13" t="str">
        <f>HYPERLINK("https://www.marklines.com/en/global/1438","OYAK-Renault Otomobil Fabrikalari A.S., Bursa Plant")</f>
        <v>OYAK-Renault Otomobil Fabrikalari A.S., Bursa Plant</v>
      </c>
      <c r="E903" s="12" t="s">
        <v>640</v>
      </c>
      <c r="F903" s="12" t="s">
        <v>106</v>
      </c>
      <c r="G903" s="12" t="s">
        <v>107</v>
      </c>
      <c r="H903" s="12"/>
      <c r="I903" s="14">
        <v>45224</v>
      </c>
      <c r="J903" s="12" t="s">
        <v>641</v>
      </c>
    </row>
    <row r="904" spans="1:10" s="15" customFormat="1" x14ac:dyDescent="0.15">
      <c r="A904" s="11">
        <v>45229</v>
      </c>
      <c r="B904" s="12" t="s">
        <v>243</v>
      </c>
      <c r="C904" s="12" t="s">
        <v>243</v>
      </c>
      <c r="D904" s="13" t="str">
        <f>HYPERLINK("https://www.marklines.com/en/global/1089","Renault Nissan Automotive India (RNAIPL), Oragadam (Chennai) Plant")</f>
        <v>Renault Nissan Automotive India (RNAIPL), Oragadam (Chennai) Plant</v>
      </c>
      <c r="E904" s="12" t="s">
        <v>642</v>
      </c>
      <c r="F904" s="12" t="s">
        <v>25</v>
      </c>
      <c r="G904" s="12" t="s">
        <v>26</v>
      </c>
      <c r="H904" s="12" t="s">
        <v>219</v>
      </c>
      <c r="I904" s="14">
        <v>45224</v>
      </c>
      <c r="J904" s="12" t="s">
        <v>641</v>
      </c>
    </row>
    <row r="905" spans="1:10" s="15" customFormat="1" x14ac:dyDescent="0.15">
      <c r="A905" s="11">
        <v>45229</v>
      </c>
      <c r="B905" s="12" t="s">
        <v>243</v>
      </c>
      <c r="C905" s="12" t="s">
        <v>243</v>
      </c>
      <c r="D905" s="13" t="str">
        <f>HYPERLINK("https://www.marklines.com/en/global/2907","Renault do Brasil S.A., Curitiba/Sao Jose dos Pinhais Plant")</f>
        <v>Renault do Brasil S.A., Curitiba/Sao Jose dos Pinhais Plant</v>
      </c>
      <c r="E905" s="12" t="s">
        <v>643</v>
      </c>
      <c r="F905" s="12" t="s">
        <v>425</v>
      </c>
      <c r="G905" s="12" t="s">
        <v>426</v>
      </c>
      <c r="H905" s="12"/>
      <c r="I905" s="14">
        <v>45224</v>
      </c>
      <c r="J905" s="12" t="s">
        <v>641</v>
      </c>
    </row>
    <row r="906" spans="1:10" s="15" customFormat="1" x14ac:dyDescent="0.15">
      <c r="A906" s="11">
        <v>45229</v>
      </c>
      <c r="B906" s="12" t="s">
        <v>243</v>
      </c>
      <c r="C906" s="12" t="s">
        <v>243</v>
      </c>
      <c r="D906" s="13" t="str">
        <f>HYPERLINK("https://www.marklines.com/en/global/6429","SOMACA, Casablanca Plant")</f>
        <v>SOMACA, Casablanca Plant</v>
      </c>
      <c r="E906" s="12" t="s">
        <v>644</v>
      </c>
      <c r="F906" s="12" t="s">
        <v>69</v>
      </c>
      <c r="G906" s="12" t="s">
        <v>645</v>
      </c>
      <c r="H906" s="12"/>
      <c r="I906" s="14">
        <v>45224</v>
      </c>
      <c r="J906" s="12" t="s">
        <v>641</v>
      </c>
    </row>
    <row r="907" spans="1:10" s="15" customFormat="1" x14ac:dyDescent="0.15">
      <c r="A907" s="11">
        <v>45229</v>
      </c>
      <c r="B907" s="12" t="s">
        <v>276</v>
      </c>
      <c r="C907" s="12" t="s">
        <v>276</v>
      </c>
      <c r="D907" s="13" t="str">
        <f>HYPERLINK("https://www.marklines.com/en/global/9503","Shanghai NIO Automobile Co., Ltd.")</f>
        <v>Shanghai NIO Automobile Co., Ltd.</v>
      </c>
      <c r="E907" s="12" t="s">
        <v>646</v>
      </c>
      <c r="F907" s="12" t="s">
        <v>20</v>
      </c>
      <c r="G907" s="12" t="s">
        <v>27</v>
      </c>
      <c r="H907" s="12" t="s">
        <v>314</v>
      </c>
      <c r="I907" s="14">
        <v>45224</v>
      </c>
      <c r="J907" s="12" t="s">
        <v>647</v>
      </c>
    </row>
    <row r="908" spans="1:10" s="15" customFormat="1" x14ac:dyDescent="0.15">
      <c r="A908" s="11">
        <v>45229</v>
      </c>
      <c r="B908" s="12" t="s">
        <v>13</v>
      </c>
      <c r="C908" s="12" t="s">
        <v>648</v>
      </c>
      <c r="D908" s="13" t="str">
        <f>HYPERLINK("https://www.marklines.com/en/global/3593","Beiben Trucks Group Co.,Ltd.")</f>
        <v>Beiben Trucks Group Co.,Ltd.</v>
      </c>
      <c r="E908" s="12" t="s">
        <v>649</v>
      </c>
      <c r="F908" s="12" t="s">
        <v>20</v>
      </c>
      <c r="G908" s="12" t="s">
        <v>27</v>
      </c>
      <c r="H908" s="12" t="s">
        <v>650</v>
      </c>
      <c r="I908" s="14">
        <v>45224</v>
      </c>
      <c r="J908" s="12" t="s">
        <v>651</v>
      </c>
    </row>
    <row r="909" spans="1:10" s="15" customFormat="1" x14ac:dyDescent="0.15">
      <c r="A909" s="11">
        <v>45229</v>
      </c>
      <c r="B909" s="12" t="s">
        <v>652</v>
      </c>
      <c r="C909" s="12" t="s">
        <v>652</v>
      </c>
      <c r="D909" s="13" t="str">
        <f>HYPERLINK("https://www.marklines.com/en/global/10668","Guangzhou Xiaopeng Automobile Manufacturing Co., Ltd.")</f>
        <v>Guangzhou Xiaopeng Automobile Manufacturing Co., Ltd.</v>
      </c>
      <c r="E909" s="12" t="s">
        <v>653</v>
      </c>
      <c r="F909" s="12" t="s">
        <v>20</v>
      </c>
      <c r="G909" s="12" t="s">
        <v>27</v>
      </c>
      <c r="H909" s="12" t="s">
        <v>357</v>
      </c>
      <c r="I909" s="14">
        <v>45223</v>
      </c>
      <c r="J909" s="12" t="s">
        <v>654</v>
      </c>
    </row>
    <row r="910" spans="1:10" s="15" customFormat="1" x14ac:dyDescent="0.15">
      <c r="A910" s="11">
        <v>45229</v>
      </c>
      <c r="B910" s="12" t="s">
        <v>495</v>
      </c>
      <c r="C910" s="12" t="s">
        <v>655</v>
      </c>
      <c r="D910" s="13" t="str">
        <f>HYPERLINK("https://www.marklines.com/en/global/3539","Hebei Changan Automobile Co., Ltd. ")</f>
        <v xml:space="preserve">Hebei Changan Automobile Co., Ltd. </v>
      </c>
      <c r="E910" s="12" t="s">
        <v>656</v>
      </c>
      <c r="F910" s="12" t="s">
        <v>20</v>
      </c>
      <c r="G910" s="12" t="s">
        <v>27</v>
      </c>
      <c r="H910" s="12" t="s">
        <v>267</v>
      </c>
      <c r="I910" s="14">
        <v>45223</v>
      </c>
      <c r="J910" s="12" t="s">
        <v>657</v>
      </c>
    </row>
    <row r="911" spans="1:10" s="15" customFormat="1" x14ac:dyDescent="0.15">
      <c r="A911" s="11">
        <v>45229</v>
      </c>
      <c r="B911" s="12" t="s">
        <v>36</v>
      </c>
      <c r="C911" s="12" t="s">
        <v>36</v>
      </c>
      <c r="D911" s="13" t="str">
        <f>HYPERLINK("https://www.marklines.com/en/global/3533","Great Wall Motor Company Limited (GWM)")</f>
        <v>Great Wall Motor Company Limited (GWM)</v>
      </c>
      <c r="E911" s="12" t="s">
        <v>266</v>
      </c>
      <c r="F911" s="12" t="s">
        <v>20</v>
      </c>
      <c r="G911" s="12" t="s">
        <v>27</v>
      </c>
      <c r="H911" s="12" t="s">
        <v>267</v>
      </c>
      <c r="I911" s="14">
        <v>45223</v>
      </c>
      <c r="J911" s="12" t="s">
        <v>658</v>
      </c>
    </row>
    <row r="912" spans="1:10" s="15" customFormat="1" x14ac:dyDescent="0.15">
      <c r="A912" s="11">
        <v>45229</v>
      </c>
      <c r="B912" s="12" t="s">
        <v>22</v>
      </c>
      <c r="C912" s="12" t="s">
        <v>22</v>
      </c>
      <c r="D912" s="13" t="str">
        <f>HYPERLINK("https://www.marklines.com/en/global/375","Toyota Motor, Takaoka Plant")</f>
        <v>Toyota Motor, Takaoka Plant</v>
      </c>
      <c r="E912" s="12" t="s">
        <v>659</v>
      </c>
      <c r="F912" s="12" t="s">
        <v>20</v>
      </c>
      <c r="G912" s="12" t="s">
        <v>23</v>
      </c>
      <c r="H912" s="12" t="s">
        <v>61</v>
      </c>
      <c r="I912" s="14">
        <v>45223</v>
      </c>
      <c r="J912" s="12" t="s">
        <v>660</v>
      </c>
    </row>
    <row r="913" spans="1:10" s="15" customFormat="1" x14ac:dyDescent="0.15">
      <c r="A913" s="11">
        <v>45229</v>
      </c>
      <c r="B913" s="12" t="s">
        <v>22</v>
      </c>
      <c r="C913" s="12" t="s">
        <v>22</v>
      </c>
      <c r="D913" s="13" t="str">
        <f>HYPERLINK("https://www.marklines.com/en/global/409","Toyota Auto Body, Fujimatsu Plant")</f>
        <v>Toyota Auto Body, Fujimatsu Plant</v>
      </c>
      <c r="E913" s="12" t="s">
        <v>661</v>
      </c>
      <c r="F913" s="12" t="s">
        <v>20</v>
      </c>
      <c r="G913" s="12" t="s">
        <v>23</v>
      </c>
      <c r="H913" s="12" t="s">
        <v>61</v>
      </c>
      <c r="I913" s="14">
        <v>45223</v>
      </c>
      <c r="J913" s="12" t="s">
        <v>660</v>
      </c>
    </row>
    <row r="914" spans="1:10" s="15" customFormat="1" x14ac:dyDescent="0.15">
      <c r="A914" s="11">
        <v>45229</v>
      </c>
      <c r="B914" s="12" t="s">
        <v>22</v>
      </c>
      <c r="C914" s="12" t="s">
        <v>22</v>
      </c>
      <c r="D914" s="13" t="str">
        <f>HYPERLINK("https://www.marklines.com/en/global/411","Toyota Auto Body, Yoshiwara Plant")</f>
        <v>Toyota Auto Body, Yoshiwara Plant</v>
      </c>
      <c r="E914" s="12" t="s">
        <v>662</v>
      </c>
      <c r="F914" s="12" t="s">
        <v>20</v>
      </c>
      <c r="G914" s="12" t="s">
        <v>23</v>
      </c>
      <c r="H914" s="12" t="s">
        <v>61</v>
      </c>
      <c r="I914" s="14">
        <v>45223</v>
      </c>
      <c r="J914" s="12" t="s">
        <v>660</v>
      </c>
    </row>
    <row r="915" spans="1:10" s="15" customFormat="1" x14ac:dyDescent="0.15">
      <c r="A915" s="11">
        <v>45229</v>
      </c>
      <c r="B915" s="12" t="s">
        <v>22</v>
      </c>
      <c r="C915" s="12" t="s">
        <v>22</v>
      </c>
      <c r="D915" s="13" t="str">
        <f>HYPERLINK("https://www.marklines.com/en/global/413","Toyota Auto Body, Inabe Plant")</f>
        <v>Toyota Auto Body, Inabe Plant</v>
      </c>
      <c r="E915" s="12" t="s">
        <v>663</v>
      </c>
      <c r="F915" s="12" t="s">
        <v>20</v>
      </c>
      <c r="G915" s="12" t="s">
        <v>23</v>
      </c>
      <c r="H915" s="12" t="s">
        <v>572</v>
      </c>
      <c r="I915" s="14">
        <v>45223</v>
      </c>
      <c r="J915" s="12" t="s">
        <v>660</v>
      </c>
    </row>
    <row r="916" spans="1:10" s="15" customFormat="1" x14ac:dyDescent="0.15">
      <c r="A916" s="11">
        <v>45229</v>
      </c>
      <c r="B916" s="12" t="s">
        <v>22</v>
      </c>
      <c r="C916" s="12" t="s">
        <v>22</v>
      </c>
      <c r="D916" s="13" t="str">
        <f>HYPERLINK("https://www.marklines.com/en/global/417","Gifu Auto Body Co., Ltd., Honsha Plant")</f>
        <v>Gifu Auto Body Co., Ltd., Honsha Plant</v>
      </c>
      <c r="E916" s="12" t="s">
        <v>664</v>
      </c>
      <c r="F916" s="12" t="s">
        <v>20</v>
      </c>
      <c r="G916" s="12" t="s">
        <v>23</v>
      </c>
      <c r="H916" s="12" t="s">
        <v>665</v>
      </c>
      <c r="I916" s="14">
        <v>45223</v>
      </c>
      <c r="J916" s="12" t="s">
        <v>660</v>
      </c>
    </row>
    <row r="917" spans="1:10" s="15" customFormat="1" x14ac:dyDescent="0.15">
      <c r="A917" s="11">
        <v>45229</v>
      </c>
      <c r="B917" s="12" t="s">
        <v>22</v>
      </c>
      <c r="C917" s="12" t="s">
        <v>22</v>
      </c>
      <c r="D917" s="13" t="str">
        <f>HYPERLINK("https://www.marklines.com/en/global/433","Toyota Industries Corporation, Nagakusa Plant")</f>
        <v>Toyota Industries Corporation, Nagakusa Plant</v>
      </c>
      <c r="E917" s="12" t="s">
        <v>666</v>
      </c>
      <c r="F917" s="12" t="s">
        <v>20</v>
      </c>
      <c r="G917" s="12" t="s">
        <v>23</v>
      </c>
      <c r="H917" s="12" t="s">
        <v>61</v>
      </c>
      <c r="I917" s="14">
        <v>45223</v>
      </c>
      <c r="J917" s="12" t="s">
        <v>660</v>
      </c>
    </row>
    <row r="918" spans="1:10" s="15" customFormat="1" x14ac:dyDescent="0.15">
      <c r="A918" s="11">
        <v>45229</v>
      </c>
      <c r="B918" s="12" t="s">
        <v>22</v>
      </c>
      <c r="C918" s="12" t="s">
        <v>22</v>
      </c>
      <c r="D918" s="13" t="str">
        <f>HYPERLINK("https://www.marklines.com/en/global/375","Toyota Motor, Takaoka Plant")</f>
        <v>Toyota Motor, Takaoka Plant</v>
      </c>
      <c r="E918" s="12" t="s">
        <v>659</v>
      </c>
      <c r="F918" s="12" t="s">
        <v>20</v>
      </c>
      <c r="G918" s="12" t="s">
        <v>23</v>
      </c>
      <c r="H918" s="12" t="s">
        <v>61</v>
      </c>
      <c r="I918" s="14">
        <v>45222</v>
      </c>
      <c r="J918" s="12" t="s">
        <v>667</v>
      </c>
    </row>
    <row r="919" spans="1:10" s="15" customFormat="1" x14ac:dyDescent="0.15">
      <c r="A919" s="11">
        <v>45229</v>
      </c>
      <c r="B919" s="12" t="s">
        <v>22</v>
      </c>
      <c r="C919" s="12" t="s">
        <v>22</v>
      </c>
      <c r="D919" s="13" t="str">
        <f>HYPERLINK("https://www.marklines.com/en/global/409","Toyota Auto Body, Fujimatsu Plant")</f>
        <v>Toyota Auto Body, Fujimatsu Plant</v>
      </c>
      <c r="E919" s="12" t="s">
        <v>661</v>
      </c>
      <c r="F919" s="12" t="s">
        <v>20</v>
      </c>
      <c r="G919" s="12" t="s">
        <v>23</v>
      </c>
      <c r="H919" s="12" t="s">
        <v>61</v>
      </c>
      <c r="I919" s="14">
        <v>45222</v>
      </c>
      <c r="J919" s="12" t="s">
        <v>667</v>
      </c>
    </row>
    <row r="920" spans="1:10" s="15" customFormat="1" x14ac:dyDescent="0.15">
      <c r="A920" s="11">
        <v>45229</v>
      </c>
      <c r="B920" s="12" t="s">
        <v>22</v>
      </c>
      <c r="C920" s="12" t="s">
        <v>22</v>
      </c>
      <c r="D920" s="13" t="str">
        <f>HYPERLINK("https://www.marklines.com/en/global/411","Toyota Auto Body, Yoshiwara Plant")</f>
        <v>Toyota Auto Body, Yoshiwara Plant</v>
      </c>
      <c r="E920" s="12" t="s">
        <v>662</v>
      </c>
      <c r="F920" s="12" t="s">
        <v>20</v>
      </c>
      <c r="G920" s="12" t="s">
        <v>23</v>
      </c>
      <c r="H920" s="12" t="s">
        <v>61</v>
      </c>
      <c r="I920" s="14">
        <v>45222</v>
      </c>
      <c r="J920" s="12" t="s">
        <v>667</v>
      </c>
    </row>
    <row r="921" spans="1:10" s="15" customFormat="1" x14ac:dyDescent="0.15">
      <c r="A921" s="11">
        <v>45229</v>
      </c>
      <c r="B921" s="12" t="s">
        <v>22</v>
      </c>
      <c r="C921" s="12" t="s">
        <v>22</v>
      </c>
      <c r="D921" s="13" t="str">
        <f>HYPERLINK("https://www.marklines.com/en/global/413","Toyota Auto Body, Inabe Plant")</f>
        <v>Toyota Auto Body, Inabe Plant</v>
      </c>
      <c r="E921" s="12" t="s">
        <v>663</v>
      </c>
      <c r="F921" s="12" t="s">
        <v>20</v>
      </c>
      <c r="G921" s="12" t="s">
        <v>23</v>
      </c>
      <c r="H921" s="12" t="s">
        <v>572</v>
      </c>
      <c r="I921" s="14">
        <v>45222</v>
      </c>
      <c r="J921" s="12" t="s">
        <v>667</v>
      </c>
    </row>
    <row r="922" spans="1:10" s="15" customFormat="1" x14ac:dyDescent="0.15">
      <c r="A922" s="11">
        <v>45229</v>
      </c>
      <c r="B922" s="12" t="s">
        <v>22</v>
      </c>
      <c r="C922" s="12" t="s">
        <v>22</v>
      </c>
      <c r="D922" s="13" t="str">
        <f>HYPERLINK("https://www.marklines.com/en/global/417","Gifu Auto Body Co., Ltd., Honsha Plant")</f>
        <v>Gifu Auto Body Co., Ltd., Honsha Plant</v>
      </c>
      <c r="E922" s="12" t="s">
        <v>664</v>
      </c>
      <c r="F922" s="12" t="s">
        <v>20</v>
      </c>
      <c r="G922" s="12" t="s">
        <v>23</v>
      </c>
      <c r="H922" s="12" t="s">
        <v>665</v>
      </c>
      <c r="I922" s="14">
        <v>45222</v>
      </c>
      <c r="J922" s="12" t="s">
        <v>667</v>
      </c>
    </row>
    <row r="923" spans="1:10" s="15" customFormat="1" x14ac:dyDescent="0.15">
      <c r="A923" s="11">
        <v>45229</v>
      </c>
      <c r="B923" s="12" t="s">
        <v>22</v>
      </c>
      <c r="C923" s="12" t="s">
        <v>22</v>
      </c>
      <c r="D923" s="13" t="str">
        <f>HYPERLINK("https://www.marklines.com/en/global/420","Toyota Motor East Japan, Miyagi Ohira Plant")</f>
        <v>Toyota Motor East Japan, Miyagi Ohira Plant</v>
      </c>
      <c r="E923" s="12" t="s">
        <v>668</v>
      </c>
      <c r="F923" s="12" t="s">
        <v>20</v>
      </c>
      <c r="G923" s="12" t="s">
        <v>23</v>
      </c>
      <c r="H923" s="12" t="s">
        <v>669</v>
      </c>
      <c r="I923" s="14">
        <v>45222</v>
      </c>
      <c r="J923" s="12" t="s">
        <v>667</v>
      </c>
    </row>
    <row r="924" spans="1:10" s="15" customFormat="1" x14ac:dyDescent="0.15">
      <c r="A924" s="11">
        <v>45229</v>
      </c>
      <c r="B924" s="12" t="s">
        <v>22</v>
      </c>
      <c r="C924" s="12" t="s">
        <v>22</v>
      </c>
      <c r="D924" s="13" t="str">
        <f>HYPERLINK("https://www.marklines.com/en/global/424","Toyota Motor East Japan, Iwate Plant")</f>
        <v>Toyota Motor East Japan, Iwate Plant</v>
      </c>
      <c r="E924" s="12" t="s">
        <v>670</v>
      </c>
      <c r="F924" s="12" t="s">
        <v>20</v>
      </c>
      <c r="G924" s="12" t="s">
        <v>23</v>
      </c>
      <c r="H924" s="12" t="s">
        <v>671</v>
      </c>
      <c r="I924" s="14">
        <v>45222</v>
      </c>
      <c r="J924" s="12" t="s">
        <v>667</v>
      </c>
    </row>
    <row r="925" spans="1:10" s="15" customFormat="1" x14ac:dyDescent="0.15">
      <c r="A925" s="11">
        <v>45229</v>
      </c>
      <c r="B925" s="12" t="s">
        <v>22</v>
      </c>
      <c r="C925" s="12" t="s">
        <v>22</v>
      </c>
      <c r="D925" s="13" t="str">
        <f>HYPERLINK("https://www.marklines.com/en/global/433","Toyota Industries Corporation, Nagakusa Plant")</f>
        <v>Toyota Industries Corporation, Nagakusa Plant</v>
      </c>
      <c r="E925" s="12" t="s">
        <v>666</v>
      </c>
      <c r="F925" s="12" t="s">
        <v>20</v>
      </c>
      <c r="G925" s="12" t="s">
        <v>23</v>
      </c>
      <c r="H925" s="12" t="s">
        <v>61</v>
      </c>
      <c r="I925" s="14">
        <v>45222</v>
      </c>
      <c r="J925" s="12" t="s">
        <v>667</v>
      </c>
    </row>
    <row r="926" spans="1:10" s="15" customFormat="1" x14ac:dyDescent="0.15">
      <c r="A926" s="11">
        <v>45229</v>
      </c>
      <c r="B926" s="12" t="s">
        <v>400</v>
      </c>
      <c r="C926" s="12" t="s">
        <v>416</v>
      </c>
      <c r="D926" s="13" t="str">
        <f>HYPERLINK("https://www.marklines.com/en/global/9345","Geely Sichuan Commercial Vehicle Co., Ltd.")</f>
        <v>Geely Sichuan Commercial Vehicle Co., Ltd.</v>
      </c>
      <c r="E926" s="12" t="s">
        <v>493</v>
      </c>
      <c r="F926" s="12" t="s">
        <v>20</v>
      </c>
      <c r="G926" s="12" t="s">
        <v>27</v>
      </c>
      <c r="H926" s="12" t="s">
        <v>429</v>
      </c>
      <c r="I926" s="14">
        <v>45219</v>
      </c>
      <c r="J926" s="12" t="s">
        <v>672</v>
      </c>
    </row>
    <row r="927" spans="1:10" s="15" customFormat="1" x14ac:dyDescent="0.15">
      <c r="A927" s="11">
        <v>45229</v>
      </c>
      <c r="B927" s="12" t="s">
        <v>22</v>
      </c>
      <c r="C927" s="12" t="s">
        <v>673</v>
      </c>
      <c r="D927" s="13" t="str">
        <f>HYPERLINK("https://www.marklines.com/en/global/381","Toyota Motor, Tahara Plant")</f>
        <v>Toyota Motor, Tahara Plant</v>
      </c>
      <c r="E927" s="12" t="s">
        <v>125</v>
      </c>
      <c r="F927" s="12" t="s">
        <v>20</v>
      </c>
      <c r="G927" s="12" t="s">
        <v>23</v>
      </c>
      <c r="H927" s="12" t="s">
        <v>61</v>
      </c>
      <c r="I927" s="14">
        <v>45218</v>
      </c>
      <c r="J927" s="12" t="s">
        <v>674</v>
      </c>
    </row>
    <row r="928" spans="1:10" s="15" customFormat="1" x14ac:dyDescent="0.15">
      <c r="A928" s="11">
        <v>45229</v>
      </c>
      <c r="B928" s="12" t="s">
        <v>22</v>
      </c>
      <c r="C928" s="12" t="s">
        <v>88</v>
      </c>
      <c r="D928" s="13" t="str">
        <f>HYPERLINK("https://www.marklines.com/en/global/569","Hino Motors, Nitta Plant")</f>
        <v>Hino Motors, Nitta Plant</v>
      </c>
      <c r="E928" s="12" t="s">
        <v>675</v>
      </c>
      <c r="F928" s="12" t="s">
        <v>20</v>
      </c>
      <c r="G928" s="12" t="s">
        <v>23</v>
      </c>
      <c r="H928" s="12" t="s">
        <v>127</v>
      </c>
      <c r="I928" s="14">
        <v>45218</v>
      </c>
      <c r="J928" s="12" t="s">
        <v>676</v>
      </c>
    </row>
    <row r="929" spans="1:10" s="15" customFormat="1" x14ac:dyDescent="0.15">
      <c r="A929" s="11">
        <v>45229</v>
      </c>
      <c r="B929" s="12" t="s">
        <v>22</v>
      </c>
      <c r="C929" s="12" t="s">
        <v>88</v>
      </c>
      <c r="D929" s="13" t="str">
        <f>HYPERLINK("https://www.marklines.com/en/global/570","Hino Motors, Koga Plant")</f>
        <v>Hino Motors, Koga Plant</v>
      </c>
      <c r="E929" s="12" t="s">
        <v>677</v>
      </c>
      <c r="F929" s="12" t="s">
        <v>20</v>
      </c>
      <c r="G929" s="12" t="s">
        <v>23</v>
      </c>
      <c r="H929" s="12" t="s">
        <v>60</v>
      </c>
      <c r="I929" s="14">
        <v>45218</v>
      </c>
      <c r="J929" s="12" t="s">
        <v>676</v>
      </c>
    </row>
    <row r="930" spans="1:10" s="15" customFormat="1" x14ac:dyDescent="0.15">
      <c r="A930" s="11">
        <v>45229</v>
      </c>
      <c r="B930" s="12" t="s">
        <v>22</v>
      </c>
      <c r="C930" s="12" t="s">
        <v>88</v>
      </c>
      <c r="D930" s="13" t="str">
        <f>HYPERLINK("https://www.marklines.com/en/global/567","Hino Motors, Hamura Plant")</f>
        <v>Hino Motors, Hamura Plant</v>
      </c>
      <c r="E930" s="12" t="s">
        <v>678</v>
      </c>
      <c r="F930" s="12" t="s">
        <v>20</v>
      </c>
      <c r="G930" s="12" t="s">
        <v>23</v>
      </c>
      <c r="H930" s="12" t="s">
        <v>126</v>
      </c>
      <c r="I930" s="14">
        <v>45218</v>
      </c>
      <c r="J930" s="12" t="s">
        <v>676</v>
      </c>
    </row>
    <row r="931" spans="1:10" s="15" customFormat="1" x14ac:dyDescent="0.15">
      <c r="A931" s="11">
        <v>45229</v>
      </c>
      <c r="B931" s="12" t="s">
        <v>22</v>
      </c>
      <c r="C931" s="12" t="s">
        <v>88</v>
      </c>
      <c r="D931" s="13" t="str">
        <f>HYPERLINK("https://www.marklines.com/en/global/565","Hino Motors, Hino Plant")</f>
        <v>Hino Motors, Hino Plant</v>
      </c>
      <c r="E931" s="12" t="s">
        <v>168</v>
      </c>
      <c r="F931" s="12" t="s">
        <v>20</v>
      </c>
      <c r="G931" s="12" t="s">
        <v>23</v>
      </c>
      <c r="H931" s="12" t="s">
        <v>126</v>
      </c>
      <c r="I931" s="14">
        <v>45218</v>
      </c>
      <c r="J931" s="12" t="s">
        <v>676</v>
      </c>
    </row>
    <row r="932" spans="1:10" s="15" customFormat="1" x14ac:dyDescent="0.15">
      <c r="A932" s="11">
        <v>45229</v>
      </c>
      <c r="B932" s="12" t="s">
        <v>679</v>
      </c>
      <c r="C932" s="12" t="s">
        <v>679</v>
      </c>
      <c r="D932" s="13" t="str">
        <f>HYPERLINK("https://www.marklines.com/en/global/7","China Motor, Yangmei Plant")</f>
        <v>China Motor, Yangmei Plant</v>
      </c>
      <c r="E932" s="12" t="s">
        <v>680</v>
      </c>
      <c r="F932" s="12" t="s">
        <v>20</v>
      </c>
      <c r="G932" s="12" t="s">
        <v>115</v>
      </c>
      <c r="H932" s="12"/>
      <c r="I932" s="14">
        <v>45216</v>
      </c>
      <c r="J932" s="12" t="s">
        <v>681</v>
      </c>
    </row>
    <row r="933" spans="1:10" s="15" customFormat="1" x14ac:dyDescent="0.15">
      <c r="A933" s="11">
        <v>45229</v>
      </c>
      <c r="B933" s="12" t="s">
        <v>104</v>
      </c>
      <c r="C933" s="12" t="s">
        <v>104</v>
      </c>
      <c r="D933" s="13" t="str">
        <f>HYPERLINK("https://www.marklines.com/en/global/2013","Isuzu Motors Company (Thailand) Ltd.")</f>
        <v>Isuzu Motors Company (Thailand) Ltd.</v>
      </c>
      <c r="E933" s="12" t="s">
        <v>396</v>
      </c>
      <c r="F933" s="12" t="s">
        <v>34</v>
      </c>
      <c r="G933" s="12" t="s">
        <v>71</v>
      </c>
      <c r="H933" s="12" t="s">
        <v>397</v>
      </c>
      <c r="I933" s="14">
        <v>45208</v>
      </c>
      <c r="J933" s="12" t="s">
        <v>682</v>
      </c>
    </row>
    <row r="934" spans="1:10" s="15" customFormat="1" x14ac:dyDescent="0.15">
      <c r="A934" s="11">
        <v>45229</v>
      </c>
      <c r="B934" s="12" t="s">
        <v>104</v>
      </c>
      <c r="C934" s="12" t="s">
        <v>104</v>
      </c>
      <c r="D934" s="13" t="str">
        <f>HYPERLINK("https://www.marklines.com/en/global/2015","Isuzu Motors Company (Thailand), Samutprakan (Samrong) Plant")</f>
        <v>Isuzu Motors Company (Thailand), Samutprakan (Samrong) Plant</v>
      </c>
      <c r="E934" s="12" t="s">
        <v>683</v>
      </c>
      <c r="F934" s="12" t="s">
        <v>34</v>
      </c>
      <c r="G934" s="12" t="s">
        <v>71</v>
      </c>
      <c r="H934" s="12" t="s">
        <v>397</v>
      </c>
      <c r="I934" s="14">
        <v>45208</v>
      </c>
      <c r="J934" s="12" t="s">
        <v>682</v>
      </c>
    </row>
    <row r="935" spans="1:10" s="15" customFormat="1" x14ac:dyDescent="0.15">
      <c r="A935" s="11">
        <v>45229</v>
      </c>
      <c r="B935" s="12" t="s">
        <v>104</v>
      </c>
      <c r="C935" s="12" t="s">
        <v>104</v>
      </c>
      <c r="D935" s="13" t="str">
        <f>HYPERLINK("https://www.marklines.com/en/global/2017","Isuzu Motors Company (Thailand), Chachoengsao (Gateway) Plant")</f>
        <v>Isuzu Motors Company (Thailand), Chachoengsao (Gateway) Plant</v>
      </c>
      <c r="E935" s="12" t="s">
        <v>684</v>
      </c>
      <c r="F935" s="12" t="s">
        <v>34</v>
      </c>
      <c r="G935" s="12" t="s">
        <v>71</v>
      </c>
      <c r="H935" s="12" t="s">
        <v>100</v>
      </c>
      <c r="I935" s="14">
        <v>45208</v>
      </c>
      <c r="J935" s="12" t="s">
        <v>682</v>
      </c>
    </row>
    <row r="936" spans="1:10" s="15" customFormat="1" x14ac:dyDescent="0.15">
      <c r="A936" s="11">
        <v>45227</v>
      </c>
      <c r="B936" s="12" t="s">
        <v>243</v>
      </c>
      <c r="C936" s="12" t="s">
        <v>243</v>
      </c>
      <c r="D936" s="13" t="str">
        <f>HYPERLINK("https://www.marklines.com/en/global/10183","Renault Design Latin America (RDLA), Sao Paulo")</f>
        <v>Renault Design Latin America (RDLA), Sao Paulo</v>
      </c>
      <c r="E936" s="12" t="s">
        <v>685</v>
      </c>
      <c r="F936" s="12" t="s">
        <v>425</v>
      </c>
      <c r="G936" s="12" t="s">
        <v>426</v>
      </c>
      <c r="H936" s="12"/>
      <c r="I936" s="14">
        <v>45226</v>
      </c>
      <c r="J936" s="12" t="s">
        <v>686</v>
      </c>
    </row>
    <row r="937" spans="1:10" s="15" customFormat="1" x14ac:dyDescent="0.15">
      <c r="A937" s="11">
        <v>45227</v>
      </c>
      <c r="B937" s="12" t="s">
        <v>12</v>
      </c>
      <c r="C937" s="12" t="s">
        <v>12</v>
      </c>
      <c r="D937" s="13" t="str">
        <f>HYPERLINK("https://www.marklines.com/en/global/10475","Ultium Cells LLC, Spring Hill Plant ")</f>
        <v xml:space="preserve">Ultium Cells LLC, Spring Hill Plant </v>
      </c>
      <c r="E937" s="12" t="s">
        <v>687</v>
      </c>
      <c r="F937" s="12" t="s">
        <v>16</v>
      </c>
      <c r="G937" s="12" t="s">
        <v>11</v>
      </c>
      <c r="H937" s="12" t="s">
        <v>490</v>
      </c>
      <c r="I937" s="14">
        <v>45226</v>
      </c>
      <c r="J937" s="12" t="s">
        <v>688</v>
      </c>
    </row>
    <row r="938" spans="1:10" s="15" customFormat="1" x14ac:dyDescent="0.15">
      <c r="A938" s="11">
        <v>45226</v>
      </c>
      <c r="B938" s="12" t="s">
        <v>13</v>
      </c>
      <c r="C938" s="12" t="s">
        <v>13</v>
      </c>
      <c r="D938" s="13" t="str">
        <f>HYPERLINK("https://www.marklines.com/en/global/757","JSC Moscow Automobile Plant Moskvich, Moscow Plant (former CJSC Renault Russia)")</f>
        <v>JSC Moscow Automobile Plant Moskvich, Moscow Plant (former CJSC Renault Russia)</v>
      </c>
      <c r="E938" s="12" t="s">
        <v>102</v>
      </c>
      <c r="F938" s="12" t="s">
        <v>18</v>
      </c>
      <c r="G938" s="12" t="s">
        <v>14</v>
      </c>
      <c r="H938" s="12"/>
      <c r="I938" s="14">
        <v>45226</v>
      </c>
      <c r="J938" s="12" t="s">
        <v>689</v>
      </c>
    </row>
    <row r="939" spans="1:10" s="15" customFormat="1" x14ac:dyDescent="0.15">
      <c r="A939" s="11">
        <v>45226</v>
      </c>
      <c r="B939" s="12" t="s">
        <v>690</v>
      </c>
      <c r="C939" s="12" t="s">
        <v>690</v>
      </c>
      <c r="D939" s="13" t="str">
        <f>HYPERLINK("https://www.marklines.com/en/global/737","Kamaz, Naberezhnye Chelny Plant")</f>
        <v>Kamaz, Naberezhnye Chelny Plant</v>
      </c>
      <c r="E939" s="12" t="s">
        <v>691</v>
      </c>
      <c r="F939" s="12" t="s">
        <v>18</v>
      </c>
      <c r="G939" s="12" t="s">
        <v>14</v>
      </c>
      <c r="H939" s="12"/>
      <c r="I939" s="14">
        <v>45226</v>
      </c>
      <c r="J939" s="12" t="s">
        <v>692</v>
      </c>
    </row>
    <row r="940" spans="1:10" s="15" customFormat="1" x14ac:dyDescent="0.15">
      <c r="A940" s="11">
        <v>45226</v>
      </c>
      <c r="B940" s="12" t="s">
        <v>31</v>
      </c>
      <c r="C940" s="12" t="s">
        <v>31</v>
      </c>
      <c r="D940" s="13" t="str">
        <f>HYPERLINK("https://www.marklines.com/en/global/10203","BMW Group Battery Cell Competence Centre (BCCC) (Munich)")</f>
        <v>BMW Group Battery Cell Competence Centre (BCCC) (Munich)</v>
      </c>
      <c r="E940" s="12" t="s">
        <v>693</v>
      </c>
      <c r="F940" s="12" t="s">
        <v>17</v>
      </c>
      <c r="G940" s="12" t="s">
        <v>21</v>
      </c>
      <c r="H940" s="12"/>
      <c r="I940" s="14">
        <v>45225</v>
      </c>
      <c r="J940" s="12" t="s">
        <v>694</v>
      </c>
    </row>
    <row r="941" spans="1:10" s="15" customFormat="1" x14ac:dyDescent="0.15">
      <c r="A941" s="11">
        <v>45226</v>
      </c>
      <c r="B941" s="12" t="s">
        <v>31</v>
      </c>
      <c r="C941" s="12" t="s">
        <v>31</v>
      </c>
      <c r="D941" s="13" t="str">
        <f>HYPERLINK("https://www.marklines.com/en/global/10316","BMW Cell Manufacturing Competence Center (CMCC), Parsdorf")</f>
        <v>BMW Cell Manufacturing Competence Center (CMCC), Parsdorf</v>
      </c>
      <c r="E941" s="12" t="s">
        <v>695</v>
      </c>
      <c r="F941" s="12" t="s">
        <v>17</v>
      </c>
      <c r="G941" s="12" t="s">
        <v>21</v>
      </c>
      <c r="H941" s="12"/>
      <c r="I941" s="14">
        <v>45225</v>
      </c>
      <c r="J941" s="12" t="s">
        <v>694</v>
      </c>
    </row>
    <row r="942" spans="1:10" s="15" customFormat="1" x14ac:dyDescent="0.15">
      <c r="A942" s="11">
        <v>45226</v>
      </c>
      <c r="B942" s="12" t="s">
        <v>321</v>
      </c>
      <c r="C942" s="12" t="s">
        <v>321</v>
      </c>
      <c r="D942" s="13" t="str">
        <f>HYPERLINK("https://www.marklines.com/en/global/671","ZAO AvtoTOR, Kaliningrad Plant")</f>
        <v>ZAO AvtoTOR, Kaliningrad Plant</v>
      </c>
      <c r="E942" s="12" t="s">
        <v>696</v>
      </c>
      <c r="F942" s="12" t="s">
        <v>18</v>
      </c>
      <c r="G942" s="12" t="s">
        <v>14</v>
      </c>
      <c r="H942" s="12"/>
      <c r="I942" s="14">
        <v>45225</v>
      </c>
      <c r="J942" s="12" t="s">
        <v>697</v>
      </c>
    </row>
    <row r="943" spans="1:10" s="15" customFormat="1" x14ac:dyDescent="0.15">
      <c r="A943" s="11">
        <v>45226</v>
      </c>
      <c r="B943" s="12" t="s">
        <v>111</v>
      </c>
      <c r="C943" s="12" t="s">
        <v>698</v>
      </c>
      <c r="D943" s="13" t="str">
        <f>HYPERLINK("https://www.marklines.com/en/global/9378","Jaguar Land Rover Slovakia s.r.o., Nitra Plant")</f>
        <v>Jaguar Land Rover Slovakia s.r.o., Nitra Plant</v>
      </c>
      <c r="E943" s="12" t="s">
        <v>699</v>
      </c>
      <c r="F943" s="12" t="s">
        <v>18</v>
      </c>
      <c r="G943" s="12" t="s">
        <v>55</v>
      </c>
      <c r="H943" s="12"/>
      <c r="I943" s="14">
        <v>45225</v>
      </c>
      <c r="J943" s="12" t="s">
        <v>700</v>
      </c>
    </row>
    <row r="944" spans="1:10" s="15" customFormat="1" x14ac:dyDescent="0.15">
      <c r="A944" s="11">
        <v>45226</v>
      </c>
      <c r="B944" s="12" t="s">
        <v>111</v>
      </c>
      <c r="C944" s="12" t="s">
        <v>701</v>
      </c>
      <c r="D944" s="13" t="str">
        <f>HYPERLINK("https://www.marklines.com/en/global/9378","Jaguar Land Rover Slovakia s.r.o., Nitra Plant")</f>
        <v>Jaguar Land Rover Slovakia s.r.o., Nitra Plant</v>
      </c>
      <c r="E944" s="12" t="s">
        <v>699</v>
      </c>
      <c r="F944" s="12" t="s">
        <v>18</v>
      </c>
      <c r="G944" s="12" t="s">
        <v>55</v>
      </c>
      <c r="H944" s="12"/>
      <c r="I944" s="14">
        <v>45225</v>
      </c>
      <c r="J944" s="12" t="s">
        <v>700</v>
      </c>
    </row>
    <row r="945" spans="1:10" s="15" customFormat="1" x14ac:dyDescent="0.15">
      <c r="A945" s="11">
        <v>45226</v>
      </c>
      <c r="B945" s="12" t="s">
        <v>31</v>
      </c>
      <c r="C945" s="12" t="s">
        <v>31</v>
      </c>
      <c r="D945" s="13" t="str">
        <f>HYPERLINK("https://www.marklines.com/en/global/2207","BMW AG, Dingolfing Plant")</f>
        <v>BMW AG, Dingolfing Plant</v>
      </c>
      <c r="E945" s="12" t="s">
        <v>702</v>
      </c>
      <c r="F945" s="12" t="s">
        <v>17</v>
      </c>
      <c r="G945" s="12" t="s">
        <v>21</v>
      </c>
      <c r="H945" s="12"/>
      <c r="I945" s="14">
        <v>45224</v>
      </c>
      <c r="J945" s="12" t="s">
        <v>703</v>
      </c>
    </row>
    <row r="946" spans="1:10" s="15" customFormat="1" x14ac:dyDescent="0.15">
      <c r="A946" s="11">
        <v>45226</v>
      </c>
      <c r="B946" s="12" t="s">
        <v>31</v>
      </c>
      <c r="C946" s="12" t="s">
        <v>31</v>
      </c>
      <c r="D946" s="13" t="str">
        <f>HYPERLINK("https://www.marklines.com/en/global/2215","BMW AG, Leipzig Plant")</f>
        <v>BMW AG, Leipzig Plant</v>
      </c>
      <c r="E946" s="12" t="s">
        <v>704</v>
      </c>
      <c r="F946" s="12" t="s">
        <v>17</v>
      </c>
      <c r="G946" s="12" t="s">
        <v>21</v>
      </c>
      <c r="H946" s="12"/>
      <c r="I946" s="14">
        <v>45224</v>
      </c>
      <c r="J946" s="12" t="s">
        <v>703</v>
      </c>
    </row>
    <row r="947" spans="1:10" s="15" customFormat="1" x14ac:dyDescent="0.15">
      <c r="A947" s="11">
        <v>45226</v>
      </c>
      <c r="B947" s="12" t="s">
        <v>45</v>
      </c>
      <c r="C947" s="12" t="s">
        <v>45</v>
      </c>
      <c r="D947" s="13" t="str">
        <f>HYPERLINK("https://www.marklines.com/en/global/141","Stellantis, PSA, Rennes Plant")</f>
        <v>Stellantis, PSA, Rennes Plant</v>
      </c>
      <c r="E947" s="12" t="s">
        <v>705</v>
      </c>
      <c r="F947" s="12" t="s">
        <v>17</v>
      </c>
      <c r="G947" s="12" t="s">
        <v>32</v>
      </c>
      <c r="H947" s="12"/>
      <c r="I947" s="14">
        <v>45224</v>
      </c>
      <c r="J947" s="12" t="s">
        <v>706</v>
      </c>
    </row>
    <row r="948" spans="1:10" s="15" customFormat="1" x14ac:dyDescent="0.15">
      <c r="A948" s="11">
        <v>45226</v>
      </c>
      <c r="B948" s="12" t="s">
        <v>243</v>
      </c>
      <c r="C948" s="12" t="s">
        <v>243</v>
      </c>
      <c r="D948" s="13" t="str">
        <f>HYPERLINK("https://www.marklines.com/en/global/2907","Renault do Brasil S.A., Curitiba/Sao Jose dos Pinhais Plant")</f>
        <v>Renault do Brasil S.A., Curitiba/Sao Jose dos Pinhais Plant</v>
      </c>
      <c r="E948" s="12" t="s">
        <v>643</v>
      </c>
      <c r="F948" s="12" t="s">
        <v>425</v>
      </c>
      <c r="G948" s="12" t="s">
        <v>426</v>
      </c>
      <c r="H948" s="12"/>
      <c r="I948" s="14">
        <v>45224</v>
      </c>
      <c r="J948" s="12" t="s">
        <v>707</v>
      </c>
    </row>
    <row r="949" spans="1:10" s="15" customFormat="1" x14ac:dyDescent="0.15">
      <c r="A949" s="11">
        <v>45226</v>
      </c>
      <c r="B949" s="12" t="s">
        <v>243</v>
      </c>
      <c r="C949" s="12" t="s">
        <v>243</v>
      </c>
      <c r="D949" s="13" t="str">
        <f>HYPERLINK("https://www.marklines.com/en/global/6429","SOMACA, Casablanca Plant")</f>
        <v>SOMACA, Casablanca Plant</v>
      </c>
      <c r="E949" s="12" t="s">
        <v>644</v>
      </c>
      <c r="F949" s="12" t="s">
        <v>69</v>
      </c>
      <c r="G949" s="12" t="s">
        <v>645</v>
      </c>
      <c r="H949" s="12"/>
      <c r="I949" s="14">
        <v>45224</v>
      </c>
      <c r="J949" s="12" t="s">
        <v>707</v>
      </c>
    </row>
    <row r="950" spans="1:10" s="15" customFormat="1" x14ac:dyDescent="0.15">
      <c r="A950" s="11">
        <v>45226</v>
      </c>
      <c r="B950" s="12" t="s">
        <v>400</v>
      </c>
      <c r="C950" s="12" t="s">
        <v>708</v>
      </c>
      <c r="D950" s="13" t="str">
        <f>HYPERLINK("https://www.marklines.com/en/global/10405","Lotus Advanced Structures (LAS), Norwich Plant")</f>
        <v>Lotus Advanced Structures (LAS), Norwich Plant</v>
      </c>
      <c r="E950" s="12" t="s">
        <v>709</v>
      </c>
      <c r="F950" s="12" t="s">
        <v>17</v>
      </c>
      <c r="G950" s="12" t="s">
        <v>47</v>
      </c>
      <c r="H950" s="12"/>
      <c r="I950" s="14">
        <v>45224</v>
      </c>
      <c r="J950" s="12" t="s">
        <v>710</v>
      </c>
    </row>
    <row r="951" spans="1:10" s="15" customFormat="1" x14ac:dyDescent="0.15">
      <c r="A951" s="11">
        <v>45226</v>
      </c>
      <c r="B951" s="12" t="s">
        <v>400</v>
      </c>
      <c r="C951" s="12" t="s">
        <v>708</v>
      </c>
      <c r="D951" s="13" t="str">
        <f>HYPERLINK("https://www.marklines.com/en/global/10660","Wuhan Lotus Technology Co., Ltd.")</f>
        <v>Wuhan Lotus Technology Co., Ltd.</v>
      </c>
      <c r="E951" s="12" t="s">
        <v>711</v>
      </c>
      <c r="F951" s="12" t="s">
        <v>20</v>
      </c>
      <c r="G951" s="12" t="s">
        <v>27</v>
      </c>
      <c r="H951" s="12" t="s">
        <v>554</v>
      </c>
      <c r="I951" s="14">
        <v>45224</v>
      </c>
      <c r="J951" s="12" t="s">
        <v>710</v>
      </c>
    </row>
    <row r="952" spans="1:10" s="15" customFormat="1" x14ac:dyDescent="0.15">
      <c r="A952" s="11">
        <v>45226</v>
      </c>
      <c r="B952" s="12" t="s">
        <v>400</v>
      </c>
      <c r="C952" s="12" t="s">
        <v>708</v>
      </c>
      <c r="D952" s="13" t="str">
        <f>HYPERLINK("https://www.marklines.com/en/global/2353","Lotus, Norwich Plant")</f>
        <v>Lotus, Norwich Plant</v>
      </c>
      <c r="E952" s="12" t="s">
        <v>712</v>
      </c>
      <c r="F952" s="12" t="s">
        <v>17</v>
      </c>
      <c r="G952" s="12" t="s">
        <v>47</v>
      </c>
      <c r="H952" s="12"/>
      <c r="I952" s="14">
        <v>45224</v>
      </c>
      <c r="J952" s="12" t="s">
        <v>710</v>
      </c>
    </row>
    <row r="953" spans="1:10" s="15" customFormat="1" x14ac:dyDescent="0.15">
      <c r="A953" s="11">
        <v>45226</v>
      </c>
      <c r="B953" s="12" t="s">
        <v>400</v>
      </c>
      <c r="C953" s="12" t="s">
        <v>708</v>
      </c>
      <c r="D953" s="13" t="str">
        <f>HYPERLINK("https://www.marklines.com/en/global/9860","Zhejiang Geely Automobile Co., Ltd. Wuhan Branch")</f>
        <v>Zhejiang Geely Automobile Co., Ltd. Wuhan Branch</v>
      </c>
      <c r="E953" s="12" t="s">
        <v>713</v>
      </c>
      <c r="F953" s="12" t="s">
        <v>20</v>
      </c>
      <c r="G953" s="12" t="s">
        <v>27</v>
      </c>
      <c r="H953" s="12" t="s">
        <v>554</v>
      </c>
      <c r="I953" s="14">
        <v>45224</v>
      </c>
      <c r="J953" s="12" t="s">
        <v>710</v>
      </c>
    </row>
    <row r="954" spans="1:10" s="15" customFormat="1" x14ac:dyDescent="0.15">
      <c r="A954" s="11">
        <v>45226</v>
      </c>
      <c r="B954" s="12" t="s">
        <v>400</v>
      </c>
      <c r="C954" s="12" t="s">
        <v>708</v>
      </c>
      <c r="D954" s="13" t="str">
        <f>HYPERLINK("https://www.marklines.com/en/global/2351","Group Lotus Limited (formerly Group Lotus plc.)")</f>
        <v>Group Lotus Limited (formerly Group Lotus plc.)</v>
      </c>
      <c r="E954" s="12" t="s">
        <v>714</v>
      </c>
      <c r="F954" s="12" t="s">
        <v>17</v>
      </c>
      <c r="G954" s="12" t="s">
        <v>47</v>
      </c>
      <c r="H954" s="12"/>
      <c r="I954" s="14">
        <v>45224</v>
      </c>
      <c r="J954" s="12" t="s">
        <v>710</v>
      </c>
    </row>
    <row r="955" spans="1:10" s="15" customFormat="1" x14ac:dyDescent="0.15">
      <c r="A955" s="11">
        <v>45226</v>
      </c>
      <c r="B955" s="12" t="s">
        <v>13</v>
      </c>
      <c r="C955" s="12" t="s">
        <v>715</v>
      </c>
      <c r="D955" s="13" t="str">
        <f>HYPERLINK("https://www.marklines.com/en/global/1621","Truong Hai Auto Company Ltd. (Thaco), Chu Lai Plant")</f>
        <v>Truong Hai Auto Company Ltd. (Thaco), Chu Lai Plant</v>
      </c>
      <c r="E955" s="12" t="s">
        <v>716</v>
      </c>
      <c r="F955" s="12" t="s">
        <v>34</v>
      </c>
      <c r="G955" s="12" t="s">
        <v>110</v>
      </c>
      <c r="H955" s="12"/>
      <c r="I955" s="14">
        <v>45224</v>
      </c>
      <c r="J955" s="12" t="s">
        <v>717</v>
      </c>
    </row>
    <row r="956" spans="1:10" s="15" customFormat="1" x14ac:dyDescent="0.15">
      <c r="A956" s="11">
        <v>45226</v>
      </c>
      <c r="B956" s="12" t="s">
        <v>421</v>
      </c>
      <c r="C956" s="12" t="s">
        <v>421</v>
      </c>
      <c r="D956" s="13" t="str">
        <f>HYPERLINK("https://www.marklines.com/en/global/3349","FAW Jiefang Automotive Co., Ltd.")</f>
        <v>FAW Jiefang Automotive Co., Ltd.</v>
      </c>
      <c r="E956" s="12" t="s">
        <v>718</v>
      </c>
      <c r="F956" s="12" t="s">
        <v>20</v>
      </c>
      <c r="G956" s="12" t="s">
        <v>27</v>
      </c>
      <c r="H956" s="12" t="s">
        <v>414</v>
      </c>
      <c r="I956" s="14">
        <v>45223</v>
      </c>
      <c r="J956" s="12" t="s">
        <v>719</v>
      </c>
    </row>
    <row r="957" spans="1:10" s="15" customFormat="1" x14ac:dyDescent="0.15">
      <c r="A957" s="11">
        <v>45226</v>
      </c>
      <c r="B957" s="12" t="s">
        <v>720</v>
      </c>
      <c r="C957" s="12" t="s">
        <v>721</v>
      </c>
      <c r="D957" s="13" t="str">
        <f>HYPERLINK("https://www.marklines.com/en/global/3651","Mitsubishi Motors (China) Co.,Ltd. (MMCh)")</f>
        <v>Mitsubishi Motors (China) Co.,Ltd. (MMCh)</v>
      </c>
      <c r="E957" s="12" t="s">
        <v>722</v>
      </c>
      <c r="F957" s="12" t="s">
        <v>20</v>
      </c>
      <c r="G957" s="12" t="s">
        <v>27</v>
      </c>
      <c r="H957" s="12" t="s">
        <v>314</v>
      </c>
      <c r="I957" s="14">
        <v>45223</v>
      </c>
      <c r="J957" s="12" t="s">
        <v>723</v>
      </c>
    </row>
    <row r="958" spans="1:10" s="15" customFormat="1" x14ac:dyDescent="0.15">
      <c r="A958" s="11">
        <v>45226</v>
      </c>
      <c r="B958" s="12" t="s">
        <v>720</v>
      </c>
      <c r="C958" s="12" t="s">
        <v>721</v>
      </c>
      <c r="D958" s="13" t="str">
        <f>HYPERLINK("https://www.marklines.com/en/global/8808","GAC Mitsubishi Motors Co., Ltd. (GMMC)")</f>
        <v>GAC Mitsubishi Motors Co., Ltd. (GMMC)</v>
      </c>
      <c r="E958" s="12" t="s">
        <v>724</v>
      </c>
      <c r="F958" s="12" t="s">
        <v>20</v>
      </c>
      <c r="G958" s="12" t="s">
        <v>27</v>
      </c>
      <c r="H958" s="12" t="s">
        <v>359</v>
      </c>
      <c r="I958" s="14">
        <v>45223</v>
      </c>
      <c r="J958" s="12" t="s">
        <v>723</v>
      </c>
    </row>
    <row r="959" spans="1:10" s="15" customFormat="1" x14ac:dyDescent="0.15">
      <c r="A959" s="11">
        <v>45226</v>
      </c>
      <c r="B959" s="12" t="s">
        <v>366</v>
      </c>
      <c r="C959" s="12" t="s">
        <v>366</v>
      </c>
      <c r="D959" s="13" t="str">
        <f>HYPERLINK("https://www.marklines.com/en/global/4073","Guangzhou Automobile Group Co., Ltd. (GAC)")</f>
        <v>Guangzhou Automobile Group Co., Ltd. (GAC)</v>
      </c>
      <c r="E959" s="12" t="s">
        <v>725</v>
      </c>
      <c r="F959" s="12" t="s">
        <v>20</v>
      </c>
      <c r="G959" s="12" t="s">
        <v>27</v>
      </c>
      <c r="H959" s="12" t="s">
        <v>357</v>
      </c>
      <c r="I959" s="14">
        <v>45223</v>
      </c>
      <c r="J959" s="12" t="s">
        <v>723</v>
      </c>
    </row>
    <row r="960" spans="1:10" s="15" customFormat="1" x14ac:dyDescent="0.15">
      <c r="A960" s="11">
        <v>45226</v>
      </c>
      <c r="B960" s="12" t="s">
        <v>366</v>
      </c>
      <c r="C960" s="12" t="s">
        <v>622</v>
      </c>
      <c r="D960" s="13" t="str">
        <f>HYPERLINK("https://www.marklines.com/en/global/9824","GAC Aion New Energy Automobile Co., Ltd.")</f>
        <v>GAC Aion New Energy Automobile Co., Ltd.</v>
      </c>
      <c r="E960" s="12" t="s">
        <v>623</v>
      </c>
      <c r="F960" s="12" t="s">
        <v>20</v>
      </c>
      <c r="G960" s="12" t="s">
        <v>27</v>
      </c>
      <c r="H960" s="12" t="s">
        <v>357</v>
      </c>
      <c r="I960" s="14">
        <v>45223</v>
      </c>
      <c r="J960" s="12" t="s">
        <v>723</v>
      </c>
    </row>
    <row r="961" spans="1:10" s="15" customFormat="1" x14ac:dyDescent="0.15">
      <c r="A961" s="11">
        <v>45226</v>
      </c>
      <c r="B961" s="12" t="s">
        <v>366</v>
      </c>
      <c r="C961" s="12" t="s">
        <v>622</v>
      </c>
      <c r="D961" s="13" t="str">
        <f>HYPERLINK("https://www.marklines.com/en/global/8808","GAC Mitsubishi Motors Co., Ltd. (GMMC)")</f>
        <v>GAC Mitsubishi Motors Co., Ltd. (GMMC)</v>
      </c>
      <c r="E961" s="12" t="s">
        <v>724</v>
      </c>
      <c r="F961" s="12" t="s">
        <v>20</v>
      </c>
      <c r="G961" s="12" t="s">
        <v>27</v>
      </c>
      <c r="H961" s="12" t="s">
        <v>359</v>
      </c>
      <c r="I961" s="14">
        <v>45223</v>
      </c>
      <c r="J961" s="12" t="s">
        <v>723</v>
      </c>
    </row>
    <row r="962" spans="1:10" s="15" customFormat="1" x14ac:dyDescent="0.15">
      <c r="A962" s="11">
        <v>45226</v>
      </c>
      <c r="B962" s="12" t="s">
        <v>43</v>
      </c>
      <c r="C962" s="12" t="s">
        <v>43</v>
      </c>
      <c r="D962" s="13" t="str">
        <f>HYPERLINK("https://www.marklines.com/en/global/2865","Hyundai Motor Brasil (HMB), Piracicaba Plant")</f>
        <v>Hyundai Motor Brasil (HMB), Piracicaba Plant</v>
      </c>
      <c r="E962" s="12" t="s">
        <v>502</v>
      </c>
      <c r="F962" s="12" t="s">
        <v>425</v>
      </c>
      <c r="G962" s="12" t="s">
        <v>426</v>
      </c>
      <c r="H962" s="12"/>
      <c r="I962" s="14">
        <v>45223</v>
      </c>
      <c r="J962" s="12" t="s">
        <v>726</v>
      </c>
    </row>
    <row r="963" spans="1:10" s="15" customFormat="1" x14ac:dyDescent="0.15">
      <c r="A963" s="11">
        <v>45226</v>
      </c>
      <c r="B963" s="12" t="s">
        <v>45</v>
      </c>
      <c r="C963" s="12" t="s">
        <v>45</v>
      </c>
      <c r="D963" s="13" t="str">
        <f>HYPERLINK("https://www.marklines.com/en/global/153","Stellantis, PSA, Metz-Borny Plant")</f>
        <v>Stellantis, PSA, Metz-Borny Plant</v>
      </c>
      <c r="E963" s="12" t="s">
        <v>727</v>
      </c>
      <c r="F963" s="12" t="s">
        <v>17</v>
      </c>
      <c r="G963" s="12" t="s">
        <v>32</v>
      </c>
      <c r="H963" s="12"/>
      <c r="I963" s="14">
        <v>45222</v>
      </c>
      <c r="J963" s="12" t="s">
        <v>728</v>
      </c>
    </row>
    <row r="964" spans="1:10" s="15" customFormat="1" x14ac:dyDescent="0.15">
      <c r="A964" s="11">
        <v>45226</v>
      </c>
      <c r="B964" s="12" t="s">
        <v>45</v>
      </c>
      <c r="C964" s="12" t="s">
        <v>45</v>
      </c>
      <c r="D964" s="13" t="str">
        <f>HYPERLINK("https://www.marklines.com/en/global/10614","Automotive Cell Company (ACC), Douvrin/Billy-Berclau Plant")</f>
        <v>Automotive Cell Company (ACC), Douvrin/Billy-Berclau Plant</v>
      </c>
      <c r="E964" s="12" t="s">
        <v>461</v>
      </c>
      <c r="F964" s="12" t="s">
        <v>17</v>
      </c>
      <c r="G964" s="12" t="s">
        <v>32</v>
      </c>
      <c r="H964" s="12"/>
      <c r="I964" s="14">
        <v>45222</v>
      </c>
      <c r="J964" s="12" t="s">
        <v>728</v>
      </c>
    </row>
    <row r="965" spans="1:10" s="15" customFormat="1" x14ac:dyDescent="0.15">
      <c r="A965" s="11">
        <v>45226</v>
      </c>
      <c r="B965" s="12" t="s">
        <v>45</v>
      </c>
      <c r="C965" s="12" t="s">
        <v>45</v>
      </c>
      <c r="D965" s="13" t="str">
        <f>HYPERLINK("https://www.marklines.com/en/global/139","Stellantis, PSA, Mulhouse Plant")</f>
        <v>Stellantis, PSA, Mulhouse Plant</v>
      </c>
      <c r="E965" s="12" t="s">
        <v>729</v>
      </c>
      <c r="F965" s="12" t="s">
        <v>17</v>
      </c>
      <c r="G965" s="12" t="s">
        <v>32</v>
      </c>
      <c r="H965" s="12"/>
      <c r="I965" s="14">
        <v>45222</v>
      </c>
      <c r="J965" s="12" t="s">
        <v>728</v>
      </c>
    </row>
    <row r="966" spans="1:10" s="15" customFormat="1" x14ac:dyDescent="0.15">
      <c r="A966" s="11">
        <v>45226</v>
      </c>
      <c r="B966" s="12" t="s">
        <v>45</v>
      </c>
      <c r="C966" s="12" t="s">
        <v>45</v>
      </c>
      <c r="D966" s="13" t="str">
        <f>HYPERLINK("https://www.marklines.com/en/global/147","Stellantis, PSA, Caen Plant")</f>
        <v>Stellantis, PSA, Caen Plant</v>
      </c>
      <c r="E966" s="12" t="s">
        <v>730</v>
      </c>
      <c r="F966" s="12" t="s">
        <v>17</v>
      </c>
      <c r="G966" s="12" t="s">
        <v>32</v>
      </c>
      <c r="H966" s="12"/>
      <c r="I966" s="14">
        <v>45222</v>
      </c>
      <c r="J966" s="12" t="s">
        <v>728</v>
      </c>
    </row>
    <row r="967" spans="1:10" s="15" customFormat="1" x14ac:dyDescent="0.15">
      <c r="A967" s="11">
        <v>45226</v>
      </c>
      <c r="B967" s="12" t="s">
        <v>45</v>
      </c>
      <c r="C967" s="12" t="s">
        <v>45</v>
      </c>
      <c r="D967" s="13" t="str">
        <f>HYPERLINK("https://www.marklines.com/en/global/149","Stellantis, PSA, Charleville Plant")</f>
        <v>Stellantis, PSA, Charleville Plant</v>
      </c>
      <c r="E967" s="12" t="s">
        <v>731</v>
      </c>
      <c r="F967" s="12" t="s">
        <v>17</v>
      </c>
      <c r="G967" s="12" t="s">
        <v>32</v>
      </c>
      <c r="H967" s="12"/>
      <c r="I967" s="14">
        <v>45222</v>
      </c>
      <c r="J967" s="12" t="s">
        <v>728</v>
      </c>
    </row>
    <row r="968" spans="1:10" s="15" customFormat="1" x14ac:dyDescent="0.15">
      <c r="A968" s="11">
        <v>45226</v>
      </c>
      <c r="B968" s="12" t="s">
        <v>45</v>
      </c>
      <c r="C968" s="12" t="s">
        <v>45</v>
      </c>
      <c r="D968" s="13" t="str">
        <f>HYPERLINK("https://www.marklines.com/en/global/161","Stellantis, PSA, Valenciennes Plant")</f>
        <v>Stellantis, PSA, Valenciennes Plant</v>
      </c>
      <c r="E968" s="12" t="s">
        <v>732</v>
      </c>
      <c r="F968" s="12" t="s">
        <v>17</v>
      </c>
      <c r="G968" s="12" t="s">
        <v>32</v>
      </c>
      <c r="H968" s="12"/>
      <c r="I968" s="14">
        <v>45222</v>
      </c>
      <c r="J968" s="12" t="s">
        <v>728</v>
      </c>
    </row>
    <row r="969" spans="1:10" s="15" customFormat="1" x14ac:dyDescent="0.15">
      <c r="A969" s="11">
        <v>45226</v>
      </c>
      <c r="B969" s="12" t="s">
        <v>45</v>
      </c>
      <c r="C969" s="12" t="s">
        <v>45</v>
      </c>
      <c r="D969" s="13" t="str">
        <f>HYPERLINK("https://www.marklines.com/en/global/157","Stellantis, PSA, Sept-Fons Plant")</f>
        <v>Stellantis, PSA, Sept-Fons Plant</v>
      </c>
      <c r="E969" s="12" t="s">
        <v>733</v>
      </c>
      <c r="F969" s="12" t="s">
        <v>17</v>
      </c>
      <c r="G969" s="12" t="s">
        <v>32</v>
      </c>
      <c r="H969" s="12"/>
      <c r="I969" s="14">
        <v>45222</v>
      </c>
      <c r="J969" s="12" t="s">
        <v>728</v>
      </c>
    </row>
    <row r="970" spans="1:10" s="15" customFormat="1" x14ac:dyDescent="0.15">
      <c r="A970" s="11">
        <v>45226</v>
      </c>
      <c r="B970" s="12" t="s">
        <v>45</v>
      </c>
      <c r="C970" s="12" t="s">
        <v>45</v>
      </c>
      <c r="D970" s="13" t="str">
        <f>HYPERLINK("https://www.marklines.com/en/global/159","Stellantis, PSA, Tremery Plant")</f>
        <v>Stellantis, PSA, Tremery Plant</v>
      </c>
      <c r="E970" s="12" t="s">
        <v>734</v>
      </c>
      <c r="F970" s="12" t="s">
        <v>17</v>
      </c>
      <c r="G970" s="12" t="s">
        <v>32</v>
      </c>
      <c r="H970" s="12"/>
      <c r="I970" s="14">
        <v>45222</v>
      </c>
      <c r="J970" s="12" t="s">
        <v>728</v>
      </c>
    </row>
    <row r="971" spans="1:10" s="15" customFormat="1" x14ac:dyDescent="0.15">
      <c r="A971" s="11">
        <v>45226</v>
      </c>
      <c r="B971" s="12" t="s">
        <v>13</v>
      </c>
      <c r="C971" s="12" t="s">
        <v>715</v>
      </c>
      <c r="D971" s="13" t="str">
        <f>HYPERLINK("https://www.marklines.com/en/global/1621","Truong Hai Auto Company Ltd. (Thaco), Chu Lai Plant")</f>
        <v>Truong Hai Auto Company Ltd. (Thaco), Chu Lai Plant</v>
      </c>
      <c r="E971" s="12" t="s">
        <v>716</v>
      </c>
      <c r="F971" s="12" t="s">
        <v>34</v>
      </c>
      <c r="G971" s="12" t="s">
        <v>110</v>
      </c>
      <c r="H971" s="12"/>
      <c r="I971" s="14">
        <v>45219</v>
      </c>
      <c r="J971" s="12" t="s">
        <v>735</v>
      </c>
    </row>
    <row r="972" spans="1:10" s="15" customFormat="1" x14ac:dyDescent="0.15">
      <c r="A972" s="11">
        <v>45225</v>
      </c>
      <c r="B972" s="12" t="s">
        <v>400</v>
      </c>
      <c r="C972" s="12" t="s">
        <v>441</v>
      </c>
      <c r="D972" s="13" t="str">
        <f>HYPERLINK("https://www.marklines.com/en/global/1512","Volvo Cars N.V., Ghent Plant")</f>
        <v>Volvo Cars N.V., Ghent Plant</v>
      </c>
      <c r="E972" s="12" t="s">
        <v>736</v>
      </c>
      <c r="F972" s="12" t="s">
        <v>17</v>
      </c>
      <c r="G972" s="12" t="s">
        <v>737</v>
      </c>
      <c r="H972" s="12"/>
      <c r="I972" s="14">
        <v>45225</v>
      </c>
      <c r="J972" s="12" t="s">
        <v>738</v>
      </c>
    </row>
    <row r="973" spans="1:10" s="15" customFormat="1" x14ac:dyDescent="0.15">
      <c r="A973" s="11">
        <v>45225</v>
      </c>
      <c r="B973" s="12" t="s">
        <v>24</v>
      </c>
      <c r="C973" s="12" t="s">
        <v>24</v>
      </c>
      <c r="D973" s="13" t="str">
        <f>HYPERLINK("https://www.marklines.com/en/global/2569","Ford Motor, Michigan Assembly Plant")</f>
        <v>Ford Motor, Michigan Assembly Plant</v>
      </c>
      <c r="E973" s="12" t="s">
        <v>137</v>
      </c>
      <c r="F973" s="12" t="s">
        <v>16</v>
      </c>
      <c r="G973" s="12" t="s">
        <v>11</v>
      </c>
      <c r="H973" s="12" t="s">
        <v>40</v>
      </c>
      <c r="I973" s="14">
        <v>45225</v>
      </c>
      <c r="J973" s="12" t="s">
        <v>739</v>
      </c>
    </row>
    <row r="974" spans="1:10" s="15" customFormat="1" x14ac:dyDescent="0.15">
      <c r="A974" s="11">
        <v>45225</v>
      </c>
      <c r="B974" s="12" t="s">
        <v>24</v>
      </c>
      <c r="C974" s="12" t="s">
        <v>24</v>
      </c>
      <c r="D974" s="13" t="str">
        <f>HYPERLINK("https://www.marklines.com/en/global/2595","Ford Motor, Chicago Assembly Plant")</f>
        <v>Ford Motor, Chicago Assembly Plant</v>
      </c>
      <c r="E974" s="12" t="s">
        <v>141</v>
      </c>
      <c r="F974" s="12" t="s">
        <v>16</v>
      </c>
      <c r="G974" s="12" t="s">
        <v>11</v>
      </c>
      <c r="H974" s="12" t="s">
        <v>39</v>
      </c>
      <c r="I974" s="14">
        <v>45225</v>
      </c>
      <c r="J974" s="12" t="s">
        <v>739</v>
      </c>
    </row>
    <row r="975" spans="1:10" s="15" customFormat="1" x14ac:dyDescent="0.15">
      <c r="A975" s="11">
        <v>45225</v>
      </c>
      <c r="B975" s="12" t="s">
        <v>24</v>
      </c>
      <c r="C975" s="12" t="s">
        <v>24</v>
      </c>
      <c r="D975" s="13" t="str">
        <f>HYPERLINK("https://www.marklines.com/en/global/2607","Ford Motor, Kentucky Truck Plant")</f>
        <v>Ford Motor, Kentucky Truck Plant</v>
      </c>
      <c r="E975" s="12" t="s">
        <v>253</v>
      </c>
      <c r="F975" s="12" t="s">
        <v>16</v>
      </c>
      <c r="G975" s="12" t="s">
        <v>11</v>
      </c>
      <c r="H975" s="12" t="s">
        <v>90</v>
      </c>
      <c r="I975" s="14">
        <v>45225</v>
      </c>
      <c r="J975" s="12" t="s">
        <v>739</v>
      </c>
    </row>
    <row r="976" spans="1:10" s="15" customFormat="1" x14ac:dyDescent="0.15">
      <c r="A976" s="11">
        <v>45225</v>
      </c>
      <c r="B976" s="12" t="s">
        <v>12</v>
      </c>
      <c r="C976" s="12" t="s">
        <v>19</v>
      </c>
      <c r="D976" s="13" t="str">
        <f>HYPERLINK("https://www.marklines.com/en/global/2847","General Motors Brazil, Sao Jose dos Campos Plant")</f>
        <v>General Motors Brazil, Sao Jose dos Campos Plant</v>
      </c>
      <c r="E976" s="12" t="s">
        <v>740</v>
      </c>
      <c r="F976" s="12" t="s">
        <v>425</v>
      </c>
      <c r="G976" s="12" t="s">
        <v>426</v>
      </c>
      <c r="H976" s="12"/>
      <c r="I976" s="14">
        <v>45225</v>
      </c>
      <c r="J976" s="12" t="s">
        <v>741</v>
      </c>
    </row>
    <row r="977" spans="1:10" s="15" customFormat="1" x14ac:dyDescent="0.15">
      <c r="A977" s="11">
        <v>45225</v>
      </c>
      <c r="B977" s="12" t="s">
        <v>12</v>
      </c>
      <c r="C977" s="12" t="s">
        <v>19</v>
      </c>
      <c r="D977" s="13" t="str">
        <f>HYPERLINK("https://www.marklines.com/en/global/2845","General Motors Brazil, Sao Caetano do Sul Plant")</f>
        <v>General Motors Brazil, Sao Caetano do Sul Plant</v>
      </c>
      <c r="E977" s="12" t="s">
        <v>742</v>
      </c>
      <c r="F977" s="12" t="s">
        <v>425</v>
      </c>
      <c r="G977" s="12" t="s">
        <v>426</v>
      </c>
      <c r="H977" s="12"/>
      <c r="I977" s="14">
        <v>45225</v>
      </c>
      <c r="J977" s="12" t="s">
        <v>741</v>
      </c>
    </row>
    <row r="978" spans="1:10" s="15" customFormat="1" x14ac:dyDescent="0.15">
      <c r="A978" s="11">
        <v>45225</v>
      </c>
      <c r="B978" s="12" t="s">
        <v>12</v>
      </c>
      <c r="C978" s="12" t="s">
        <v>19</v>
      </c>
      <c r="D978" s="13" t="str">
        <f>HYPERLINK("https://www.marklines.com/en/global/2851","General Motors Brazil, Mogi das Cruzes Plant")</f>
        <v>General Motors Brazil, Mogi das Cruzes Plant</v>
      </c>
      <c r="E978" s="12" t="s">
        <v>743</v>
      </c>
      <c r="F978" s="12" t="s">
        <v>425</v>
      </c>
      <c r="G978" s="12" t="s">
        <v>426</v>
      </c>
      <c r="H978" s="12"/>
      <c r="I978" s="14">
        <v>45225</v>
      </c>
      <c r="J978" s="12" t="s">
        <v>741</v>
      </c>
    </row>
    <row r="979" spans="1:10" s="15" customFormat="1" x14ac:dyDescent="0.15">
      <c r="A979" s="11">
        <v>45225</v>
      </c>
      <c r="B979" s="12" t="s">
        <v>388</v>
      </c>
      <c r="C979" s="12" t="s">
        <v>388</v>
      </c>
      <c r="D979" s="13" t="str">
        <f>HYPERLINK("https://www.marklines.com/en/global/1731","Iveco Czech Republic, a.s.,Vysoké Mýto Plant")</f>
        <v>Iveco Czech Republic, a.s.,Vysoké Mýto Plant</v>
      </c>
      <c r="E979" s="12" t="s">
        <v>744</v>
      </c>
      <c r="F979" s="12" t="s">
        <v>18</v>
      </c>
      <c r="G979" s="12" t="s">
        <v>81</v>
      </c>
      <c r="H979" s="12"/>
      <c r="I979" s="14">
        <v>45224</v>
      </c>
      <c r="J979" s="12" t="s">
        <v>745</v>
      </c>
    </row>
    <row r="980" spans="1:10" s="15" customFormat="1" x14ac:dyDescent="0.15">
      <c r="A980" s="11">
        <v>45225</v>
      </c>
      <c r="B980" s="12" t="s">
        <v>690</v>
      </c>
      <c r="C980" s="12" t="s">
        <v>690</v>
      </c>
      <c r="D980" s="13" t="str">
        <f>HYPERLINK("https://www.marklines.com/en/global/9057","Neftekamsk Motor Plant OJSC (OAO Neftekamskij avtozavod (NefAZ))")</f>
        <v>Neftekamsk Motor Plant OJSC (OAO Neftekamskij avtozavod (NefAZ))</v>
      </c>
      <c r="E980" s="12" t="s">
        <v>746</v>
      </c>
      <c r="F980" s="12" t="s">
        <v>18</v>
      </c>
      <c r="G980" s="12" t="s">
        <v>14</v>
      </c>
      <c r="H980" s="12"/>
      <c r="I980" s="14">
        <v>45224</v>
      </c>
      <c r="J980" s="12" t="s">
        <v>747</v>
      </c>
    </row>
    <row r="981" spans="1:10" s="15" customFormat="1" x14ac:dyDescent="0.15">
      <c r="A981" s="11">
        <v>45225</v>
      </c>
      <c r="B981" s="12" t="s">
        <v>15</v>
      </c>
      <c r="C981" s="12" t="s">
        <v>15</v>
      </c>
      <c r="D981" s="13" t="str">
        <f>HYPERLINK("https://www.marklines.com/en/global/1573","Honda Vietnam Co., Ltd., Me Linh, Vinh Phuc Plant")</f>
        <v>Honda Vietnam Co., Ltd., Me Linh, Vinh Phuc Plant</v>
      </c>
      <c r="E981" s="12" t="s">
        <v>748</v>
      </c>
      <c r="F981" s="12" t="s">
        <v>34</v>
      </c>
      <c r="G981" s="12" t="s">
        <v>110</v>
      </c>
      <c r="H981" s="12"/>
      <c r="I981" s="14">
        <v>45224</v>
      </c>
      <c r="J981" s="12" t="s">
        <v>749</v>
      </c>
    </row>
    <row r="982" spans="1:10" s="15" customFormat="1" x14ac:dyDescent="0.15">
      <c r="A982" s="11">
        <v>45225</v>
      </c>
      <c r="B982" s="12" t="s">
        <v>15</v>
      </c>
      <c r="C982" s="12" t="s">
        <v>15</v>
      </c>
      <c r="D982" s="13" t="str">
        <f>HYPERLINK("https://www.marklines.com/en/global/2007","Honda Automobile (Thailand), Ayutthaya Plant")</f>
        <v>Honda Automobile (Thailand), Ayutthaya Plant</v>
      </c>
      <c r="E982" s="12" t="s">
        <v>750</v>
      </c>
      <c r="F982" s="12" t="s">
        <v>34</v>
      </c>
      <c r="G982" s="12" t="s">
        <v>71</v>
      </c>
      <c r="H982" s="12" t="s">
        <v>751</v>
      </c>
      <c r="I982" s="14">
        <v>45224</v>
      </c>
      <c r="J982" s="12" t="s">
        <v>749</v>
      </c>
    </row>
    <row r="983" spans="1:10" s="15" customFormat="1" x14ac:dyDescent="0.15">
      <c r="A983" s="11">
        <v>45225</v>
      </c>
      <c r="B983" s="12" t="s">
        <v>36</v>
      </c>
      <c r="C983" s="12" t="s">
        <v>369</v>
      </c>
      <c r="D983" s="13" t="str">
        <f>HYPERLINK("https://www.marklines.com/en/global/9818","Rizhao Weipai Automobile Co., Ltd.")</f>
        <v>Rizhao Weipai Automobile Co., Ltd.</v>
      </c>
      <c r="E983" s="12" t="s">
        <v>752</v>
      </c>
      <c r="F983" s="12" t="s">
        <v>20</v>
      </c>
      <c r="G983" s="12" t="s">
        <v>27</v>
      </c>
      <c r="H983" s="12" t="s">
        <v>354</v>
      </c>
      <c r="I983" s="14">
        <v>45224</v>
      </c>
      <c r="J983" s="12" t="s">
        <v>753</v>
      </c>
    </row>
    <row r="984" spans="1:10" s="15" customFormat="1" x14ac:dyDescent="0.15">
      <c r="A984" s="11">
        <v>45225</v>
      </c>
      <c r="B984" s="12" t="s">
        <v>24</v>
      </c>
      <c r="C984" s="12" t="s">
        <v>24</v>
      </c>
      <c r="D984" s="13" t="str">
        <f>HYPERLINK("https://www.marklines.com/en/global/1861","Ford Otomotiv Sanayi A.S., Craiova Plant (formerly Ford Romania S.A.)")</f>
        <v>Ford Otomotiv Sanayi A.S., Craiova Plant (formerly Ford Romania S.A.)</v>
      </c>
      <c r="E984" s="12" t="s">
        <v>754</v>
      </c>
      <c r="F984" s="12" t="s">
        <v>18</v>
      </c>
      <c r="G984" s="12" t="s">
        <v>755</v>
      </c>
      <c r="H984" s="12"/>
      <c r="I984" s="14">
        <v>45224</v>
      </c>
      <c r="J984" s="12" t="s">
        <v>756</v>
      </c>
    </row>
    <row r="985" spans="1:10" s="15" customFormat="1" x14ac:dyDescent="0.15">
      <c r="A985" s="11">
        <v>45225</v>
      </c>
      <c r="B985" s="12" t="s">
        <v>43</v>
      </c>
      <c r="C985" s="12" t="s">
        <v>43</v>
      </c>
      <c r="D985" s="13" t="str">
        <f>HYPERLINK("https://www.marklines.com/en/global/10587","Hyundai Motor Group Metaplant America (HMGMA) LLC")</f>
        <v>Hyundai Motor Group Metaplant America (HMGMA) LLC</v>
      </c>
      <c r="E985" s="12" t="s">
        <v>757</v>
      </c>
      <c r="F985" s="12" t="s">
        <v>16</v>
      </c>
      <c r="G985" s="12" t="s">
        <v>11</v>
      </c>
      <c r="H985" s="12" t="s">
        <v>271</v>
      </c>
      <c r="I985" s="14">
        <v>45224</v>
      </c>
      <c r="J985" s="12" t="s">
        <v>758</v>
      </c>
    </row>
    <row r="986" spans="1:10" s="15" customFormat="1" x14ac:dyDescent="0.15">
      <c r="A986" s="11">
        <v>45225</v>
      </c>
      <c r="B986" s="12" t="s">
        <v>33</v>
      </c>
      <c r="C986" s="12" t="s">
        <v>48</v>
      </c>
      <c r="D986" s="13" t="str">
        <f>HYPERLINK("https://www.marklines.com/en/global/2171","MAN Truck &amp; Bus, Munich Plant")</f>
        <v>MAN Truck &amp; Bus, Munich Plant</v>
      </c>
      <c r="E986" s="12" t="s">
        <v>337</v>
      </c>
      <c r="F986" s="12" t="s">
        <v>17</v>
      </c>
      <c r="G986" s="12" t="s">
        <v>21</v>
      </c>
      <c r="H986" s="12"/>
      <c r="I986" s="14">
        <v>45223</v>
      </c>
      <c r="J986" s="12" t="s">
        <v>759</v>
      </c>
    </row>
    <row r="987" spans="1:10" s="15" customFormat="1" x14ac:dyDescent="0.15">
      <c r="A987" s="11">
        <v>45225</v>
      </c>
      <c r="B987" s="12" t="s">
        <v>243</v>
      </c>
      <c r="C987" s="12" t="s">
        <v>243</v>
      </c>
      <c r="D987" s="13" t="str">
        <f>HYPERLINK("https://www.marklines.com/en/global/165","SOVAB, Batilly Plant")</f>
        <v>SOVAB, Batilly Plant</v>
      </c>
      <c r="E987" s="12" t="s">
        <v>760</v>
      </c>
      <c r="F987" s="12" t="s">
        <v>17</v>
      </c>
      <c r="G987" s="12" t="s">
        <v>32</v>
      </c>
      <c r="H987" s="12"/>
      <c r="I987" s="14">
        <v>45223</v>
      </c>
      <c r="J987" s="12" t="s">
        <v>761</v>
      </c>
    </row>
    <row r="988" spans="1:10" s="15" customFormat="1" x14ac:dyDescent="0.15">
      <c r="A988" s="11">
        <v>45225</v>
      </c>
      <c r="B988" s="12" t="s">
        <v>243</v>
      </c>
      <c r="C988" s="12" t="s">
        <v>243</v>
      </c>
      <c r="D988" s="13" t="str">
        <f>HYPERLINK("https://www.marklines.com/en/global/175","Renault S.A., Sandouville Plant")</f>
        <v>Renault S.A., Sandouville Plant</v>
      </c>
      <c r="E988" s="12" t="s">
        <v>762</v>
      </c>
      <c r="F988" s="12" t="s">
        <v>17</v>
      </c>
      <c r="G988" s="12" t="s">
        <v>32</v>
      </c>
      <c r="H988" s="12"/>
      <c r="I988" s="14">
        <v>45223</v>
      </c>
      <c r="J988" s="12" t="s">
        <v>761</v>
      </c>
    </row>
    <row r="989" spans="1:10" s="15" customFormat="1" x14ac:dyDescent="0.15">
      <c r="A989" s="11">
        <v>45225</v>
      </c>
      <c r="B989" s="12" t="s">
        <v>243</v>
      </c>
      <c r="C989" s="12" t="s">
        <v>243</v>
      </c>
      <c r="D989" s="13" t="str">
        <f>HYPERLINK("https://www.marklines.com/en/global/179","Renault S.A., Cléon Plant")</f>
        <v>Renault S.A., Cléon Plant</v>
      </c>
      <c r="E989" s="12" t="s">
        <v>524</v>
      </c>
      <c r="F989" s="12" t="s">
        <v>17</v>
      </c>
      <c r="G989" s="12" t="s">
        <v>32</v>
      </c>
      <c r="H989" s="12"/>
      <c r="I989" s="14">
        <v>45223</v>
      </c>
      <c r="J989" s="12" t="s">
        <v>761</v>
      </c>
    </row>
    <row r="990" spans="1:10" s="15" customFormat="1" x14ac:dyDescent="0.15">
      <c r="A990" s="11">
        <v>45225</v>
      </c>
      <c r="B990" s="12" t="s">
        <v>567</v>
      </c>
      <c r="C990" s="12" t="s">
        <v>567</v>
      </c>
      <c r="D990" s="13" t="str">
        <f>HYPERLINK("https://www.marklines.com/en/global/3743","Changan Mazda Automobile Co., Ltd.")</f>
        <v>Changan Mazda Automobile Co., Ltd.</v>
      </c>
      <c r="E990" s="12" t="s">
        <v>763</v>
      </c>
      <c r="F990" s="12" t="s">
        <v>20</v>
      </c>
      <c r="G990" s="12" t="s">
        <v>27</v>
      </c>
      <c r="H990" s="12" t="s">
        <v>278</v>
      </c>
      <c r="I990" s="14">
        <v>45222</v>
      </c>
      <c r="J990" s="12" t="s">
        <v>764</v>
      </c>
    </row>
    <row r="991" spans="1:10" s="15" customFormat="1" x14ac:dyDescent="0.15">
      <c r="A991" s="11">
        <v>45225</v>
      </c>
      <c r="B991" s="12" t="s">
        <v>495</v>
      </c>
      <c r="C991" s="12" t="s">
        <v>495</v>
      </c>
      <c r="D991" s="13" t="str">
        <f>HYPERLINK("https://www.marklines.com/en/global/3743","Changan Mazda Automobile Co., Ltd.")</f>
        <v>Changan Mazda Automobile Co., Ltd.</v>
      </c>
      <c r="E991" s="12" t="s">
        <v>763</v>
      </c>
      <c r="F991" s="12" t="s">
        <v>20</v>
      </c>
      <c r="G991" s="12" t="s">
        <v>27</v>
      </c>
      <c r="H991" s="12" t="s">
        <v>278</v>
      </c>
      <c r="I991" s="14">
        <v>45222</v>
      </c>
      <c r="J991" s="12" t="s">
        <v>764</v>
      </c>
    </row>
    <row r="992" spans="1:10" s="15" customFormat="1" x14ac:dyDescent="0.15">
      <c r="A992" s="11">
        <v>45225</v>
      </c>
      <c r="B992" s="12" t="s">
        <v>495</v>
      </c>
      <c r="C992" s="12" t="s">
        <v>655</v>
      </c>
      <c r="D992" s="13" t="str">
        <f>HYPERLINK("https://www.marklines.com/en/global/3539","Hebei Changan Automobile Co., Ltd. ")</f>
        <v xml:space="preserve">Hebei Changan Automobile Co., Ltd. </v>
      </c>
      <c r="E992" s="12" t="s">
        <v>656</v>
      </c>
      <c r="F992" s="12" t="s">
        <v>20</v>
      </c>
      <c r="G992" s="12" t="s">
        <v>27</v>
      </c>
      <c r="H992" s="12" t="s">
        <v>267</v>
      </c>
      <c r="I992" s="14">
        <v>45222</v>
      </c>
      <c r="J992" s="12" t="s">
        <v>765</v>
      </c>
    </row>
    <row r="993" spans="1:10" s="15" customFormat="1" x14ac:dyDescent="0.15">
      <c r="A993" s="11">
        <v>45225</v>
      </c>
      <c r="B993" s="12" t="s">
        <v>400</v>
      </c>
      <c r="C993" s="12" t="s">
        <v>400</v>
      </c>
      <c r="D993" s="13" t="str">
        <f>HYPERLINK("https://www.marklines.com/en/global/3807","Zhejiang Geely Holding Group Co., Ltd.")</f>
        <v>Zhejiang Geely Holding Group Co., Ltd.</v>
      </c>
      <c r="E993" s="12" t="s">
        <v>401</v>
      </c>
      <c r="F993" s="12" t="s">
        <v>20</v>
      </c>
      <c r="G993" s="12" t="s">
        <v>27</v>
      </c>
      <c r="H993" s="12" t="s">
        <v>342</v>
      </c>
      <c r="I993" s="14">
        <v>45219</v>
      </c>
      <c r="J993" s="12" t="s">
        <v>766</v>
      </c>
    </row>
    <row r="994" spans="1:10" s="15" customFormat="1" x14ac:dyDescent="0.15">
      <c r="A994" s="11">
        <v>45225</v>
      </c>
      <c r="B994" s="12" t="s">
        <v>495</v>
      </c>
      <c r="C994" s="12" t="s">
        <v>495</v>
      </c>
      <c r="D994" s="13" t="str">
        <f>HYPERLINK("https://www.marklines.com/en/global/4163","Chongqing Changan Automobile Co., Ltd.")</f>
        <v>Chongqing Changan Automobile Co., Ltd.</v>
      </c>
      <c r="E994" s="12" t="s">
        <v>560</v>
      </c>
      <c r="F994" s="12" t="s">
        <v>20</v>
      </c>
      <c r="G994" s="12" t="s">
        <v>27</v>
      </c>
      <c r="H994" s="12" t="s">
        <v>29</v>
      </c>
      <c r="I994" s="14">
        <v>45219</v>
      </c>
      <c r="J994" s="12" t="s">
        <v>767</v>
      </c>
    </row>
    <row r="995" spans="1:10" s="15" customFormat="1" x14ac:dyDescent="0.15">
      <c r="A995" s="11">
        <v>45225</v>
      </c>
      <c r="B995" s="12" t="s">
        <v>321</v>
      </c>
      <c r="C995" s="12" t="s">
        <v>321</v>
      </c>
      <c r="D995" s="13" t="str">
        <f>HYPERLINK("https://www.marklines.com/en/global/10767","EP Manufacturing - PEPS-JV, Pegoh Plant (tentative name)")</f>
        <v>EP Manufacturing - PEPS-JV, Pegoh Plant (tentative name)</v>
      </c>
      <c r="E995" s="12" t="s">
        <v>768</v>
      </c>
      <c r="F995" s="12" t="s">
        <v>34</v>
      </c>
      <c r="G995" s="12" t="s">
        <v>538</v>
      </c>
      <c r="H995" s="12"/>
      <c r="I995" s="14">
        <v>45219</v>
      </c>
      <c r="J995" s="12" t="s">
        <v>769</v>
      </c>
    </row>
    <row r="996" spans="1:10" s="15" customFormat="1" x14ac:dyDescent="0.15">
      <c r="A996" s="11">
        <v>45225</v>
      </c>
      <c r="B996" s="12" t="s">
        <v>36</v>
      </c>
      <c r="C996" s="12" t="s">
        <v>36</v>
      </c>
      <c r="D996" s="13" t="str">
        <f>HYPERLINK("https://www.marklines.com/en/global/10767","EP Manufacturing - PEPS-JV, Pegoh Plant (tentative name)")</f>
        <v>EP Manufacturing - PEPS-JV, Pegoh Plant (tentative name)</v>
      </c>
      <c r="E996" s="12" t="s">
        <v>768</v>
      </c>
      <c r="F996" s="12" t="s">
        <v>34</v>
      </c>
      <c r="G996" s="12" t="s">
        <v>538</v>
      </c>
      <c r="H996" s="12"/>
      <c r="I996" s="14">
        <v>45219</v>
      </c>
      <c r="J996" s="12" t="s">
        <v>769</v>
      </c>
    </row>
    <row r="997" spans="1:10" s="15" customFormat="1" x14ac:dyDescent="0.15">
      <c r="A997" s="11">
        <v>45225</v>
      </c>
      <c r="B997" s="12" t="s">
        <v>770</v>
      </c>
      <c r="C997" s="12" t="s">
        <v>770</v>
      </c>
      <c r="D997" s="13" t="str">
        <f>HYPERLINK("https://www.marklines.com/en/global/3865","Anhui Jianghuai Automobile Group Corp., Ltd. (JAC)")</f>
        <v>Anhui Jianghuai Automobile Group Corp., Ltd. (JAC)</v>
      </c>
      <c r="E997" s="12" t="s">
        <v>771</v>
      </c>
      <c r="F997" s="12" t="s">
        <v>20</v>
      </c>
      <c r="G997" s="12" t="s">
        <v>27</v>
      </c>
      <c r="H997" s="12" t="s">
        <v>303</v>
      </c>
      <c r="I997" s="14">
        <v>45218</v>
      </c>
      <c r="J997" s="12" t="s">
        <v>772</v>
      </c>
    </row>
    <row r="998" spans="1:10" s="15" customFormat="1" x14ac:dyDescent="0.15">
      <c r="A998" s="11">
        <v>45225</v>
      </c>
      <c r="B998" s="12" t="s">
        <v>770</v>
      </c>
      <c r="C998" s="12" t="s">
        <v>770</v>
      </c>
      <c r="D998" s="13" t="str">
        <f>HYPERLINK("https://www.marklines.com/en/global/10357","Jianglai Advanced Manufacturing Technology (Anhui) Co., Ltd. (formerly Anhui Jianghuai Automobile Group Corp., Ltd. New Energy Passenger Vehicle Branch First Plant)")</f>
        <v>Jianglai Advanced Manufacturing Technology (Anhui) Co., Ltd. (formerly Anhui Jianghuai Automobile Group Corp., Ltd. New Energy Passenger Vehicle Branch First Plant)</v>
      </c>
      <c r="E998" s="12" t="s">
        <v>773</v>
      </c>
      <c r="F998" s="12" t="s">
        <v>20</v>
      </c>
      <c r="G998" s="12" t="s">
        <v>27</v>
      </c>
      <c r="H998" s="12" t="s">
        <v>303</v>
      </c>
      <c r="I998" s="14">
        <v>45218</v>
      </c>
      <c r="J998" s="12" t="s">
        <v>772</v>
      </c>
    </row>
    <row r="999" spans="1:10" s="15" customFormat="1" x14ac:dyDescent="0.15">
      <c r="A999" s="11">
        <v>45225</v>
      </c>
      <c r="B999" s="12" t="s">
        <v>770</v>
      </c>
      <c r="C999" s="12" t="s">
        <v>770</v>
      </c>
      <c r="D999" s="13" t="str">
        <f>HYPERLINK("https://www.marklines.com/en/global/10444","Anhui Jianghuai Automobile Group Corp., Ltd. New Energy Passenger Vehicle Branch Second Plant")</f>
        <v>Anhui Jianghuai Automobile Group Corp., Ltd. New Energy Passenger Vehicle Branch Second Plant</v>
      </c>
      <c r="E999" s="12" t="s">
        <v>774</v>
      </c>
      <c r="F999" s="12" t="s">
        <v>20</v>
      </c>
      <c r="G999" s="12" t="s">
        <v>27</v>
      </c>
      <c r="H999" s="12" t="s">
        <v>303</v>
      </c>
      <c r="I999" s="14">
        <v>45218</v>
      </c>
      <c r="J999" s="12" t="s">
        <v>772</v>
      </c>
    </row>
    <row r="1000" spans="1:10" s="15" customFormat="1" x14ac:dyDescent="0.15">
      <c r="A1000" s="11">
        <v>45225</v>
      </c>
      <c r="B1000" s="12" t="s">
        <v>276</v>
      </c>
      <c r="C1000" s="12" t="s">
        <v>276</v>
      </c>
      <c r="D1000" s="13" t="str">
        <f>HYPERLINK("https://www.marklines.com/en/global/9503","Shanghai NIO Automobile Co., Ltd.")</f>
        <v>Shanghai NIO Automobile Co., Ltd.</v>
      </c>
      <c r="E1000" s="12" t="s">
        <v>646</v>
      </c>
      <c r="F1000" s="12" t="s">
        <v>20</v>
      </c>
      <c r="G1000" s="12" t="s">
        <v>27</v>
      </c>
      <c r="H1000" s="12" t="s">
        <v>314</v>
      </c>
      <c r="I1000" s="14">
        <v>45218</v>
      </c>
      <c r="J1000" s="12" t="s">
        <v>772</v>
      </c>
    </row>
    <row r="1001" spans="1:10" s="15" customFormat="1" x14ac:dyDescent="0.15">
      <c r="A1001" s="11">
        <v>45225</v>
      </c>
      <c r="B1001" s="12" t="s">
        <v>276</v>
      </c>
      <c r="C1001" s="12" t="s">
        <v>276</v>
      </c>
      <c r="D1001" s="13" t="str">
        <f>HYPERLINK("https://www.marklines.com/en/global/10357","Jianglai Advanced Manufacturing Technology (Anhui) Co., Ltd. (formerly Anhui Jianghuai Automobile Group Corp., Ltd. New Energy Passenger Vehicle Branch First Plant)")</f>
        <v>Jianglai Advanced Manufacturing Technology (Anhui) Co., Ltd. (formerly Anhui Jianghuai Automobile Group Corp., Ltd. New Energy Passenger Vehicle Branch First Plant)</v>
      </c>
      <c r="E1001" s="12" t="s">
        <v>773</v>
      </c>
      <c r="F1001" s="12" t="s">
        <v>20</v>
      </c>
      <c r="G1001" s="12" t="s">
        <v>27</v>
      </c>
      <c r="H1001" s="12" t="s">
        <v>303</v>
      </c>
      <c r="I1001" s="14">
        <v>45218</v>
      </c>
      <c r="J1001" s="12" t="s">
        <v>772</v>
      </c>
    </row>
    <row r="1002" spans="1:10" s="15" customFormat="1" x14ac:dyDescent="0.15">
      <c r="A1002" s="11">
        <v>45225</v>
      </c>
      <c r="B1002" s="12" t="s">
        <v>276</v>
      </c>
      <c r="C1002" s="12" t="s">
        <v>276</v>
      </c>
      <c r="D1002" s="13" t="str">
        <f>HYPERLINK("https://www.marklines.com/en/global/10444","Anhui Jianghuai Automobile Group Corp., Ltd. New Energy Passenger Vehicle Branch Second Plant")</f>
        <v>Anhui Jianghuai Automobile Group Corp., Ltd. New Energy Passenger Vehicle Branch Second Plant</v>
      </c>
      <c r="E1002" s="12" t="s">
        <v>774</v>
      </c>
      <c r="F1002" s="12" t="s">
        <v>20</v>
      </c>
      <c r="G1002" s="12" t="s">
        <v>27</v>
      </c>
      <c r="H1002" s="12" t="s">
        <v>303</v>
      </c>
      <c r="I1002" s="14">
        <v>45218</v>
      </c>
      <c r="J1002" s="12" t="s">
        <v>772</v>
      </c>
    </row>
    <row r="1003" spans="1:10" s="15" customFormat="1" x14ac:dyDescent="0.15">
      <c r="A1003" s="11">
        <v>45225</v>
      </c>
      <c r="B1003" s="12" t="s">
        <v>321</v>
      </c>
      <c r="C1003" s="12" t="s">
        <v>321</v>
      </c>
      <c r="D1003" s="13" t="str">
        <f>HYPERLINK("https://www.marklines.com/en/global/10767","EP Manufacturing - PEPS-JV, Pegoh Plant (tentative name)")</f>
        <v>EP Manufacturing - PEPS-JV, Pegoh Plant (tentative name)</v>
      </c>
      <c r="E1003" s="12" t="s">
        <v>768</v>
      </c>
      <c r="F1003" s="12" t="s">
        <v>34</v>
      </c>
      <c r="G1003" s="12" t="s">
        <v>538</v>
      </c>
      <c r="H1003" s="12"/>
      <c r="I1003" s="14">
        <v>45217</v>
      </c>
      <c r="J1003" s="12" t="s">
        <v>775</v>
      </c>
    </row>
    <row r="1004" spans="1:10" s="15" customFormat="1" x14ac:dyDescent="0.15">
      <c r="A1004" s="11">
        <v>45225</v>
      </c>
      <c r="B1004" s="12" t="s">
        <v>36</v>
      </c>
      <c r="C1004" s="12" t="s">
        <v>36</v>
      </c>
      <c r="D1004" s="13" t="str">
        <f>HYPERLINK("https://www.marklines.com/en/global/10767","EP Manufacturing - PEPS-JV, Pegoh Plant (tentative name)")</f>
        <v>EP Manufacturing - PEPS-JV, Pegoh Plant (tentative name)</v>
      </c>
      <c r="E1004" s="12" t="s">
        <v>768</v>
      </c>
      <c r="F1004" s="12" t="s">
        <v>34</v>
      </c>
      <c r="G1004" s="12" t="s">
        <v>538</v>
      </c>
      <c r="H1004" s="12"/>
      <c r="I1004" s="14">
        <v>45217</v>
      </c>
      <c r="J1004" s="12" t="s">
        <v>775</v>
      </c>
    </row>
    <row r="1005" spans="1:10" s="15" customFormat="1" x14ac:dyDescent="0.15">
      <c r="A1005" s="11">
        <v>45225</v>
      </c>
      <c r="B1005" s="12" t="s">
        <v>776</v>
      </c>
      <c r="C1005" s="12" t="s">
        <v>776</v>
      </c>
      <c r="D1005" s="13" t="str">
        <f>HYPERLINK("https://www.marklines.com/en/global/4271","Shaanxi Automobile Group Co., Ltd.")</f>
        <v>Shaanxi Automobile Group Co., Ltd.</v>
      </c>
      <c r="E1005" s="12" t="s">
        <v>777</v>
      </c>
      <c r="F1005" s="12" t="s">
        <v>20</v>
      </c>
      <c r="G1005" s="12" t="s">
        <v>27</v>
      </c>
      <c r="H1005" s="12" t="s">
        <v>320</v>
      </c>
      <c r="I1005" s="14">
        <v>45217</v>
      </c>
      <c r="J1005" s="12" t="s">
        <v>778</v>
      </c>
    </row>
    <row r="1006" spans="1:10" s="15" customFormat="1" x14ac:dyDescent="0.15">
      <c r="A1006" s="11">
        <v>45224</v>
      </c>
      <c r="B1006" s="12" t="s">
        <v>551</v>
      </c>
      <c r="C1006" s="12" t="s">
        <v>551</v>
      </c>
      <c r="D1006" s="13" t="str">
        <f>HYPERLINK("https://www.marklines.com/en/global/9509","DFSK Motor Co., Ltd., Chongqing Branch")</f>
        <v>DFSK Motor Co., Ltd., Chongqing Branch</v>
      </c>
      <c r="E1006" s="12" t="s">
        <v>180</v>
      </c>
      <c r="F1006" s="12" t="s">
        <v>20</v>
      </c>
      <c r="G1006" s="12" t="s">
        <v>27</v>
      </c>
      <c r="H1006" s="12" t="s">
        <v>29</v>
      </c>
      <c r="I1006" s="14">
        <v>45223</v>
      </c>
      <c r="J1006" s="12" t="s">
        <v>779</v>
      </c>
    </row>
    <row r="1007" spans="1:10" s="15" customFormat="1" x14ac:dyDescent="0.15">
      <c r="A1007" s="11">
        <v>45224</v>
      </c>
      <c r="B1007" s="12" t="s">
        <v>551</v>
      </c>
      <c r="C1007" s="12" t="s">
        <v>551</v>
      </c>
      <c r="D1007" s="13" t="str">
        <f>HYPERLINK("https://www.marklines.com/en/global/3977","Dongfeng Passenger Vehicle Company")</f>
        <v>Dongfeng Passenger Vehicle Company</v>
      </c>
      <c r="E1007" s="12" t="s">
        <v>780</v>
      </c>
      <c r="F1007" s="12" t="s">
        <v>20</v>
      </c>
      <c r="G1007" s="12" t="s">
        <v>27</v>
      </c>
      <c r="H1007" s="12" t="s">
        <v>554</v>
      </c>
      <c r="I1007" s="14">
        <v>45223</v>
      </c>
      <c r="J1007" s="12" t="s">
        <v>779</v>
      </c>
    </row>
    <row r="1008" spans="1:10" s="15" customFormat="1" x14ac:dyDescent="0.15">
      <c r="A1008" s="11">
        <v>45224</v>
      </c>
      <c r="B1008" s="12" t="s">
        <v>117</v>
      </c>
      <c r="C1008" s="12" t="s">
        <v>118</v>
      </c>
      <c r="D1008" s="13" t="str">
        <f>HYPERLINK("https://www.marklines.com/en/global/9509","DFSK Motor Co., Ltd., Chongqing Branch")</f>
        <v>DFSK Motor Co., Ltd., Chongqing Branch</v>
      </c>
      <c r="E1008" s="12" t="s">
        <v>180</v>
      </c>
      <c r="F1008" s="12" t="s">
        <v>20</v>
      </c>
      <c r="G1008" s="12" t="s">
        <v>27</v>
      </c>
      <c r="H1008" s="12" t="s">
        <v>29</v>
      </c>
      <c r="I1008" s="14">
        <v>45223</v>
      </c>
      <c r="J1008" s="12" t="s">
        <v>779</v>
      </c>
    </row>
    <row r="1009" spans="1:10" s="15" customFormat="1" x14ac:dyDescent="0.15">
      <c r="A1009" s="11">
        <v>45224</v>
      </c>
      <c r="B1009" s="12" t="s">
        <v>117</v>
      </c>
      <c r="C1009" s="12" t="s">
        <v>117</v>
      </c>
      <c r="D1009" s="13" t="str">
        <f>HYPERLINK("https://www.marklines.com/en/global/9509","DFSK Motor Co., Ltd., Chongqing Branch")</f>
        <v>DFSK Motor Co., Ltd., Chongqing Branch</v>
      </c>
      <c r="E1009" s="12" t="s">
        <v>180</v>
      </c>
      <c r="F1009" s="12" t="s">
        <v>20</v>
      </c>
      <c r="G1009" s="12" t="s">
        <v>27</v>
      </c>
      <c r="H1009" s="12" t="s">
        <v>29</v>
      </c>
      <c r="I1009" s="14">
        <v>45223</v>
      </c>
      <c r="J1009" s="12" t="s">
        <v>779</v>
      </c>
    </row>
    <row r="1010" spans="1:10" s="15" customFormat="1" x14ac:dyDescent="0.15">
      <c r="A1010" s="11">
        <v>45224</v>
      </c>
      <c r="B1010" s="12" t="s">
        <v>35</v>
      </c>
      <c r="C1010" s="12" t="s">
        <v>35</v>
      </c>
      <c r="D1010" s="13" t="str">
        <f>HYPERLINK("https://www.marklines.com/en/global/1061","Pak Suzuki Motor Co., Ltd. (PSMCL), Karachi Plant")</f>
        <v>Pak Suzuki Motor Co., Ltd. (PSMCL), Karachi Plant</v>
      </c>
      <c r="E1010" s="12" t="s">
        <v>474</v>
      </c>
      <c r="F1010" s="12" t="s">
        <v>25</v>
      </c>
      <c r="G1010" s="12" t="s">
        <v>82</v>
      </c>
      <c r="H1010" s="12"/>
      <c r="I1010" s="14">
        <v>45223</v>
      </c>
      <c r="J1010" s="12" t="s">
        <v>781</v>
      </c>
    </row>
    <row r="1011" spans="1:10" s="15" customFormat="1" x14ac:dyDescent="0.15">
      <c r="A1011" s="11">
        <v>45224</v>
      </c>
      <c r="B1011" s="12" t="s">
        <v>12</v>
      </c>
      <c r="C1011" s="12" t="s">
        <v>19</v>
      </c>
      <c r="D1011" s="13" t="str">
        <f>HYPERLINK("https://www.marklines.com/en/global/2525","General Motors, Arlington Assembly Plant")</f>
        <v>General Motors, Arlington Assembly Plant</v>
      </c>
      <c r="E1011" s="12" t="s">
        <v>782</v>
      </c>
      <c r="F1011" s="12" t="s">
        <v>16</v>
      </c>
      <c r="G1011" s="12" t="s">
        <v>11</v>
      </c>
      <c r="H1011" s="12" t="s">
        <v>256</v>
      </c>
      <c r="I1011" s="14">
        <v>45223</v>
      </c>
      <c r="J1011" s="12" t="s">
        <v>783</v>
      </c>
    </row>
    <row r="1012" spans="1:10" s="15" customFormat="1" x14ac:dyDescent="0.15">
      <c r="A1012" s="11">
        <v>45224</v>
      </c>
      <c r="B1012" s="12" t="s">
        <v>12</v>
      </c>
      <c r="C1012" s="12" t="s">
        <v>529</v>
      </c>
      <c r="D1012" s="13" t="str">
        <f>HYPERLINK("https://www.marklines.com/en/global/2525","General Motors, Arlington Assembly Plant")</f>
        <v>General Motors, Arlington Assembly Plant</v>
      </c>
      <c r="E1012" s="12" t="s">
        <v>782</v>
      </c>
      <c r="F1012" s="12" t="s">
        <v>16</v>
      </c>
      <c r="G1012" s="12" t="s">
        <v>11</v>
      </c>
      <c r="H1012" s="12" t="s">
        <v>256</v>
      </c>
      <c r="I1012" s="14">
        <v>45223</v>
      </c>
      <c r="J1012" s="12" t="s">
        <v>783</v>
      </c>
    </row>
    <row r="1013" spans="1:10" s="15" customFormat="1" x14ac:dyDescent="0.15">
      <c r="A1013" s="11">
        <v>45224</v>
      </c>
      <c r="B1013" s="12" t="s">
        <v>12</v>
      </c>
      <c r="C1013" s="12" t="s">
        <v>530</v>
      </c>
      <c r="D1013" s="13" t="str">
        <f>HYPERLINK("https://www.marklines.com/en/global/2525","General Motors, Arlington Assembly Plant")</f>
        <v>General Motors, Arlington Assembly Plant</v>
      </c>
      <c r="E1013" s="12" t="s">
        <v>782</v>
      </c>
      <c r="F1013" s="12" t="s">
        <v>16</v>
      </c>
      <c r="G1013" s="12" t="s">
        <v>11</v>
      </c>
      <c r="H1013" s="12" t="s">
        <v>256</v>
      </c>
      <c r="I1013" s="14">
        <v>45223</v>
      </c>
      <c r="J1013" s="12" t="s">
        <v>783</v>
      </c>
    </row>
    <row r="1014" spans="1:10" s="15" customFormat="1" x14ac:dyDescent="0.15">
      <c r="A1014" s="11">
        <v>45224</v>
      </c>
      <c r="B1014" s="12" t="s">
        <v>12</v>
      </c>
      <c r="C1014" s="12" t="s">
        <v>12</v>
      </c>
      <c r="D1014" s="13" t="str">
        <f>HYPERLINK("https://www.marklines.com/en/global/10756","GM-Samsung SDI, Battery Cell Plant (tentative name）")</f>
        <v>GM-Samsung SDI, Battery Cell Plant (tentative name）</v>
      </c>
      <c r="E1014" s="12" t="s">
        <v>784</v>
      </c>
      <c r="F1014" s="12" t="s">
        <v>16</v>
      </c>
      <c r="G1014" s="12" t="s">
        <v>11</v>
      </c>
      <c r="H1014" s="12" t="s">
        <v>296</v>
      </c>
      <c r="I1014" s="14">
        <v>45223</v>
      </c>
      <c r="J1014" s="12" t="s">
        <v>785</v>
      </c>
    </row>
    <row r="1015" spans="1:10" s="15" customFormat="1" x14ac:dyDescent="0.15">
      <c r="A1015" s="11">
        <v>45224</v>
      </c>
      <c r="B1015" s="12" t="s">
        <v>12</v>
      </c>
      <c r="C1015" s="12" t="s">
        <v>12</v>
      </c>
      <c r="D1015" s="13" t="str">
        <f>HYPERLINK("https://www.marklines.com/en/global/10564","Ultium Cells LLC, Lansing Plant")</f>
        <v>Ultium Cells LLC, Lansing Plant</v>
      </c>
      <c r="E1015" s="12" t="s">
        <v>786</v>
      </c>
      <c r="F1015" s="12" t="s">
        <v>16</v>
      </c>
      <c r="G1015" s="12" t="s">
        <v>11</v>
      </c>
      <c r="H1015" s="12" t="s">
        <v>40</v>
      </c>
      <c r="I1015" s="14">
        <v>45223</v>
      </c>
      <c r="J1015" s="12" t="s">
        <v>785</v>
      </c>
    </row>
    <row r="1016" spans="1:10" s="15" customFormat="1" x14ac:dyDescent="0.15">
      <c r="A1016" s="11">
        <v>45224</v>
      </c>
      <c r="B1016" s="12" t="s">
        <v>12</v>
      </c>
      <c r="C1016" s="12" t="s">
        <v>12</v>
      </c>
      <c r="D1016" s="13" t="str">
        <f>HYPERLINK("https://www.marklines.com/en/global/9976","Ultium Cells LLC, Warren Plant ")</f>
        <v xml:space="preserve">Ultium Cells LLC, Warren Plant </v>
      </c>
      <c r="E1016" s="12" t="s">
        <v>625</v>
      </c>
      <c r="F1016" s="12" t="s">
        <v>16</v>
      </c>
      <c r="G1016" s="12" t="s">
        <v>11</v>
      </c>
      <c r="H1016" s="12" t="s">
        <v>101</v>
      </c>
      <c r="I1016" s="14">
        <v>45223</v>
      </c>
      <c r="J1016" s="12" t="s">
        <v>785</v>
      </c>
    </row>
    <row r="1017" spans="1:10" s="15" customFormat="1" x14ac:dyDescent="0.15">
      <c r="A1017" s="11">
        <v>45224</v>
      </c>
      <c r="B1017" s="12" t="s">
        <v>12</v>
      </c>
      <c r="C1017" s="12" t="s">
        <v>12</v>
      </c>
      <c r="D1017" s="13" t="str">
        <f>HYPERLINK("https://www.marklines.com/en/global/10475","Ultium Cells LLC, Spring Hill Plant ")</f>
        <v xml:space="preserve">Ultium Cells LLC, Spring Hill Plant </v>
      </c>
      <c r="E1017" s="12" t="s">
        <v>687</v>
      </c>
      <c r="F1017" s="12" t="s">
        <v>16</v>
      </c>
      <c r="G1017" s="12" t="s">
        <v>11</v>
      </c>
      <c r="H1017" s="12" t="s">
        <v>490</v>
      </c>
      <c r="I1017" s="14">
        <v>45223</v>
      </c>
      <c r="J1017" s="12" t="s">
        <v>785</v>
      </c>
    </row>
    <row r="1018" spans="1:10" s="15" customFormat="1" x14ac:dyDescent="0.15">
      <c r="A1018" s="11">
        <v>45224</v>
      </c>
      <c r="B1018" s="12" t="s">
        <v>13</v>
      </c>
      <c r="C1018" s="12" t="s">
        <v>13</v>
      </c>
      <c r="D1018" s="13" t="str">
        <f>HYPERLINK("https://www.marklines.com/en/global/1815","Steyr Automotive GmbH, Steyr Plant (formerly MAN Truck &amp; Bus Oesterreich GmbH)")</f>
        <v>Steyr Automotive GmbH, Steyr Plant (formerly MAN Truck &amp; Bus Oesterreich GmbH)</v>
      </c>
      <c r="E1018" s="12" t="s">
        <v>575</v>
      </c>
      <c r="F1018" s="12" t="s">
        <v>17</v>
      </c>
      <c r="G1018" s="12" t="s">
        <v>58</v>
      </c>
      <c r="H1018" s="12"/>
      <c r="I1018" s="14">
        <v>45222</v>
      </c>
      <c r="J1018" s="12" t="s">
        <v>787</v>
      </c>
    </row>
    <row r="1019" spans="1:10" s="15" customFormat="1" x14ac:dyDescent="0.15">
      <c r="A1019" s="11">
        <v>45224</v>
      </c>
      <c r="B1019" s="12" t="s">
        <v>111</v>
      </c>
      <c r="C1019" s="12" t="s">
        <v>698</v>
      </c>
      <c r="D1019" s="13" t="str">
        <f>HYPERLINK("https://www.marklines.com/en/global/2325","Jaguar Land Rover Automotive Plc")</f>
        <v>Jaguar Land Rover Automotive Plc</v>
      </c>
      <c r="E1019" s="12" t="s">
        <v>788</v>
      </c>
      <c r="F1019" s="12" t="s">
        <v>17</v>
      </c>
      <c r="G1019" s="12" t="s">
        <v>47</v>
      </c>
      <c r="H1019" s="12"/>
      <c r="I1019" s="14">
        <v>45222</v>
      </c>
      <c r="J1019" s="12" t="s">
        <v>789</v>
      </c>
    </row>
    <row r="1020" spans="1:10" s="15" customFormat="1" x14ac:dyDescent="0.15">
      <c r="A1020" s="11">
        <v>45224</v>
      </c>
      <c r="B1020" s="12" t="s">
        <v>111</v>
      </c>
      <c r="C1020" s="12" t="s">
        <v>701</v>
      </c>
      <c r="D1020" s="13" t="str">
        <f>HYPERLINK("https://www.marklines.com/en/global/2325","Jaguar Land Rover Automotive Plc")</f>
        <v>Jaguar Land Rover Automotive Plc</v>
      </c>
      <c r="E1020" s="12" t="s">
        <v>788</v>
      </c>
      <c r="F1020" s="12" t="s">
        <v>17</v>
      </c>
      <c r="G1020" s="12" t="s">
        <v>47</v>
      </c>
      <c r="H1020" s="12"/>
      <c r="I1020" s="14">
        <v>45222</v>
      </c>
      <c r="J1020" s="12" t="s">
        <v>789</v>
      </c>
    </row>
    <row r="1021" spans="1:10" s="15" customFormat="1" x14ac:dyDescent="0.15">
      <c r="A1021" s="11">
        <v>45224</v>
      </c>
      <c r="B1021" s="12" t="s">
        <v>111</v>
      </c>
      <c r="C1021" s="12" t="s">
        <v>112</v>
      </c>
      <c r="D1021" s="13" t="str">
        <f>HYPERLINK("https://www.marklines.com/en/global/1263","Tata Motors, Pune Plant")</f>
        <v>Tata Motors, Pune Plant</v>
      </c>
      <c r="E1021" s="12" t="s">
        <v>790</v>
      </c>
      <c r="F1021" s="12" t="s">
        <v>25</v>
      </c>
      <c r="G1021" s="12" t="s">
        <v>26</v>
      </c>
      <c r="H1021" s="12" t="s">
        <v>113</v>
      </c>
      <c r="I1021" s="14">
        <v>45222</v>
      </c>
      <c r="J1021" s="12" t="s">
        <v>791</v>
      </c>
    </row>
    <row r="1022" spans="1:10" s="15" customFormat="1" x14ac:dyDescent="0.15">
      <c r="A1022" s="11">
        <v>45224</v>
      </c>
      <c r="B1022" s="12" t="s">
        <v>13</v>
      </c>
      <c r="C1022" s="12" t="s">
        <v>13</v>
      </c>
      <c r="D1022" s="13" t="str">
        <f>HYPERLINK("https://www.marklines.com/en/global/10508","Omega Seiki Mobility, Visakhapatnam plant")</f>
        <v>Omega Seiki Mobility, Visakhapatnam plant</v>
      </c>
      <c r="E1022" s="12" t="s">
        <v>792</v>
      </c>
      <c r="F1022" s="12" t="s">
        <v>25</v>
      </c>
      <c r="G1022" s="12" t="s">
        <v>26</v>
      </c>
      <c r="H1022" s="12" t="s">
        <v>793</v>
      </c>
      <c r="I1022" s="14">
        <v>45219</v>
      </c>
      <c r="J1022" s="12" t="s">
        <v>794</v>
      </c>
    </row>
    <row r="1023" spans="1:10" s="15" customFormat="1" x14ac:dyDescent="0.15">
      <c r="A1023" s="11">
        <v>45224</v>
      </c>
      <c r="B1023" s="12" t="s">
        <v>321</v>
      </c>
      <c r="C1023" s="12" t="s">
        <v>321</v>
      </c>
      <c r="D1023" s="13" t="str">
        <f>HYPERLINK("https://www.marklines.com/en/global/3415","Beijing Automotive Group Co., Ltd.")</f>
        <v>Beijing Automotive Group Co., Ltd.</v>
      </c>
      <c r="E1023" s="12" t="s">
        <v>795</v>
      </c>
      <c r="F1023" s="12" t="s">
        <v>20</v>
      </c>
      <c r="G1023" s="12" t="s">
        <v>27</v>
      </c>
      <c r="H1023" s="12" t="s">
        <v>456</v>
      </c>
      <c r="I1023" s="14">
        <v>45217</v>
      </c>
      <c r="J1023" s="12" t="s">
        <v>796</v>
      </c>
    </row>
    <row r="1024" spans="1:10" s="15" customFormat="1" x14ac:dyDescent="0.15">
      <c r="A1024" s="11">
        <v>45224</v>
      </c>
      <c r="B1024" s="12" t="s">
        <v>31</v>
      </c>
      <c r="C1024" s="12" t="s">
        <v>31</v>
      </c>
      <c r="D1024" s="13" t="str">
        <f>HYPERLINK("https://www.marklines.com/en/global/2207","BMW AG, Dingolfing Plant")</f>
        <v>BMW AG, Dingolfing Plant</v>
      </c>
      <c r="E1024" s="12" t="s">
        <v>702</v>
      </c>
      <c r="F1024" s="12" t="s">
        <v>17</v>
      </c>
      <c r="G1024" s="12" t="s">
        <v>21</v>
      </c>
      <c r="H1024" s="12"/>
      <c r="I1024" s="14">
        <v>45212</v>
      </c>
      <c r="J1024" s="12" t="s">
        <v>797</v>
      </c>
    </row>
    <row r="1025" spans="1:10" s="15" customFormat="1" x14ac:dyDescent="0.15">
      <c r="A1025" s="11">
        <v>45223</v>
      </c>
      <c r="B1025" s="12" t="s">
        <v>65</v>
      </c>
      <c r="C1025" s="12" t="s">
        <v>798</v>
      </c>
      <c r="D1025" s="13" t="str">
        <f>HYPERLINK("https://www.marklines.com/en/global/2641","Stellantis, FCA US, Sterling Heights Assembly Plant")</f>
        <v>Stellantis, FCA US, Sterling Heights Assembly Plant</v>
      </c>
      <c r="E1025" s="12" t="s">
        <v>799</v>
      </c>
      <c r="F1025" s="12" t="s">
        <v>16</v>
      </c>
      <c r="G1025" s="12" t="s">
        <v>11</v>
      </c>
      <c r="H1025" s="12" t="s">
        <v>40</v>
      </c>
      <c r="I1025" s="14">
        <v>45222</v>
      </c>
      <c r="J1025" s="12" t="s">
        <v>800</v>
      </c>
    </row>
    <row r="1026" spans="1:10" s="15" customFormat="1" x14ac:dyDescent="0.15">
      <c r="A1026" s="11">
        <v>45223</v>
      </c>
      <c r="B1026" s="12" t="s">
        <v>24</v>
      </c>
      <c r="C1026" s="12" t="s">
        <v>24</v>
      </c>
      <c r="D1026" s="13" t="str">
        <f>HYPERLINK("https://www.marklines.com/en/global/2571","Ford Motor, Rawsonville Components Plant")</f>
        <v>Ford Motor, Rawsonville Components Plant</v>
      </c>
      <c r="E1026" s="12" t="s">
        <v>584</v>
      </c>
      <c r="F1026" s="12" t="s">
        <v>16</v>
      </c>
      <c r="G1026" s="12" t="s">
        <v>11</v>
      </c>
      <c r="H1026" s="12" t="s">
        <v>40</v>
      </c>
      <c r="I1026" s="14">
        <v>45221</v>
      </c>
      <c r="J1026" s="12" t="s">
        <v>801</v>
      </c>
    </row>
    <row r="1027" spans="1:10" s="15" customFormat="1" x14ac:dyDescent="0.15">
      <c r="A1027" s="11">
        <v>45223</v>
      </c>
      <c r="B1027" s="12" t="s">
        <v>24</v>
      </c>
      <c r="C1027" s="12" t="s">
        <v>24</v>
      </c>
      <c r="D1027" s="13" t="str">
        <f>HYPERLINK("https://www.marklines.com/en/global/2575","Ford Motor, Sterling Axle Plant")</f>
        <v>Ford Motor, Sterling Axle Plant</v>
      </c>
      <c r="E1027" s="12" t="s">
        <v>155</v>
      </c>
      <c r="F1027" s="12" t="s">
        <v>16</v>
      </c>
      <c r="G1027" s="12" t="s">
        <v>11</v>
      </c>
      <c r="H1027" s="12" t="s">
        <v>40</v>
      </c>
      <c r="I1027" s="14">
        <v>45221</v>
      </c>
      <c r="J1027" s="12" t="s">
        <v>801</v>
      </c>
    </row>
    <row r="1028" spans="1:10" s="15" customFormat="1" x14ac:dyDescent="0.15">
      <c r="A1028" s="11">
        <v>45223</v>
      </c>
      <c r="B1028" s="12" t="s">
        <v>24</v>
      </c>
      <c r="C1028" s="12" t="s">
        <v>24</v>
      </c>
      <c r="D1028" s="13" t="str">
        <f>HYPERLINK("https://www.marklines.com/en/global/2591","Ford Motor, Sharonville Transmission Plant")</f>
        <v>Ford Motor, Sharonville Transmission Plant</v>
      </c>
      <c r="E1028" s="12" t="s">
        <v>585</v>
      </c>
      <c r="F1028" s="12" t="s">
        <v>16</v>
      </c>
      <c r="G1028" s="12" t="s">
        <v>11</v>
      </c>
      <c r="H1028" s="12" t="s">
        <v>101</v>
      </c>
      <c r="I1028" s="14">
        <v>45221</v>
      </c>
      <c r="J1028" s="12" t="s">
        <v>801</v>
      </c>
    </row>
    <row r="1029" spans="1:10" s="15" customFormat="1" x14ac:dyDescent="0.15">
      <c r="A1029" s="11">
        <v>45223</v>
      </c>
      <c r="B1029" s="12" t="s">
        <v>24</v>
      </c>
      <c r="C1029" s="12" t="s">
        <v>24</v>
      </c>
      <c r="D1029" s="13" t="str">
        <f>HYPERLINK("https://www.marklines.com/en/global/2607","Ford Motor, Kentucky Truck Plant")</f>
        <v>Ford Motor, Kentucky Truck Plant</v>
      </c>
      <c r="E1029" s="12" t="s">
        <v>253</v>
      </c>
      <c r="F1029" s="12" t="s">
        <v>16</v>
      </c>
      <c r="G1029" s="12" t="s">
        <v>11</v>
      </c>
      <c r="H1029" s="12" t="s">
        <v>90</v>
      </c>
      <c r="I1029" s="14">
        <v>45221</v>
      </c>
      <c r="J1029" s="12" t="s">
        <v>801</v>
      </c>
    </row>
    <row r="1030" spans="1:10" s="15" customFormat="1" x14ac:dyDescent="0.15">
      <c r="A1030" s="11">
        <v>45223</v>
      </c>
      <c r="B1030" s="12" t="s">
        <v>12</v>
      </c>
      <c r="C1030" s="12" t="s">
        <v>12</v>
      </c>
      <c r="D1030" s="13" t="str">
        <f>HYPERLINK("https://www.marklines.com/en/global/9976","Ultium Cells LLC, Warren Plant ")</f>
        <v xml:space="preserve">Ultium Cells LLC, Warren Plant </v>
      </c>
      <c r="E1030" s="12" t="s">
        <v>625</v>
      </c>
      <c r="F1030" s="12" t="s">
        <v>16</v>
      </c>
      <c r="G1030" s="12" t="s">
        <v>11</v>
      </c>
      <c r="H1030" s="12" t="s">
        <v>101</v>
      </c>
      <c r="I1030" s="14">
        <v>45221</v>
      </c>
      <c r="J1030" s="12" t="s">
        <v>802</v>
      </c>
    </row>
    <row r="1031" spans="1:10" s="15" customFormat="1" x14ac:dyDescent="0.15">
      <c r="A1031" s="11">
        <v>45223</v>
      </c>
      <c r="B1031" s="12" t="s">
        <v>33</v>
      </c>
      <c r="C1031" s="12" t="s">
        <v>44</v>
      </c>
      <c r="D1031" s="13" t="str">
        <f>HYPERLINK("https://www.marklines.com/en/global/10717","Volkswagen Innovation Hub Knoxville")</f>
        <v>Volkswagen Innovation Hub Knoxville</v>
      </c>
      <c r="E1031" s="12" t="s">
        <v>803</v>
      </c>
      <c r="F1031" s="12" t="s">
        <v>16</v>
      </c>
      <c r="G1031" s="12" t="s">
        <v>11</v>
      </c>
      <c r="H1031" s="12" t="s">
        <v>490</v>
      </c>
      <c r="I1031" s="14">
        <v>45219</v>
      </c>
      <c r="J1031" s="12" t="s">
        <v>804</v>
      </c>
    </row>
    <row r="1032" spans="1:10" s="15" customFormat="1" x14ac:dyDescent="0.15">
      <c r="A1032" s="11">
        <v>45223</v>
      </c>
      <c r="B1032" s="12" t="s">
        <v>366</v>
      </c>
      <c r="C1032" s="12" t="s">
        <v>622</v>
      </c>
      <c r="D1032" s="13" t="str">
        <f>HYPERLINK("https://www.marklines.com/en/global/9824","GAC Aion New Energy Automobile Co., Ltd.")</f>
        <v>GAC Aion New Energy Automobile Co., Ltd.</v>
      </c>
      <c r="E1032" s="12" t="s">
        <v>623</v>
      </c>
      <c r="F1032" s="12" t="s">
        <v>20</v>
      </c>
      <c r="G1032" s="12" t="s">
        <v>27</v>
      </c>
      <c r="H1032" s="12" t="s">
        <v>357</v>
      </c>
      <c r="I1032" s="14">
        <v>45218</v>
      </c>
      <c r="J1032" s="12" t="s">
        <v>805</v>
      </c>
    </row>
    <row r="1033" spans="1:10" s="15" customFormat="1" x14ac:dyDescent="0.15">
      <c r="A1033" s="11">
        <v>45223</v>
      </c>
      <c r="B1033" s="12" t="s">
        <v>45</v>
      </c>
      <c r="C1033" s="12" t="s">
        <v>603</v>
      </c>
      <c r="D1033" s="13" t="str">
        <f>HYPERLINK("https://www.marklines.com/en/global/3983","Dongfeng Peugeot Citroen Automobile Co., Ltd. (DPCA)")</f>
        <v>Dongfeng Peugeot Citroen Automobile Co., Ltd. (DPCA)</v>
      </c>
      <c r="E1033" s="12" t="s">
        <v>806</v>
      </c>
      <c r="F1033" s="12" t="s">
        <v>20</v>
      </c>
      <c r="G1033" s="12" t="s">
        <v>27</v>
      </c>
      <c r="H1033" s="12" t="s">
        <v>554</v>
      </c>
      <c r="I1033" s="14">
        <v>45218</v>
      </c>
      <c r="J1033" s="12" t="s">
        <v>807</v>
      </c>
    </row>
    <row r="1034" spans="1:10" s="15" customFormat="1" x14ac:dyDescent="0.15">
      <c r="A1034" s="11">
        <v>45223</v>
      </c>
      <c r="B1034" s="12" t="s">
        <v>45</v>
      </c>
      <c r="C1034" s="12" t="s">
        <v>515</v>
      </c>
      <c r="D1034" s="13" t="str">
        <f>HYPERLINK("https://www.marklines.com/en/global/3983","Dongfeng Peugeot Citroen Automobile Co., Ltd. (DPCA)")</f>
        <v>Dongfeng Peugeot Citroen Automobile Co., Ltd. (DPCA)</v>
      </c>
      <c r="E1034" s="12" t="s">
        <v>806</v>
      </c>
      <c r="F1034" s="12" t="s">
        <v>20</v>
      </c>
      <c r="G1034" s="12" t="s">
        <v>27</v>
      </c>
      <c r="H1034" s="12" t="s">
        <v>554</v>
      </c>
      <c r="I1034" s="14">
        <v>45218</v>
      </c>
      <c r="J1034" s="12" t="s">
        <v>807</v>
      </c>
    </row>
    <row r="1035" spans="1:10" s="15" customFormat="1" x14ac:dyDescent="0.15">
      <c r="A1035" s="11">
        <v>45223</v>
      </c>
      <c r="B1035" s="12" t="s">
        <v>551</v>
      </c>
      <c r="C1035" s="12" t="s">
        <v>551</v>
      </c>
      <c r="D1035" s="13" t="str">
        <f>HYPERLINK("https://www.marklines.com/en/global/3973","Dongfeng Motor Group Co., Ltd.")</f>
        <v>Dongfeng Motor Group Co., Ltd.</v>
      </c>
      <c r="E1035" s="12" t="s">
        <v>808</v>
      </c>
      <c r="F1035" s="12" t="s">
        <v>20</v>
      </c>
      <c r="G1035" s="12" t="s">
        <v>27</v>
      </c>
      <c r="H1035" s="12" t="s">
        <v>554</v>
      </c>
      <c r="I1035" s="14">
        <v>45218</v>
      </c>
      <c r="J1035" s="12" t="s">
        <v>807</v>
      </c>
    </row>
    <row r="1036" spans="1:10" s="15" customFormat="1" x14ac:dyDescent="0.15">
      <c r="A1036" s="11">
        <v>45223</v>
      </c>
      <c r="B1036" s="12" t="s">
        <v>551</v>
      </c>
      <c r="C1036" s="12" t="s">
        <v>551</v>
      </c>
      <c r="D1036" s="13" t="str">
        <f>HYPERLINK("https://www.marklines.com/en/global/3983","Dongfeng Peugeot Citroen Automobile Co., Ltd. (DPCA)")</f>
        <v>Dongfeng Peugeot Citroen Automobile Co., Ltd. (DPCA)</v>
      </c>
      <c r="E1036" s="12" t="s">
        <v>806</v>
      </c>
      <c r="F1036" s="12" t="s">
        <v>20</v>
      </c>
      <c r="G1036" s="12" t="s">
        <v>27</v>
      </c>
      <c r="H1036" s="12" t="s">
        <v>554</v>
      </c>
      <c r="I1036" s="14">
        <v>45218</v>
      </c>
      <c r="J1036" s="12" t="s">
        <v>807</v>
      </c>
    </row>
    <row r="1037" spans="1:10" s="15" customFormat="1" x14ac:dyDescent="0.15">
      <c r="A1037" s="11">
        <v>45223</v>
      </c>
      <c r="B1037" s="12" t="s">
        <v>36</v>
      </c>
      <c r="C1037" s="12" t="s">
        <v>809</v>
      </c>
      <c r="D1037" s="13" t="str">
        <f>HYPERLINK("https://www.marklines.com/en/global/10420","Great Wall Motor Co., Ltd. Jingmen Branch")</f>
        <v>Great Wall Motor Co., Ltd. Jingmen Branch</v>
      </c>
      <c r="E1037" s="12" t="s">
        <v>810</v>
      </c>
      <c r="F1037" s="12" t="s">
        <v>20</v>
      </c>
      <c r="G1037" s="12" t="s">
        <v>27</v>
      </c>
      <c r="H1037" s="12" t="s">
        <v>554</v>
      </c>
      <c r="I1037" s="14">
        <v>45218</v>
      </c>
      <c r="J1037" s="12" t="s">
        <v>811</v>
      </c>
    </row>
    <row r="1038" spans="1:10" s="15" customFormat="1" x14ac:dyDescent="0.15">
      <c r="A1038" s="11">
        <v>45223</v>
      </c>
      <c r="B1038" s="12" t="s">
        <v>595</v>
      </c>
      <c r="C1038" s="12" t="s">
        <v>596</v>
      </c>
      <c r="D1038" s="13" t="str">
        <f>HYPERLINK("https://www.marklines.com/en/global/995","Proton, Shah Alam Plant")</f>
        <v>Proton, Shah Alam Plant</v>
      </c>
      <c r="E1038" s="12" t="s">
        <v>599</v>
      </c>
      <c r="F1038" s="12" t="s">
        <v>34</v>
      </c>
      <c r="G1038" s="12" t="s">
        <v>538</v>
      </c>
      <c r="H1038" s="12"/>
      <c r="I1038" s="14">
        <v>45217</v>
      </c>
      <c r="J1038" s="12" t="s">
        <v>812</v>
      </c>
    </row>
    <row r="1039" spans="1:10" s="15" customFormat="1" x14ac:dyDescent="0.15">
      <c r="A1039" s="11">
        <v>45223</v>
      </c>
      <c r="B1039" s="12" t="s">
        <v>400</v>
      </c>
      <c r="C1039" s="12" t="s">
        <v>400</v>
      </c>
      <c r="D1039" s="13" t="str">
        <f>HYPERLINK("https://www.marklines.com/en/global/995","Proton, Shah Alam Plant")</f>
        <v>Proton, Shah Alam Plant</v>
      </c>
      <c r="E1039" s="12" t="s">
        <v>599</v>
      </c>
      <c r="F1039" s="12" t="s">
        <v>34</v>
      </c>
      <c r="G1039" s="12" t="s">
        <v>538</v>
      </c>
      <c r="H1039" s="12"/>
      <c r="I1039" s="14">
        <v>45217</v>
      </c>
      <c r="J1039" s="12" t="s">
        <v>812</v>
      </c>
    </row>
    <row r="1040" spans="1:10" s="15" customFormat="1" x14ac:dyDescent="0.15">
      <c r="A1040" s="11">
        <v>45223</v>
      </c>
      <c r="B1040" s="12" t="s">
        <v>408</v>
      </c>
      <c r="C1040" s="12" t="s">
        <v>408</v>
      </c>
      <c r="D1040" s="13" t="str">
        <f>HYPERLINK("https://www.marklines.com/en/global/9481","SAIC Motor Corporation Limited Passenger Vehicle Zhengzhou Branch")</f>
        <v>SAIC Motor Corporation Limited Passenger Vehicle Zhengzhou Branch</v>
      </c>
      <c r="E1040" s="12" t="s">
        <v>813</v>
      </c>
      <c r="F1040" s="12" t="s">
        <v>20</v>
      </c>
      <c r="G1040" s="12" t="s">
        <v>27</v>
      </c>
      <c r="H1040" s="12" t="s">
        <v>404</v>
      </c>
      <c r="I1040" s="14">
        <v>45217</v>
      </c>
      <c r="J1040" s="12" t="s">
        <v>814</v>
      </c>
    </row>
    <row r="1041" spans="1:10" s="15" customFormat="1" x14ac:dyDescent="0.15">
      <c r="A1041" s="11">
        <v>45223</v>
      </c>
      <c r="B1041" s="12" t="s">
        <v>316</v>
      </c>
      <c r="C1041" s="12" t="s">
        <v>316</v>
      </c>
      <c r="D1041" s="13" t="str">
        <f>HYPERLINK("https://www.marklines.com/en/global/10528","BYD Automobile Industry Co., Ltd., Huaian Branch")</f>
        <v>BYD Automobile Industry Co., Ltd., Huaian Branch</v>
      </c>
      <c r="E1041" s="12" t="s">
        <v>815</v>
      </c>
      <c r="F1041" s="12" t="s">
        <v>20</v>
      </c>
      <c r="G1041" s="12" t="s">
        <v>27</v>
      </c>
      <c r="H1041" s="12" t="s">
        <v>278</v>
      </c>
      <c r="I1041" s="14">
        <v>45217</v>
      </c>
      <c r="J1041" s="12" t="s">
        <v>816</v>
      </c>
    </row>
    <row r="1042" spans="1:10" s="15" customFormat="1" x14ac:dyDescent="0.15">
      <c r="A1042" s="11">
        <v>45223</v>
      </c>
      <c r="B1042" s="12" t="s">
        <v>316</v>
      </c>
      <c r="C1042" s="12" t="s">
        <v>316</v>
      </c>
      <c r="D1042" s="13" t="str">
        <f>HYPERLINK("https://www.marklines.com/en/global/4125","BYD Automobile Industry Co., Ltd., Shenzhen Plant")</f>
        <v>BYD Automobile Industry Co., Ltd., Shenzhen Plant</v>
      </c>
      <c r="E1042" s="12" t="s">
        <v>356</v>
      </c>
      <c r="F1042" s="12" t="s">
        <v>20</v>
      </c>
      <c r="G1042" s="12" t="s">
        <v>27</v>
      </c>
      <c r="H1042" s="12" t="s">
        <v>357</v>
      </c>
      <c r="I1042" s="14">
        <v>45217</v>
      </c>
      <c r="J1042" s="12" t="s">
        <v>816</v>
      </c>
    </row>
    <row r="1043" spans="1:10" s="15" customFormat="1" x14ac:dyDescent="0.15">
      <c r="A1043" s="11">
        <v>45223</v>
      </c>
      <c r="B1043" s="12" t="s">
        <v>344</v>
      </c>
      <c r="C1043" s="12" t="s">
        <v>345</v>
      </c>
      <c r="D1043" s="13" t="str">
        <f>HYPERLINK("https://www.marklines.com/en/global/9538","Hozon New Energy Automobile Co., Ltd. (formerly Zhejiang Hozon New Energy Automobile Co., Ltd.)")</f>
        <v>Hozon New Energy Automobile Co., Ltd. (formerly Zhejiang Hozon New Energy Automobile Co., Ltd.)</v>
      </c>
      <c r="E1043" s="12" t="s">
        <v>360</v>
      </c>
      <c r="F1043" s="12" t="s">
        <v>20</v>
      </c>
      <c r="G1043" s="12" t="s">
        <v>27</v>
      </c>
      <c r="H1043" s="12" t="s">
        <v>342</v>
      </c>
      <c r="I1043" s="14">
        <v>45217</v>
      </c>
      <c r="J1043" s="12" t="s">
        <v>817</v>
      </c>
    </row>
    <row r="1044" spans="1:10" s="15" customFormat="1" x14ac:dyDescent="0.15">
      <c r="A1044" s="11">
        <v>45223</v>
      </c>
      <c r="B1044" s="12" t="s">
        <v>33</v>
      </c>
      <c r="C1044" s="12" t="s">
        <v>818</v>
      </c>
      <c r="D1044" s="13" t="str">
        <f>HYPERLINK("https://www.marklines.com/en/global/3172","Navistar, Huntsville Powertrain Manufacturing Plant ")</f>
        <v xml:space="preserve">Navistar, Huntsville Powertrain Manufacturing Plant </v>
      </c>
      <c r="E1044" s="12" t="s">
        <v>819</v>
      </c>
      <c r="F1044" s="12" t="s">
        <v>16</v>
      </c>
      <c r="G1044" s="12" t="s">
        <v>11</v>
      </c>
      <c r="H1044" s="12" t="s">
        <v>260</v>
      </c>
      <c r="I1044" s="14">
        <v>45217</v>
      </c>
      <c r="J1044" s="12" t="s">
        <v>820</v>
      </c>
    </row>
    <row r="1045" spans="1:10" s="15" customFormat="1" x14ac:dyDescent="0.15">
      <c r="A1045" s="11">
        <v>45223</v>
      </c>
      <c r="B1045" s="12" t="s">
        <v>15</v>
      </c>
      <c r="C1045" s="12" t="s">
        <v>15</v>
      </c>
      <c r="D1045" s="13" t="str">
        <f>HYPERLINK("https://www.marklines.com/en/global/2007","Honda Automobile (Thailand), Ayutthaya Plant")</f>
        <v>Honda Automobile (Thailand), Ayutthaya Plant</v>
      </c>
      <c r="E1045" s="12" t="s">
        <v>750</v>
      </c>
      <c r="F1045" s="12" t="s">
        <v>34</v>
      </c>
      <c r="G1045" s="12" t="s">
        <v>71</v>
      </c>
      <c r="H1045" s="12" t="s">
        <v>751</v>
      </c>
      <c r="I1045" s="14">
        <v>45216</v>
      </c>
      <c r="J1045" s="12" t="s">
        <v>821</v>
      </c>
    </row>
    <row r="1046" spans="1:10" s="15" customFormat="1" x14ac:dyDescent="0.15">
      <c r="A1046" s="11">
        <v>45223</v>
      </c>
      <c r="B1046" s="12" t="s">
        <v>400</v>
      </c>
      <c r="C1046" s="12" t="s">
        <v>416</v>
      </c>
      <c r="D1046" s="13" t="str">
        <f>HYPERLINK("https://www.marklines.com/en/global/9345","Geely Sichuan Commercial Vehicle Co., Ltd.")</f>
        <v>Geely Sichuan Commercial Vehicle Co., Ltd.</v>
      </c>
      <c r="E1046" s="12" t="s">
        <v>493</v>
      </c>
      <c r="F1046" s="12" t="s">
        <v>20</v>
      </c>
      <c r="G1046" s="12" t="s">
        <v>27</v>
      </c>
      <c r="H1046" s="12" t="s">
        <v>429</v>
      </c>
      <c r="I1046" s="14">
        <v>45216</v>
      </c>
      <c r="J1046" s="12" t="s">
        <v>822</v>
      </c>
    </row>
    <row r="1047" spans="1:10" s="15" customFormat="1" x14ac:dyDescent="0.15">
      <c r="A1047" s="11">
        <v>45223</v>
      </c>
      <c r="B1047" s="12" t="s">
        <v>36</v>
      </c>
      <c r="C1047" s="12" t="s">
        <v>265</v>
      </c>
      <c r="D1047" s="13" t="str">
        <f>HYPERLINK("https://www.marklines.com/en/global/10395","ADM-Jizzakh (Lada)")</f>
        <v>ADM-Jizzakh (Lada)</v>
      </c>
      <c r="E1047" s="12" t="s">
        <v>823</v>
      </c>
      <c r="F1047" s="12" t="s">
        <v>18</v>
      </c>
      <c r="G1047" s="12" t="s">
        <v>824</v>
      </c>
      <c r="H1047" s="12"/>
      <c r="I1047" s="14">
        <v>45213</v>
      </c>
      <c r="J1047" s="12" t="s">
        <v>825</v>
      </c>
    </row>
    <row r="1048" spans="1:10" s="15" customFormat="1" x14ac:dyDescent="0.15">
      <c r="A1048" s="11">
        <v>45222</v>
      </c>
      <c r="B1048" s="12" t="s">
        <v>217</v>
      </c>
      <c r="C1048" s="12" t="s">
        <v>217</v>
      </c>
      <c r="D1048" s="13" t="str">
        <f>HYPERLINK("https://www.marklines.com/en/global/1109","Ashok Leyland, Pantnagar Plant")</f>
        <v>Ashok Leyland, Pantnagar Plant</v>
      </c>
      <c r="E1048" s="12" t="s">
        <v>826</v>
      </c>
      <c r="F1048" s="12" t="s">
        <v>25</v>
      </c>
      <c r="G1048" s="12" t="s">
        <v>26</v>
      </c>
      <c r="H1048" s="12" t="s">
        <v>827</v>
      </c>
      <c r="I1048" s="14">
        <v>45219</v>
      </c>
      <c r="J1048" s="12" t="s">
        <v>828</v>
      </c>
    </row>
    <row r="1049" spans="1:10" s="15" customFormat="1" x14ac:dyDescent="0.15">
      <c r="A1049" s="11">
        <v>45222</v>
      </c>
      <c r="B1049" s="12" t="s">
        <v>33</v>
      </c>
      <c r="C1049" s="12" t="s">
        <v>44</v>
      </c>
      <c r="D1049" s="13" t="str">
        <f>HYPERLINK("https://www.marklines.com/en/global/10750","Northvolt Drei, Heide Plant (tentative name）")</f>
        <v>Northvolt Drei, Heide Plant (tentative name）</v>
      </c>
      <c r="E1049" s="12" t="s">
        <v>829</v>
      </c>
      <c r="F1049" s="12" t="s">
        <v>17</v>
      </c>
      <c r="G1049" s="12" t="s">
        <v>21</v>
      </c>
      <c r="H1049" s="12"/>
      <c r="I1049" s="14">
        <v>45218</v>
      </c>
      <c r="J1049" s="12" t="s">
        <v>830</v>
      </c>
    </row>
    <row r="1050" spans="1:10" s="15" customFormat="1" x14ac:dyDescent="0.15">
      <c r="A1050" s="11">
        <v>45222</v>
      </c>
      <c r="B1050" s="12" t="s">
        <v>31</v>
      </c>
      <c r="C1050" s="12" t="s">
        <v>31</v>
      </c>
      <c r="D1050" s="13" t="str">
        <f>HYPERLINK("https://www.marklines.com/en/global/10750","Northvolt Drei, Heide Plant (tentative name）")</f>
        <v>Northvolt Drei, Heide Plant (tentative name）</v>
      </c>
      <c r="E1050" s="12" t="s">
        <v>829</v>
      </c>
      <c r="F1050" s="12" t="s">
        <v>17</v>
      </c>
      <c r="G1050" s="12" t="s">
        <v>21</v>
      </c>
      <c r="H1050" s="12"/>
      <c r="I1050" s="14">
        <v>45218</v>
      </c>
      <c r="J1050" s="12" t="s">
        <v>830</v>
      </c>
    </row>
    <row r="1051" spans="1:10" s="15" customFormat="1" x14ac:dyDescent="0.15">
      <c r="A1051" s="11">
        <v>45222</v>
      </c>
      <c r="B1051" s="12" t="s">
        <v>35</v>
      </c>
      <c r="C1051" s="12" t="s">
        <v>35</v>
      </c>
      <c r="D1051" s="13" t="str">
        <f>HYPERLINK("https://www.marklines.com/en/global/1061","Pak Suzuki Motor Co., Ltd. (PSMCL), Karachi Plant")</f>
        <v>Pak Suzuki Motor Co., Ltd. (PSMCL), Karachi Plant</v>
      </c>
      <c r="E1051" s="12" t="s">
        <v>474</v>
      </c>
      <c r="F1051" s="12" t="s">
        <v>25</v>
      </c>
      <c r="G1051" s="12" t="s">
        <v>82</v>
      </c>
      <c r="H1051" s="12"/>
      <c r="I1051" s="14">
        <v>45218</v>
      </c>
      <c r="J1051" s="12" t="s">
        <v>831</v>
      </c>
    </row>
    <row r="1052" spans="1:10" s="15" customFormat="1" x14ac:dyDescent="0.15">
      <c r="A1052" s="11">
        <v>45222</v>
      </c>
      <c r="B1052" s="12" t="s">
        <v>24</v>
      </c>
      <c r="C1052" s="12" t="s">
        <v>24</v>
      </c>
      <c r="D1052" s="13" t="str">
        <f>HYPERLINK("https://www.marklines.com/en/global/1901","Ford Motor Spain, Valencia (Almussafes) Plant")</f>
        <v>Ford Motor Spain, Valencia (Almussafes) Plant</v>
      </c>
      <c r="E1052" s="12" t="s">
        <v>832</v>
      </c>
      <c r="F1052" s="12" t="s">
        <v>17</v>
      </c>
      <c r="G1052" s="12" t="s">
        <v>62</v>
      </c>
      <c r="H1052" s="12"/>
      <c r="I1052" s="14">
        <v>45218</v>
      </c>
      <c r="J1052" s="12" t="s">
        <v>833</v>
      </c>
    </row>
    <row r="1053" spans="1:10" s="15" customFormat="1" x14ac:dyDescent="0.15">
      <c r="A1053" s="11">
        <v>45222</v>
      </c>
      <c r="B1053" s="12" t="s">
        <v>22</v>
      </c>
      <c r="C1053" s="12" t="s">
        <v>22</v>
      </c>
      <c r="D1053" s="13" t="str">
        <f>HYPERLINK("https://www.marklines.com/en/global/375","Toyota Motor, Takaoka Plant")</f>
        <v>Toyota Motor, Takaoka Plant</v>
      </c>
      <c r="E1053" s="12" t="s">
        <v>659</v>
      </c>
      <c r="F1053" s="12" t="s">
        <v>20</v>
      </c>
      <c r="G1053" s="12" t="s">
        <v>23</v>
      </c>
      <c r="H1053" s="12" t="s">
        <v>61</v>
      </c>
      <c r="I1053" s="14">
        <v>45218</v>
      </c>
      <c r="J1053" s="12" t="s">
        <v>834</v>
      </c>
    </row>
    <row r="1054" spans="1:10" s="15" customFormat="1" x14ac:dyDescent="0.15">
      <c r="A1054" s="11">
        <v>45222</v>
      </c>
      <c r="B1054" s="12" t="s">
        <v>22</v>
      </c>
      <c r="C1054" s="12" t="s">
        <v>22</v>
      </c>
      <c r="D1054" s="13" t="str">
        <f>HYPERLINK("https://www.marklines.com/en/global/409","Toyota Auto Body, Fujimatsu Plant")</f>
        <v>Toyota Auto Body, Fujimatsu Plant</v>
      </c>
      <c r="E1054" s="12" t="s">
        <v>661</v>
      </c>
      <c r="F1054" s="12" t="s">
        <v>20</v>
      </c>
      <c r="G1054" s="12" t="s">
        <v>23</v>
      </c>
      <c r="H1054" s="12" t="s">
        <v>61</v>
      </c>
      <c r="I1054" s="14">
        <v>45218</v>
      </c>
      <c r="J1054" s="12" t="s">
        <v>834</v>
      </c>
    </row>
    <row r="1055" spans="1:10" s="15" customFormat="1" x14ac:dyDescent="0.15">
      <c r="A1055" s="11">
        <v>45222</v>
      </c>
      <c r="B1055" s="12" t="s">
        <v>22</v>
      </c>
      <c r="C1055" s="12" t="s">
        <v>22</v>
      </c>
      <c r="D1055" s="13" t="str">
        <f>HYPERLINK("https://www.marklines.com/en/global/411","Toyota Auto Body, Yoshiwara Plant")</f>
        <v>Toyota Auto Body, Yoshiwara Plant</v>
      </c>
      <c r="E1055" s="12" t="s">
        <v>662</v>
      </c>
      <c r="F1055" s="12" t="s">
        <v>20</v>
      </c>
      <c r="G1055" s="12" t="s">
        <v>23</v>
      </c>
      <c r="H1055" s="12" t="s">
        <v>61</v>
      </c>
      <c r="I1055" s="14">
        <v>45218</v>
      </c>
      <c r="J1055" s="12" t="s">
        <v>834</v>
      </c>
    </row>
    <row r="1056" spans="1:10" s="15" customFormat="1" x14ac:dyDescent="0.15">
      <c r="A1056" s="11">
        <v>45222</v>
      </c>
      <c r="B1056" s="12" t="s">
        <v>22</v>
      </c>
      <c r="C1056" s="12" t="s">
        <v>22</v>
      </c>
      <c r="D1056" s="13" t="str">
        <f>HYPERLINK("https://www.marklines.com/en/global/413","Toyota Auto Body, Inabe Plant")</f>
        <v>Toyota Auto Body, Inabe Plant</v>
      </c>
      <c r="E1056" s="12" t="s">
        <v>663</v>
      </c>
      <c r="F1056" s="12" t="s">
        <v>20</v>
      </c>
      <c r="G1056" s="12" t="s">
        <v>23</v>
      </c>
      <c r="H1056" s="12" t="s">
        <v>572</v>
      </c>
      <c r="I1056" s="14">
        <v>45218</v>
      </c>
      <c r="J1056" s="12" t="s">
        <v>834</v>
      </c>
    </row>
    <row r="1057" spans="1:10" s="15" customFormat="1" x14ac:dyDescent="0.15">
      <c r="A1057" s="11">
        <v>45222</v>
      </c>
      <c r="B1057" s="12" t="s">
        <v>22</v>
      </c>
      <c r="C1057" s="12" t="s">
        <v>22</v>
      </c>
      <c r="D1057" s="13" t="str">
        <f>HYPERLINK("https://www.marklines.com/en/global/417","Gifu Auto Body Co., Ltd., Honsha Plant")</f>
        <v>Gifu Auto Body Co., Ltd., Honsha Plant</v>
      </c>
      <c r="E1057" s="12" t="s">
        <v>664</v>
      </c>
      <c r="F1057" s="12" t="s">
        <v>20</v>
      </c>
      <c r="G1057" s="12" t="s">
        <v>23</v>
      </c>
      <c r="H1057" s="12" t="s">
        <v>665</v>
      </c>
      <c r="I1057" s="14">
        <v>45218</v>
      </c>
      <c r="J1057" s="12" t="s">
        <v>834</v>
      </c>
    </row>
    <row r="1058" spans="1:10" s="15" customFormat="1" x14ac:dyDescent="0.15">
      <c r="A1058" s="11">
        <v>45222</v>
      </c>
      <c r="B1058" s="12" t="s">
        <v>22</v>
      </c>
      <c r="C1058" s="12" t="s">
        <v>22</v>
      </c>
      <c r="D1058" s="13" t="str">
        <f>HYPERLINK("https://www.marklines.com/en/global/420","Toyota Motor East Japan, Miyagi Ohira Plant")</f>
        <v>Toyota Motor East Japan, Miyagi Ohira Plant</v>
      </c>
      <c r="E1058" s="12" t="s">
        <v>668</v>
      </c>
      <c r="F1058" s="12" t="s">
        <v>20</v>
      </c>
      <c r="G1058" s="12" t="s">
        <v>23</v>
      </c>
      <c r="H1058" s="12" t="s">
        <v>669</v>
      </c>
      <c r="I1058" s="14">
        <v>45218</v>
      </c>
      <c r="J1058" s="12" t="s">
        <v>834</v>
      </c>
    </row>
    <row r="1059" spans="1:10" s="15" customFormat="1" x14ac:dyDescent="0.15">
      <c r="A1059" s="11">
        <v>45222</v>
      </c>
      <c r="B1059" s="12" t="s">
        <v>22</v>
      </c>
      <c r="C1059" s="12" t="s">
        <v>22</v>
      </c>
      <c r="D1059" s="13" t="str">
        <f>HYPERLINK("https://www.marklines.com/en/global/424","Toyota Motor East Japan, Iwate Plant")</f>
        <v>Toyota Motor East Japan, Iwate Plant</v>
      </c>
      <c r="E1059" s="12" t="s">
        <v>670</v>
      </c>
      <c r="F1059" s="12" t="s">
        <v>20</v>
      </c>
      <c r="G1059" s="12" t="s">
        <v>23</v>
      </c>
      <c r="H1059" s="12" t="s">
        <v>671</v>
      </c>
      <c r="I1059" s="14">
        <v>45218</v>
      </c>
      <c r="J1059" s="12" t="s">
        <v>834</v>
      </c>
    </row>
    <row r="1060" spans="1:10" s="15" customFormat="1" x14ac:dyDescent="0.15">
      <c r="A1060" s="11">
        <v>45222</v>
      </c>
      <c r="B1060" s="12" t="s">
        <v>22</v>
      </c>
      <c r="C1060" s="12" t="s">
        <v>22</v>
      </c>
      <c r="D1060" s="13" t="str">
        <f>HYPERLINK("https://www.marklines.com/en/global/433","Toyota Industries Corporation, Nagakusa Plant")</f>
        <v>Toyota Industries Corporation, Nagakusa Plant</v>
      </c>
      <c r="E1060" s="12" t="s">
        <v>666</v>
      </c>
      <c r="F1060" s="12" t="s">
        <v>20</v>
      </c>
      <c r="G1060" s="12" t="s">
        <v>23</v>
      </c>
      <c r="H1060" s="12" t="s">
        <v>61</v>
      </c>
      <c r="I1060" s="14">
        <v>45218</v>
      </c>
      <c r="J1060" s="12" t="s">
        <v>834</v>
      </c>
    </row>
    <row r="1061" spans="1:10" s="15" customFormat="1" x14ac:dyDescent="0.15">
      <c r="A1061" s="11">
        <v>45222</v>
      </c>
      <c r="B1061" s="12" t="s">
        <v>22</v>
      </c>
      <c r="C1061" s="12" t="s">
        <v>22</v>
      </c>
      <c r="D1061" s="13" t="str">
        <f>HYPERLINK("https://www.marklines.com/en/global/379","Toyota Motor, Tsutsumi Plant")</f>
        <v>Toyota Motor, Tsutsumi Plant</v>
      </c>
      <c r="E1061" s="12" t="s">
        <v>562</v>
      </c>
      <c r="F1061" s="12" t="s">
        <v>20</v>
      </c>
      <c r="G1061" s="12" t="s">
        <v>23</v>
      </c>
      <c r="H1061" s="12" t="s">
        <v>61</v>
      </c>
      <c r="I1061" s="14">
        <v>45218</v>
      </c>
      <c r="J1061" s="12" t="s">
        <v>834</v>
      </c>
    </row>
    <row r="1062" spans="1:10" s="15" customFormat="1" x14ac:dyDescent="0.15">
      <c r="A1062" s="11">
        <v>45222</v>
      </c>
      <c r="B1062" s="12" t="s">
        <v>12</v>
      </c>
      <c r="C1062" s="12" t="s">
        <v>12</v>
      </c>
      <c r="D1062" s="13" t="str">
        <f>HYPERLINK("https://www.marklines.com/en/global/1161","former General Motors India, Talegaon Plant")</f>
        <v>former General Motors India, Talegaon Plant</v>
      </c>
      <c r="E1062" s="12" t="s">
        <v>124</v>
      </c>
      <c r="F1062" s="12" t="s">
        <v>25</v>
      </c>
      <c r="G1062" s="12" t="s">
        <v>26</v>
      </c>
      <c r="H1062" s="12" t="s">
        <v>113</v>
      </c>
      <c r="I1062" s="14">
        <v>45217</v>
      </c>
      <c r="J1062" s="12" t="s">
        <v>835</v>
      </c>
    </row>
    <row r="1063" spans="1:10" s="15" customFormat="1" x14ac:dyDescent="0.15">
      <c r="A1063" s="11">
        <v>45222</v>
      </c>
      <c r="B1063" s="12" t="s">
        <v>43</v>
      </c>
      <c r="C1063" s="12" t="s">
        <v>43</v>
      </c>
      <c r="D1063" s="13" t="str">
        <f>HYPERLINK("https://www.marklines.com/en/global/1175","Hyundai Motor India Ltd. (HMIL)")</f>
        <v>Hyundai Motor India Ltd. (HMIL)</v>
      </c>
      <c r="E1063" s="12" t="s">
        <v>836</v>
      </c>
      <c r="F1063" s="12" t="s">
        <v>25</v>
      </c>
      <c r="G1063" s="12" t="s">
        <v>26</v>
      </c>
      <c r="H1063" s="12" t="s">
        <v>219</v>
      </c>
      <c r="I1063" s="14">
        <v>45217</v>
      </c>
      <c r="J1063" s="12" t="s">
        <v>835</v>
      </c>
    </row>
    <row r="1064" spans="1:10" s="15" customFormat="1" x14ac:dyDescent="0.15">
      <c r="A1064" s="11">
        <v>45222</v>
      </c>
      <c r="B1064" s="12" t="s">
        <v>43</v>
      </c>
      <c r="C1064" s="12" t="s">
        <v>43</v>
      </c>
      <c r="D1064" s="13" t="str">
        <f>HYPERLINK("https://www.marklines.com/en/global/1161","former General Motors India, Talegaon Plant")</f>
        <v>former General Motors India, Talegaon Plant</v>
      </c>
      <c r="E1064" s="12" t="s">
        <v>124</v>
      </c>
      <c r="F1064" s="12" t="s">
        <v>25</v>
      </c>
      <c r="G1064" s="12" t="s">
        <v>26</v>
      </c>
      <c r="H1064" s="12" t="s">
        <v>113</v>
      </c>
      <c r="I1064" s="14">
        <v>45217</v>
      </c>
      <c r="J1064" s="12" t="s">
        <v>835</v>
      </c>
    </row>
    <row r="1065" spans="1:10" s="15" customFormat="1" x14ac:dyDescent="0.15">
      <c r="A1065" s="11">
        <v>45222</v>
      </c>
      <c r="B1065" s="12" t="s">
        <v>22</v>
      </c>
      <c r="C1065" s="12" t="s">
        <v>22</v>
      </c>
      <c r="D1065" s="13" t="str">
        <f>HYPERLINK("https://www.marklines.com/en/global/375","Toyota Motor, Takaoka Plant")</f>
        <v>Toyota Motor, Takaoka Plant</v>
      </c>
      <c r="E1065" s="12" t="s">
        <v>659</v>
      </c>
      <c r="F1065" s="12" t="s">
        <v>20</v>
      </c>
      <c r="G1065" s="12" t="s">
        <v>23</v>
      </c>
      <c r="H1065" s="12" t="s">
        <v>61</v>
      </c>
      <c r="I1065" s="14">
        <v>45217</v>
      </c>
      <c r="J1065" s="12" t="s">
        <v>837</v>
      </c>
    </row>
    <row r="1066" spans="1:10" s="15" customFormat="1" x14ac:dyDescent="0.15">
      <c r="A1066" s="11">
        <v>45222</v>
      </c>
      <c r="B1066" s="12" t="s">
        <v>22</v>
      </c>
      <c r="C1066" s="12" t="s">
        <v>22</v>
      </c>
      <c r="D1066" s="13" t="str">
        <f>HYPERLINK("https://www.marklines.com/en/global/375","Toyota Motor, Takaoka Plant")</f>
        <v>Toyota Motor, Takaoka Plant</v>
      </c>
      <c r="E1066" s="12" t="s">
        <v>659</v>
      </c>
      <c r="F1066" s="12" t="s">
        <v>20</v>
      </c>
      <c r="G1066" s="12" t="s">
        <v>23</v>
      </c>
      <c r="H1066" s="12" t="s">
        <v>61</v>
      </c>
      <c r="I1066" s="14">
        <v>45217</v>
      </c>
      <c r="J1066" s="12" t="s">
        <v>838</v>
      </c>
    </row>
    <row r="1067" spans="1:10" s="15" customFormat="1" x14ac:dyDescent="0.15">
      <c r="A1067" s="11">
        <v>45222</v>
      </c>
      <c r="B1067" s="12" t="s">
        <v>22</v>
      </c>
      <c r="C1067" s="12" t="s">
        <v>22</v>
      </c>
      <c r="D1067" s="13" t="str">
        <f>HYPERLINK("https://www.marklines.com/en/global/409","Toyota Auto Body, Fujimatsu Plant")</f>
        <v>Toyota Auto Body, Fujimatsu Plant</v>
      </c>
      <c r="E1067" s="12" t="s">
        <v>661</v>
      </c>
      <c r="F1067" s="12" t="s">
        <v>20</v>
      </c>
      <c r="G1067" s="12" t="s">
        <v>23</v>
      </c>
      <c r="H1067" s="12" t="s">
        <v>61</v>
      </c>
      <c r="I1067" s="14">
        <v>45217</v>
      </c>
      <c r="J1067" s="12" t="s">
        <v>838</v>
      </c>
    </row>
    <row r="1068" spans="1:10" s="15" customFormat="1" x14ac:dyDescent="0.15">
      <c r="A1068" s="11">
        <v>45222</v>
      </c>
      <c r="B1068" s="12" t="s">
        <v>22</v>
      </c>
      <c r="C1068" s="12" t="s">
        <v>22</v>
      </c>
      <c r="D1068" s="13" t="str">
        <f>HYPERLINK("https://www.marklines.com/en/global/411","Toyota Auto Body, Yoshiwara Plant")</f>
        <v>Toyota Auto Body, Yoshiwara Plant</v>
      </c>
      <c r="E1068" s="12" t="s">
        <v>662</v>
      </c>
      <c r="F1068" s="12" t="s">
        <v>20</v>
      </c>
      <c r="G1068" s="12" t="s">
        <v>23</v>
      </c>
      <c r="H1068" s="12" t="s">
        <v>61</v>
      </c>
      <c r="I1068" s="14">
        <v>45217</v>
      </c>
      <c r="J1068" s="12" t="s">
        <v>838</v>
      </c>
    </row>
    <row r="1069" spans="1:10" s="15" customFormat="1" x14ac:dyDescent="0.15">
      <c r="A1069" s="11">
        <v>45222</v>
      </c>
      <c r="B1069" s="12" t="s">
        <v>22</v>
      </c>
      <c r="C1069" s="12" t="s">
        <v>22</v>
      </c>
      <c r="D1069" s="13" t="str">
        <f>HYPERLINK("https://www.marklines.com/en/global/413","Toyota Auto Body, Inabe Plant")</f>
        <v>Toyota Auto Body, Inabe Plant</v>
      </c>
      <c r="E1069" s="12" t="s">
        <v>663</v>
      </c>
      <c r="F1069" s="12" t="s">
        <v>20</v>
      </c>
      <c r="G1069" s="12" t="s">
        <v>23</v>
      </c>
      <c r="H1069" s="12" t="s">
        <v>572</v>
      </c>
      <c r="I1069" s="14">
        <v>45217</v>
      </c>
      <c r="J1069" s="12" t="s">
        <v>838</v>
      </c>
    </row>
    <row r="1070" spans="1:10" s="15" customFormat="1" x14ac:dyDescent="0.15">
      <c r="A1070" s="11">
        <v>45222</v>
      </c>
      <c r="B1070" s="12" t="s">
        <v>22</v>
      </c>
      <c r="C1070" s="12" t="s">
        <v>22</v>
      </c>
      <c r="D1070" s="13" t="str">
        <f>HYPERLINK("https://www.marklines.com/en/global/417","Gifu Auto Body Co., Ltd., Honsha Plant")</f>
        <v>Gifu Auto Body Co., Ltd., Honsha Plant</v>
      </c>
      <c r="E1070" s="12" t="s">
        <v>664</v>
      </c>
      <c r="F1070" s="12" t="s">
        <v>20</v>
      </c>
      <c r="G1070" s="12" t="s">
        <v>23</v>
      </c>
      <c r="H1070" s="12" t="s">
        <v>665</v>
      </c>
      <c r="I1070" s="14">
        <v>45217</v>
      </c>
      <c r="J1070" s="12" t="s">
        <v>838</v>
      </c>
    </row>
    <row r="1071" spans="1:10" s="15" customFormat="1" x14ac:dyDescent="0.15">
      <c r="A1071" s="11">
        <v>45222</v>
      </c>
      <c r="B1071" s="12" t="s">
        <v>22</v>
      </c>
      <c r="C1071" s="12" t="s">
        <v>22</v>
      </c>
      <c r="D1071" s="13" t="str">
        <f>HYPERLINK("https://www.marklines.com/en/global/433","Toyota Industries Corporation, Nagakusa Plant")</f>
        <v>Toyota Industries Corporation, Nagakusa Plant</v>
      </c>
      <c r="E1071" s="12" t="s">
        <v>666</v>
      </c>
      <c r="F1071" s="12" t="s">
        <v>20</v>
      </c>
      <c r="G1071" s="12" t="s">
        <v>23</v>
      </c>
      <c r="H1071" s="12" t="s">
        <v>61</v>
      </c>
      <c r="I1071" s="14">
        <v>45217</v>
      </c>
      <c r="J1071" s="12" t="s">
        <v>838</v>
      </c>
    </row>
    <row r="1072" spans="1:10" s="15" customFormat="1" x14ac:dyDescent="0.15">
      <c r="A1072" s="11">
        <v>45222</v>
      </c>
      <c r="B1072" s="12" t="s">
        <v>22</v>
      </c>
      <c r="C1072" s="12" t="s">
        <v>22</v>
      </c>
      <c r="D1072" s="13" t="str">
        <f>HYPERLINK("https://www.marklines.com/en/global/379","Toyota Motor, Tsutsumi Plant")</f>
        <v>Toyota Motor, Tsutsumi Plant</v>
      </c>
      <c r="E1072" s="12" t="s">
        <v>562</v>
      </c>
      <c r="F1072" s="12" t="s">
        <v>20</v>
      </c>
      <c r="G1072" s="12" t="s">
        <v>23</v>
      </c>
      <c r="H1072" s="12" t="s">
        <v>61</v>
      </c>
      <c r="I1072" s="14">
        <v>45217</v>
      </c>
      <c r="J1072" s="12" t="s">
        <v>838</v>
      </c>
    </row>
    <row r="1073" spans="1:10" s="15" customFormat="1" x14ac:dyDescent="0.15">
      <c r="A1073" s="11">
        <v>45222</v>
      </c>
      <c r="B1073" s="12" t="s">
        <v>22</v>
      </c>
      <c r="C1073" s="12" t="s">
        <v>673</v>
      </c>
      <c r="D1073" s="13" t="str">
        <f>HYPERLINK("https://www.marklines.com/en/global/411","Toyota Auto Body, Yoshiwara Plant")</f>
        <v>Toyota Auto Body, Yoshiwara Plant</v>
      </c>
      <c r="E1073" s="12" t="s">
        <v>662</v>
      </c>
      <c r="F1073" s="12" t="s">
        <v>20</v>
      </c>
      <c r="G1073" s="12" t="s">
        <v>23</v>
      </c>
      <c r="H1073" s="12" t="s">
        <v>61</v>
      </c>
      <c r="I1073" s="14">
        <v>45217</v>
      </c>
      <c r="J1073" s="12" t="s">
        <v>838</v>
      </c>
    </row>
    <row r="1074" spans="1:10" s="15" customFormat="1" x14ac:dyDescent="0.15">
      <c r="A1074" s="11">
        <v>45222</v>
      </c>
      <c r="B1074" s="12" t="s">
        <v>41</v>
      </c>
      <c r="C1074" s="12" t="s">
        <v>42</v>
      </c>
      <c r="D1074" s="13" t="str">
        <f>HYPERLINK("https://www.marklines.com/en/global/3483","Mercedes-Benz Group China Ltd. (formerly Daimler Greater China Ltd.)")</f>
        <v>Mercedes-Benz Group China Ltd. (formerly Daimler Greater China Ltd.)</v>
      </c>
      <c r="E1074" s="12" t="s">
        <v>839</v>
      </c>
      <c r="F1074" s="12" t="s">
        <v>20</v>
      </c>
      <c r="G1074" s="12" t="s">
        <v>27</v>
      </c>
      <c r="H1074" s="12" t="s">
        <v>456</v>
      </c>
      <c r="I1074" s="14">
        <v>45216</v>
      </c>
      <c r="J1074" s="12" t="s">
        <v>840</v>
      </c>
    </row>
    <row r="1075" spans="1:10" s="15" customFormat="1" x14ac:dyDescent="0.15">
      <c r="A1075" s="11">
        <v>45222</v>
      </c>
      <c r="B1075" s="12" t="s">
        <v>41</v>
      </c>
      <c r="C1075" s="12" t="s">
        <v>42</v>
      </c>
      <c r="D1075" s="13" t="str">
        <f>HYPERLINK("https://www.marklines.com/en/global/10766","Mercedes-Benz (Shanghai) Digital Technology Co., Ltd. (MBSDT)")</f>
        <v>Mercedes-Benz (Shanghai) Digital Technology Co., Ltd. (MBSDT)</v>
      </c>
      <c r="E1075" s="12" t="s">
        <v>841</v>
      </c>
      <c r="F1075" s="12" t="s">
        <v>20</v>
      </c>
      <c r="G1075" s="12" t="s">
        <v>27</v>
      </c>
      <c r="H1075" s="12" t="s">
        <v>314</v>
      </c>
      <c r="I1075" s="14">
        <v>45216</v>
      </c>
      <c r="J1075" s="12" t="s">
        <v>840</v>
      </c>
    </row>
    <row r="1076" spans="1:10" s="15" customFormat="1" x14ac:dyDescent="0.15">
      <c r="A1076" s="11">
        <v>45222</v>
      </c>
      <c r="B1076" s="12" t="s">
        <v>770</v>
      </c>
      <c r="C1076" s="12" t="s">
        <v>770</v>
      </c>
      <c r="D1076" s="13" t="str">
        <f>HYPERLINK("https://www.marklines.com/en/global/3865","Anhui Jianghuai Automobile Group Corp., Ltd. (JAC)")</f>
        <v>Anhui Jianghuai Automobile Group Corp., Ltd. (JAC)</v>
      </c>
      <c r="E1076" s="12" t="s">
        <v>771</v>
      </c>
      <c r="F1076" s="12" t="s">
        <v>20</v>
      </c>
      <c r="G1076" s="12" t="s">
        <v>27</v>
      </c>
      <c r="H1076" s="12" t="s">
        <v>303</v>
      </c>
      <c r="I1076" s="14">
        <v>45216</v>
      </c>
      <c r="J1076" s="12" t="s">
        <v>842</v>
      </c>
    </row>
    <row r="1077" spans="1:10" s="15" customFormat="1" x14ac:dyDescent="0.15">
      <c r="A1077" s="11">
        <v>45222</v>
      </c>
      <c r="B1077" s="12" t="s">
        <v>400</v>
      </c>
      <c r="C1077" s="12" t="s">
        <v>400</v>
      </c>
      <c r="D1077" s="13" t="str">
        <f>HYPERLINK("https://www.marklines.com/en/global/3807","Zhejiang Geely Holding Group Co., Ltd.")</f>
        <v>Zhejiang Geely Holding Group Co., Ltd.</v>
      </c>
      <c r="E1077" s="12" t="s">
        <v>401</v>
      </c>
      <c r="F1077" s="12" t="s">
        <v>20</v>
      </c>
      <c r="G1077" s="12" t="s">
        <v>27</v>
      </c>
      <c r="H1077" s="12" t="s">
        <v>342</v>
      </c>
      <c r="I1077" s="14">
        <v>45216</v>
      </c>
      <c r="J1077" s="12" t="s">
        <v>843</v>
      </c>
    </row>
    <row r="1078" spans="1:10" s="15" customFormat="1" x14ac:dyDescent="0.15">
      <c r="A1078" s="11">
        <v>45222</v>
      </c>
      <c r="B1078" s="12" t="s">
        <v>56</v>
      </c>
      <c r="C1078" s="12" t="s">
        <v>56</v>
      </c>
      <c r="D1078" s="13" t="str">
        <f>HYPERLINK("https://www.marklines.com/en/global/3955","Guangzhou Fengshen Automobile Co., Ltd. Zhengzhou Branch (formerly Dongfeng Nissan Passenger Vehicle Company (Zhengzhou Plant))")</f>
        <v>Guangzhou Fengshen Automobile Co., Ltd. Zhengzhou Branch (formerly Dongfeng Nissan Passenger Vehicle Company (Zhengzhou Plant))</v>
      </c>
      <c r="E1078" s="12" t="s">
        <v>844</v>
      </c>
      <c r="F1078" s="12" t="s">
        <v>20</v>
      </c>
      <c r="G1078" s="12" t="s">
        <v>27</v>
      </c>
      <c r="H1078" s="12" t="s">
        <v>404</v>
      </c>
      <c r="I1078" s="14">
        <v>45216</v>
      </c>
      <c r="J1078" s="12" t="s">
        <v>845</v>
      </c>
    </row>
    <row r="1079" spans="1:10" s="15" customFormat="1" x14ac:dyDescent="0.15">
      <c r="A1079" s="11">
        <v>45222</v>
      </c>
      <c r="B1079" s="12" t="s">
        <v>56</v>
      </c>
      <c r="C1079" s="12" t="s">
        <v>56</v>
      </c>
      <c r="D1079" s="13" t="str">
        <f>HYPERLINK("https://www.marklines.com/en/global/4101","Dongfeng Nissan Passenger Vehicle Company (DFN)")</f>
        <v>Dongfeng Nissan Passenger Vehicle Company (DFN)</v>
      </c>
      <c r="E1079" s="12" t="s">
        <v>406</v>
      </c>
      <c r="F1079" s="12" t="s">
        <v>20</v>
      </c>
      <c r="G1079" s="12" t="s">
        <v>27</v>
      </c>
      <c r="H1079" s="12" t="s">
        <v>357</v>
      </c>
      <c r="I1079" s="14">
        <v>45216</v>
      </c>
      <c r="J1079" s="12" t="s">
        <v>845</v>
      </c>
    </row>
    <row r="1080" spans="1:10" s="15" customFormat="1" x14ac:dyDescent="0.15">
      <c r="A1080" s="11">
        <v>45222</v>
      </c>
      <c r="B1080" s="12" t="s">
        <v>22</v>
      </c>
      <c r="C1080" s="12" t="s">
        <v>22</v>
      </c>
      <c r="D1080" s="13" t="str">
        <f>HYPERLINK("https://www.marklines.com/en/global/375","Toyota Motor, Takaoka Plant")</f>
        <v>Toyota Motor, Takaoka Plant</v>
      </c>
      <c r="E1080" s="12" t="s">
        <v>659</v>
      </c>
      <c r="F1080" s="12" t="s">
        <v>20</v>
      </c>
      <c r="G1080" s="12" t="s">
        <v>23</v>
      </c>
      <c r="H1080" s="12" t="s">
        <v>61</v>
      </c>
      <c r="I1080" s="14">
        <v>45216</v>
      </c>
      <c r="J1080" s="12" t="s">
        <v>846</v>
      </c>
    </row>
    <row r="1081" spans="1:10" s="15" customFormat="1" x14ac:dyDescent="0.15">
      <c r="A1081" s="11">
        <v>45222</v>
      </c>
      <c r="B1081" s="12" t="s">
        <v>22</v>
      </c>
      <c r="C1081" s="12" t="s">
        <v>22</v>
      </c>
      <c r="D1081" s="13" t="str">
        <f>HYPERLINK("https://www.marklines.com/en/global/409","Toyota Auto Body, Fujimatsu Plant")</f>
        <v>Toyota Auto Body, Fujimatsu Plant</v>
      </c>
      <c r="E1081" s="12" t="s">
        <v>661</v>
      </c>
      <c r="F1081" s="12" t="s">
        <v>20</v>
      </c>
      <c r="G1081" s="12" t="s">
        <v>23</v>
      </c>
      <c r="H1081" s="12" t="s">
        <v>61</v>
      </c>
      <c r="I1081" s="14">
        <v>45216</v>
      </c>
      <c r="J1081" s="12" t="s">
        <v>846</v>
      </c>
    </row>
    <row r="1082" spans="1:10" s="15" customFormat="1" x14ac:dyDescent="0.15">
      <c r="A1082" s="11">
        <v>45222</v>
      </c>
      <c r="B1082" s="12" t="s">
        <v>22</v>
      </c>
      <c r="C1082" s="12" t="s">
        <v>22</v>
      </c>
      <c r="D1082" s="13" t="str">
        <f>HYPERLINK("https://www.marklines.com/en/global/411","Toyota Auto Body, Yoshiwara Plant")</f>
        <v>Toyota Auto Body, Yoshiwara Plant</v>
      </c>
      <c r="E1082" s="12" t="s">
        <v>662</v>
      </c>
      <c r="F1082" s="12" t="s">
        <v>20</v>
      </c>
      <c r="G1082" s="12" t="s">
        <v>23</v>
      </c>
      <c r="H1082" s="12" t="s">
        <v>61</v>
      </c>
      <c r="I1082" s="14">
        <v>45216</v>
      </c>
      <c r="J1082" s="12" t="s">
        <v>846</v>
      </c>
    </row>
    <row r="1083" spans="1:10" s="15" customFormat="1" x14ac:dyDescent="0.15">
      <c r="A1083" s="11">
        <v>45222</v>
      </c>
      <c r="B1083" s="12" t="s">
        <v>22</v>
      </c>
      <c r="C1083" s="12" t="s">
        <v>22</v>
      </c>
      <c r="D1083" s="13" t="str">
        <f>HYPERLINK("https://www.marklines.com/en/global/413","Toyota Auto Body, Inabe Plant")</f>
        <v>Toyota Auto Body, Inabe Plant</v>
      </c>
      <c r="E1083" s="12" t="s">
        <v>663</v>
      </c>
      <c r="F1083" s="12" t="s">
        <v>20</v>
      </c>
      <c r="G1083" s="12" t="s">
        <v>23</v>
      </c>
      <c r="H1083" s="12" t="s">
        <v>572</v>
      </c>
      <c r="I1083" s="14">
        <v>45216</v>
      </c>
      <c r="J1083" s="12" t="s">
        <v>846</v>
      </c>
    </row>
    <row r="1084" spans="1:10" s="15" customFormat="1" x14ac:dyDescent="0.15">
      <c r="A1084" s="11">
        <v>45222</v>
      </c>
      <c r="B1084" s="12" t="s">
        <v>22</v>
      </c>
      <c r="C1084" s="12" t="s">
        <v>22</v>
      </c>
      <c r="D1084" s="13" t="str">
        <f>HYPERLINK("https://www.marklines.com/en/global/433","Toyota Industries Corporation, Nagakusa Plant")</f>
        <v>Toyota Industries Corporation, Nagakusa Plant</v>
      </c>
      <c r="E1084" s="12" t="s">
        <v>666</v>
      </c>
      <c r="F1084" s="12" t="s">
        <v>20</v>
      </c>
      <c r="G1084" s="12" t="s">
        <v>23</v>
      </c>
      <c r="H1084" s="12" t="s">
        <v>61</v>
      </c>
      <c r="I1084" s="14">
        <v>45216</v>
      </c>
      <c r="J1084" s="12" t="s">
        <v>846</v>
      </c>
    </row>
    <row r="1085" spans="1:10" s="15" customFormat="1" x14ac:dyDescent="0.15">
      <c r="A1085" s="11">
        <v>45222</v>
      </c>
      <c r="B1085" s="12" t="s">
        <v>22</v>
      </c>
      <c r="C1085" s="12" t="s">
        <v>22</v>
      </c>
      <c r="D1085" s="13" t="str">
        <f>HYPERLINK("https://www.marklines.com/en/global/379","Toyota Motor, Tsutsumi Plant")</f>
        <v>Toyota Motor, Tsutsumi Plant</v>
      </c>
      <c r="E1085" s="12" t="s">
        <v>562</v>
      </c>
      <c r="F1085" s="12" t="s">
        <v>20</v>
      </c>
      <c r="G1085" s="12" t="s">
        <v>23</v>
      </c>
      <c r="H1085" s="12" t="s">
        <v>61</v>
      </c>
      <c r="I1085" s="14">
        <v>45216</v>
      </c>
      <c r="J1085" s="12" t="s">
        <v>846</v>
      </c>
    </row>
    <row r="1086" spans="1:10" s="15" customFormat="1" x14ac:dyDescent="0.15">
      <c r="A1086" s="11">
        <v>45222</v>
      </c>
      <c r="B1086" s="12" t="s">
        <v>437</v>
      </c>
      <c r="C1086" s="12" t="s">
        <v>437</v>
      </c>
      <c r="D1086" s="13" t="str">
        <f>HYPERLINK("https://www.marklines.com/en/global/9872","Chery Holding Group Co., Ltd. (formerly Chery Holding Co., Ltd.)")</f>
        <v>Chery Holding Group Co., Ltd. (formerly Chery Holding Co., Ltd.)</v>
      </c>
      <c r="E1086" s="12" t="s">
        <v>635</v>
      </c>
      <c r="F1086" s="12" t="s">
        <v>20</v>
      </c>
      <c r="G1086" s="12" t="s">
        <v>27</v>
      </c>
      <c r="H1086" s="12" t="s">
        <v>303</v>
      </c>
      <c r="I1086" s="14">
        <v>45215</v>
      </c>
      <c r="J1086" s="12" t="s">
        <v>847</v>
      </c>
    </row>
    <row r="1087" spans="1:10" s="15" customFormat="1" x14ac:dyDescent="0.15">
      <c r="A1087" s="11">
        <v>45222</v>
      </c>
      <c r="B1087" s="12" t="s">
        <v>437</v>
      </c>
      <c r="C1087" s="12" t="s">
        <v>437</v>
      </c>
      <c r="D1087" s="13" t="str">
        <f>HYPERLINK("https://www.marklines.com/en/global/3879","Chery Automobile Co., Ltd. ")</f>
        <v xml:space="preserve">Chery Automobile Co., Ltd. </v>
      </c>
      <c r="E1087" s="12" t="s">
        <v>848</v>
      </c>
      <c r="F1087" s="12" t="s">
        <v>20</v>
      </c>
      <c r="G1087" s="12" t="s">
        <v>27</v>
      </c>
      <c r="H1087" s="12" t="s">
        <v>303</v>
      </c>
      <c r="I1087" s="14">
        <v>45215</v>
      </c>
      <c r="J1087" s="12" t="s">
        <v>847</v>
      </c>
    </row>
    <row r="1088" spans="1:10" s="15" customFormat="1" x14ac:dyDescent="0.15">
      <c r="A1088" s="11">
        <v>45222</v>
      </c>
      <c r="B1088" s="12" t="s">
        <v>437</v>
      </c>
      <c r="C1088" s="12" t="s">
        <v>437</v>
      </c>
      <c r="D1088" s="13" t="str">
        <f>HYPERLINK("https://www.marklines.com/en/global/9390","Chery New Energy Automotive Co., Ltd. (Formerly Chery New Energy Technology Automotive Co., Ltd.)")</f>
        <v>Chery New Energy Automotive Co., Ltd. (Formerly Chery New Energy Technology Automotive Co., Ltd.)</v>
      </c>
      <c r="E1088" s="12" t="s">
        <v>849</v>
      </c>
      <c r="F1088" s="12" t="s">
        <v>20</v>
      </c>
      <c r="G1088" s="12" t="s">
        <v>27</v>
      </c>
      <c r="H1088" s="12" t="s">
        <v>303</v>
      </c>
      <c r="I1088" s="14">
        <v>45215</v>
      </c>
      <c r="J1088" s="12" t="s">
        <v>847</v>
      </c>
    </row>
    <row r="1089" spans="1:10" s="15" customFormat="1" x14ac:dyDescent="0.15">
      <c r="A1089" s="11">
        <v>45222</v>
      </c>
      <c r="B1089" s="12" t="s">
        <v>437</v>
      </c>
      <c r="C1089" s="12" t="s">
        <v>850</v>
      </c>
      <c r="D1089" s="13" t="str">
        <f>HYPERLINK("https://www.marklines.com/en/global/3879","Chery Automobile Co., Ltd. ")</f>
        <v xml:space="preserve">Chery Automobile Co., Ltd. </v>
      </c>
      <c r="E1089" s="12" t="s">
        <v>848</v>
      </c>
      <c r="F1089" s="12" t="s">
        <v>20</v>
      </c>
      <c r="G1089" s="12" t="s">
        <v>27</v>
      </c>
      <c r="H1089" s="12" t="s">
        <v>303</v>
      </c>
      <c r="I1089" s="14">
        <v>45215</v>
      </c>
      <c r="J1089" s="12" t="s">
        <v>847</v>
      </c>
    </row>
    <row r="1090" spans="1:10" s="15" customFormat="1" x14ac:dyDescent="0.15">
      <c r="A1090" s="11">
        <v>45222</v>
      </c>
      <c r="B1090" s="12" t="s">
        <v>851</v>
      </c>
      <c r="C1090" s="12" t="s">
        <v>851</v>
      </c>
      <c r="D1090" s="13" t="str">
        <f>HYPERLINK("https://www.marklines.com/en/global/55","Yulon Motor, Sanyi Plant")</f>
        <v>Yulon Motor, Sanyi Plant</v>
      </c>
      <c r="E1090" s="12" t="s">
        <v>123</v>
      </c>
      <c r="F1090" s="12" t="s">
        <v>20</v>
      </c>
      <c r="G1090" s="12" t="s">
        <v>115</v>
      </c>
      <c r="H1090" s="12"/>
      <c r="I1090" s="14">
        <v>45211</v>
      </c>
      <c r="J1090" s="12" t="s">
        <v>852</v>
      </c>
    </row>
    <row r="1091" spans="1:10" s="15" customFormat="1" x14ac:dyDescent="0.15">
      <c r="A1091" s="11">
        <v>45220</v>
      </c>
      <c r="B1091" s="12" t="s">
        <v>37</v>
      </c>
      <c r="C1091" s="12" t="s">
        <v>37</v>
      </c>
      <c r="D1091" s="13" t="str">
        <f>HYPERLINK("https://www.marklines.com/en/global/10742","Rivian, Georgia plant")</f>
        <v>Rivian, Georgia plant</v>
      </c>
      <c r="E1091" s="12" t="s">
        <v>853</v>
      </c>
      <c r="F1091" s="12" t="s">
        <v>16</v>
      </c>
      <c r="G1091" s="12" t="s">
        <v>11</v>
      </c>
      <c r="H1091" s="12" t="s">
        <v>271</v>
      </c>
      <c r="I1091" s="14">
        <v>45218</v>
      </c>
      <c r="J1091" s="12" t="s">
        <v>854</v>
      </c>
    </row>
    <row r="1092" spans="1:10" s="15" customFormat="1" x14ac:dyDescent="0.15">
      <c r="A1092" s="11">
        <v>45220</v>
      </c>
      <c r="B1092" s="12" t="s">
        <v>37</v>
      </c>
      <c r="C1092" s="12" t="s">
        <v>37</v>
      </c>
      <c r="D1092" s="13" t="str">
        <f>HYPERLINK("https://www.marklines.com/en/global/3153","Rivian, Normal Plant (former Mitsubishi Motors North America, Normal Plant)")</f>
        <v>Rivian, Normal Plant (former Mitsubishi Motors North America, Normal Plant)</v>
      </c>
      <c r="E1092" s="12" t="s">
        <v>38</v>
      </c>
      <c r="F1092" s="12" t="s">
        <v>16</v>
      </c>
      <c r="G1092" s="12" t="s">
        <v>11</v>
      </c>
      <c r="H1092" s="12" t="s">
        <v>39</v>
      </c>
      <c r="I1092" s="14">
        <v>45218</v>
      </c>
      <c r="J1092" s="12" t="s">
        <v>854</v>
      </c>
    </row>
    <row r="1093" spans="1:10" s="15" customFormat="1" x14ac:dyDescent="0.15">
      <c r="A1093" s="11">
        <v>45220</v>
      </c>
      <c r="B1093" s="12" t="s">
        <v>65</v>
      </c>
      <c r="C1093" s="12" t="s">
        <v>348</v>
      </c>
      <c r="D1093" s="13" t="str">
        <f>HYPERLINK("https://www.marklines.com/en/global/2651","Stellantis, FCA US, Toledo Machining Plant")</f>
        <v>Stellantis, FCA US, Toledo Machining Plant</v>
      </c>
      <c r="E1093" s="12" t="s">
        <v>855</v>
      </c>
      <c r="F1093" s="12" t="s">
        <v>16</v>
      </c>
      <c r="G1093" s="12" t="s">
        <v>11</v>
      </c>
      <c r="H1093" s="12" t="s">
        <v>101</v>
      </c>
      <c r="I1093" s="14">
        <v>45218</v>
      </c>
      <c r="J1093" s="12" t="s">
        <v>856</v>
      </c>
    </row>
    <row r="1094" spans="1:10" s="15" customFormat="1" x14ac:dyDescent="0.15">
      <c r="A1094" s="11">
        <v>45220</v>
      </c>
      <c r="B1094" s="12" t="s">
        <v>65</v>
      </c>
      <c r="C1094" s="12" t="s">
        <v>66</v>
      </c>
      <c r="D1094" s="13" t="str">
        <f>HYPERLINK("https://www.marklines.com/en/global/2653","Stellantis, FCA US, Toledo Assembly Complex (Toledo North)")</f>
        <v>Stellantis, FCA US, Toledo Assembly Complex (Toledo North)</v>
      </c>
      <c r="E1094" s="12" t="s">
        <v>857</v>
      </c>
      <c r="F1094" s="12" t="s">
        <v>16</v>
      </c>
      <c r="G1094" s="12" t="s">
        <v>11</v>
      </c>
      <c r="H1094" s="12" t="s">
        <v>101</v>
      </c>
      <c r="I1094" s="14">
        <v>45218</v>
      </c>
      <c r="J1094" s="12" t="s">
        <v>856</v>
      </c>
    </row>
    <row r="1095" spans="1:10" s="15" customFormat="1" x14ac:dyDescent="0.15">
      <c r="A1095" s="11">
        <v>45220</v>
      </c>
      <c r="B1095" s="12" t="s">
        <v>65</v>
      </c>
      <c r="C1095" s="12" t="s">
        <v>66</v>
      </c>
      <c r="D1095" s="13" t="str">
        <f>HYPERLINK("https://www.marklines.com/en/global/2655","Stellantis, FCA US, Toledo Assembly Complex (Toledo Supplier Park)")</f>
        <v>Stellantis, FCA US, Toledo Assembly Complex (Toledo Supplier Park)</v>
      </c>
      <c r="E1095" s="12" t="s">
        <v>858</v>
      </c>
      <c r="F1095" s="12" t="s">
        <v>16</v>
      </c>
      <c r="G1095" s="12" t="s">
        <v>11</v>
      </c>
      <c r="H1095" s="12" t="s">
        <v>101</v>
      </c>
      <c r="I1095" s="14">
        <v>45218</v>
      </c>
      <c r="J1095" s="12" t="s">
        <v>856</v>
      </c>
    </row>
    <row r="1096" spans="1:10" s="15" customFormat="1" x14ac:dyDescent="0.15">
      <c r="A1096" s="11">
        <v>45220</v>
      </c>
      <c r="B1096" s="12" t="s">
        <v>65</v>
      </c>
      <c r="C1096" s="12" t="s">
        <v>798</v>
      </c>
      <c r="D1096" s="13" t="str">
        <f>HYPERLINK("https://www.marklines.com/en/global/2655","Stellantis, FCA US, Toledo Assembly Complex (Toledo Supplier Park)")</f>
        <v>Stellantis, FCA US, Toledo Assembly Complex (Toledo Supplier Park)</v>
      </c>
      <c r="E1096" s="12" t="s">
        <v>858</v>
      </c>
      <c r="F1096" s="12" t="s">
        <v>16</v>
      </c>
      <c r="G1096" s="12" t="s">
        <v>11</v>
      </c>
      <c r="H1096" s="12" t="s">
        <v>101</v>
      </c>
      <c r="I1096" s="14">
        <v>45218</v>
      </c>
      <c r="J1096" s="12" t="s">
        <v>856</v>
      </c>
    </row>
    <row r="1097" spans="1:10" s="15" customFormat="1" x14ac:dyDescent="0.15">
      <c r="A1097" s="11">
        <v>45219</v>
      </c>
      <c r="B1097" s="12" t="s">
        <v>400</v>
      </c>
      <c r="C1097" s="12" t="s">
        <v>400</v>
      </c>
      <c r="D1097" s="13" t="str">
        <f>HYPERLINK("https://www.marklines.com/en/global/10393","Sichuan Lynk &amp; Co Automobile Manufacturing Co., Ltd. (formerly Zhejiang Haoqing Automotive Manufacturing Co.,Ltd. Chengdu Branch)")</f>
        <v>Sichuan Lynk &amp; Co Automobile Manufacturing Co., Ltd. (formerly Zhejiang Haoqing Automotive Manufacturing Co.,Ltd. Chengdu Branch)</v>
      </c>
      <c r="E1097" s="12" t="s">
        <v>428</v>
      </c>
      <c r="F1097" s="12" t="s">
        <v>20</v>
      </c>
      <c r="G1097" s="12" t="s">
        <v>27</v>
      </c>
      <c r="H1097" s="12" t="s">
        <v>429</v>
      </c>
      <c r="I1097" s="14">
        <v>45219</v>
      </c>
      <c r="J1097" s="12" t="s">
        <v>430</v>
      </c>
    </row>
    <row r="1098" spans="1:10" s="15" customFormat="1" x14ac:dyDescent="0.15">
      <c r="A1098" s="11">
        <v>45219</v>
      </c>
      <c r="B1098" s="12" t="s">
        <v>400</v>
      </c>
      <c r="C1098" s="12" t="s">
        <v>400</v>
      </c>
      <c r="D1098" s="13" t="str">
        <f>HYPERLINK("https://www.marklines.com/en/global/10480","Chongqing Livan Automobile Manufacturing Co., Ltd. Beibei Branch (formerly Chongqing Lifan Passenger Vehicle Co., Ltd. Beibei Branch)")</f>
        <v>Chongqing Livan Automobile Manufacturing Co., Ltd. Beibei Branch (formerly Chongqing Lifan Passenger Vehicle Co., Ltd. Beibei Branch)</v>
      </c>
      <c r="E1098" s="12" t="s">
        <v>431</v>
      </c>
      <c r="F1098" s="12" t="s">
        <v>20</v>
      </c>
      <c r="G1098" s="12" t="s">
        <v>27</v>
      </c>
      <c r="H1098" s="12" t="s">
        <v>29</v>
      </c>
      <c r="I1098" s="14">
        <v>45219</v>
      </c>
      <c r="J1098" s="12" t="s">
        <v>430</v>
      </c>
    </row>
    <row r="1099" spans="1:10" s="15" customFormat="1" x14ac:dyDescent="0.15">
      <c r="A1099" s="11">
        <v>45219</v>
      </c>
      <c r="B1099" s="12" t="s">
        <v>400</v>
      </c>
      <c r="C1099" s="12" t="s">
        <v>432</v>
      </c>
      <c r="D1099" s="13" t="str">
        <f>HYPERLINK("https://www.marklines.com/en/global/10480","Chongqing Livan Automobile Manufacturing Co., Ltd. Beibei Branch (formerly Chongqing Lifan Passenger Vehicle Co., Ltd. Beibei Branch)")</f>
        <v>Chongqing Livan Automobile Manufacturing Co., Ltd. Beibei Branch (formerly Chongqing Lifan Passenger Vehicle Co., Ltd. Beibei Branch)</v>
      </c>
      <c r="E1099" s="12" t="s">
        <v>431</v>
      </c>
      <c r="F1099" s="12" t="s">
        <v>20</v>
      </c>
      <c r="G1099" s="12" t="s">
        <v>27</v>
      </c>
      <c r="H1099" s="12" t="s">
        <v>29</v>
      </c>
      <c r="I1099" s="14">
        <v>45219</v>
      </c>
      <c r="J1099" s="12" t="s">
        <v>430</v>
      </c>
    </row>
    <row r="1100" spans="1:10" s="15" customFormat="1" x14ac:dyDescent="0.15">
      <c r="A1100" s="11">
        <v>45219</v>
      </c>
      <c r="B1100" s="12" t="s">
        <v>31</v>
      </c>
      <c r="C1100" s="12" t="s">
        <v>31</v>
      </c>
      <c r="D1100" s="13" t="str">
        <f>HYPERLINK("https://www.marklines.com/en/global/1973","BMW Manufacturing Thailand, Rayong Plant")</f>
        <v>BMW Manufacturing Thailand, Rayong Plant</v>
      </c>
      <c r="E1100" s="12" t="s">
        <v>433</v>
      </c>
      <c r="F1100" s="12" t="s">
        <v>34</v>
      </c>
      <c r="G1100" s="12" t="s">
        <v>71</v>
      </c>
      <c r="H1100" s="12" t="s">
        <v>72</v>
      </c>
      <c r="I1100" s="14">
        <v>45219</v>
      </c>
      <c r="J1100" s="12" t="s">
        <v>434</v>
      </c>
    </row>
    <row r="1101" spans="1:10" s="15" customFormat="1" x14ac:dyDescent="0.15">
      <c r="A1101" s="11">
        <v>45219</v>
      </c>
      <c r="B1101" s="12" t="s">
        <v>31</v>
      </c>
      <c r="C1101" s="12" t="s">
        <v>31</v>
      </c>
      <c r="D1101" s="13" t="str">
        <f>HYPERLINK("https://www.marklines.com/en/global/1971","BMW Thailand Co., Ltd. ")</f>
        <v xml:space="preserve">BMW Thailand Co., Ltd. </v>
      </c>
      <c r="E1101" s="12" t="s">
        <v>435</v>
      </c>
      <c r="F1101" s="12" t="s">
        <v>34</v>
      </c>
      <c r="G1101" s="12" t="s">
        <v>71</v>
      </c>
      <c r="H1101" s="12" t="s">
        <v>72</v>
      </c>
      <c r="I1101" s="14">
        <v>45219</v>
      </c>
      <c r="J1101" s="12" t="s">
        <v>434</v>
      </c>
    </row>
    <row r="1102" spans="1:10" s="15" customFormat="1" x14ac:dyDescent="0.15">
      <c r="A1102" s="11">
        <v>45219</v>
      </c>
      <c r="B1102" s="12" t="s">
        <v>33</v>
      </c>
      <c r="C1102" s="12" t="s">
        <v>48</v>
      </c>
      <c r="D1102" s="13" t="str">
        <f>HYPERLINK("https://www.marklines.com/en/global/2171","MAN Truck &amp; Bus, Munich Plant")</f>
        <v>MAN Truck &amp; Bus, Munich Plant</v>
      </c>
      <c r="E1102" s="12" t="s">
        <v>337</v>
      </c>
      <c r="F1102" s="12" t="s">
        <v>17</v>
      </c>
      <c r="G1102" s="12" t="s">
        <v>21</v>
      </c>
      <c r="H1102" s="12"/>
      <c r="I1102" s="14">
        <v>45218</v>
      </c>
      <c r="J1102" s="12" t="s">
        <v>436</v>
      </c>
    </row>
    <row r="1103" spans="1:10" s="15" customFormat="1" x14ac:dyDescent="0.15">
      <c r="A1103" s="11">
        <v>45219</v>
      </c>
      <c r="B1103" s="12" t="s">
        <v>437</v>
      </c>
      <c r="C1103" s="12" t="s">
        <v>437</v>
      </c>
      <c r="D1103" s="13" t="str">
        <f>HYPERLINK("https://www.marklines.com/en/global/1311","DR Automobiles srl, Macchia d'Isernia Plant")</f>
        <v>DR Automobiles srl, Macchia d'Isernia Plant</v>
      </c>
      <c r="E1103" s="12" t="s">
        <v>438</v>
      </c>
      <c r="F1103" s="12" t="s">
        <v>17</v>
      </c>
      <c r="G1103" s="12" t="s">
        <v>46</v>
      </c>
      <c r="H1103" s="12"/>
      <c r="I1103" s="14">
        <v>45218</v>
      </c>
      <c r="J1103" s="12" t="s">
        <v>439</v>
      </c>
    </row>
    <row r="1104" spans="1:10" s="15" customFormat="1" x14ac:dyDescent="0.15">
      <c r="A1104" s="11">
        <v>45219</v>
      </c>
      <c r="B1104" s="12" t="s">
        <v>13</v>
      </c>
      <c r="C1104" s="12" t="s">
        <v>440</v>
      </c>
      <c r="D1104" s="13" t="str">
        <f>HYPERLINK("https://www.marklines.com/en/global/1311","DR Automobiles srl, Macchia d'Isernia Plant")</f>
        <v>DR Automobiles srl, Macchia d'Isernia Plant</v>
      </c>
      <c r="E1104" s="12" t="s">
        <v>438</v>
      </c>
      <c r="F1104" s="12" t="s">
        <v>17</v>
      </c>
      <c r="G1104" s="12" t="s">
        <v>46</v>
      </c>
      <c r="H1104" s="12"/>
      <c r="I1104" s="14">
        <v>45218</v>
      </c>
      <c r="J1104" s="12" t="s">
        <v>439</v>
      </c>
    </row>
    <row r="1105" spans="1:10" s="15" customFormat="1" x14ac:dyDescent="0.15">
      <c r="A1105" s="11">
        <v>45219</v>
      </c>
      <c r="B1105" s="12" t="s">
        <v>400</v>
      </c>
      <c r="C1105" s="12" t="s">
        <v>441</v>
      </c>
      <c r="D1105" s="13" t="str">
        <f>HYPERLINK("https://www.marklines.com/en/global/2729","Volvo Cars, Torslanda, Goteborg Plant")</f>
        <v>Volvo Cars, Torslanda, Goteborg Plant</v>
      </c>
      <c r="E1105" s="12" t="s">
        <v>442</v>
      </c>
      <c r="F1105" s="12" t="s">
        <v>17</v>
      </c>
      <c r="G1105" s="12" t="s">
        <v>50</v>
      </c>
      <c r="H1105" s="12"/>
      <c r="I1105" s="14">
        <v>45218</v>
      </c>
      <c r="J1105" s="12" t="s">
        <v>443</v>
      </c>
    </row>
    <row r="1106" spans="1:10" s="15" customFormat="1" x14ac:dyDescent="0.15">
      <c r="A1106" s="11">
        <v>45219</v>
      </c>
      <c r="B1106" s="12" t="s">
        <v>400</v>
      </c>
      <c r="C1106" s="12" t="s">
        <v>441</v>
      </c>
      <c r="D1106" s="13" t="str">
        <f>HYPERLINK("https://www.marklines.com/en/global/2727","Volvo Car Corporation (Volvo Personvagnar AB)")</f>
        <v>Volvo Car Corporation (Volvo Personvagnar AB)</v>
      </c>
      <c r="E1106" s="12" t="s">
        <v>444</v>
      </c>
      <c r="F1106" s="12" t="s">
        <v>17</v>
      </c>
      <c r="G1106" s="12" t="s">
        <v>50</v>
      </c>
      <c r="H1106" s="12"/>
      <c r="I1106" s="14">
        <v>45218</v>
      </c>
      <c r="J1106" s="12" t="s">
        <v>443</v>
      </c>
    </row>
    <row r="1107" spans="1:10" s="15" customFormat="1" x14ac:dyDescent="0.15">
      <c r="A1107" s="11">
        <v>45219</v>
      </c>
      <c r="B1107" s="12" t="s">
        <v>15</v>
      </c>
      <c r="C1107" s="12" t="s">
        <v>15</v>
      </c>
      <c r="D1107" s="13" t="str">
        <f>HYPERLINK("https://www.marklines.com/en/global/3125","Honda of Canada Manufacturing, Honda Canada Inc., Alliston Plant")</f>
        <v>Honda of Canada Manufacturing, Honda Canada Inc., Alliston Plant</v>
      </c>
      <c r="E1107" s="12" t="s">
        <v>445</v>
      </c>
      <c r="F1107" s="12" t="s">
        <v>16</v>
      </c>
      <c r="G1107" s="12" t="s">
        <v>446</v>
      </c>
      <c r="H1107" s="12"/>
      <c r="I1107" s="14">
        <v>45218</v>
      </c>
      <c r="J1107" s="12" t="s">
        <v>447</v>
      </c>
    </row>
    <row r="1108" spans="1:10" s="15" customFormat="1" x14ac:dyDescent="0.15">
      <c r="A1108" s="11">
        <v>45219</v>
      </c>
      <c r="B1108" s="12" t="s">
        <v>15</v>
      </c>
      <c r="C1108" s="12" t="s">
        <v>15</v>
      </c>
      <c r="D1108" s="13" t="str">
        <f>HYPERLINK("https://www.marklines.com/en/global/3117","Honda Manufacturing of Indiana, LLC (HMIN), Greensburg Plant")</f>
        <v>Honda Manufacturing of Indiana, LLC (HMIN), Greensburg Plant</v>
      </c>
      <c r="E1108" s="12" t="s">
        <v>448</v>
      </c>
      <c r="F1108" s="12" t="s">
        <v>16</v>
      </c>
      <c r="G1108" s="12" t="s">
        <v>11</v>
      </c>
      <c r="H1108" s="12" t="s">
        <v>296</v>
      </c>
      <c r="I1108" s="14">
        <v>45218</v>
      </c>
      <c r="J1108" s="12" t="s">
        <v>447</v>
      </c>
    </row>
    <row r="1109" spans="1:10" s="15" customFormat="1" x14ac:dyDescent="0.15">
      <c r="A1109" s="11">
        <v>45219</v>
      </c>
      <c r="B1109" s="12" t="s">
        <v>41</v>
      </c>
      <c r="C1109" s="12" t="s">
        <v>42</v>
      </c>
      <c r="D1109" s="13" t="str">
        <f>HYPERLINK("https://www.marklines.com/en/global/3049","Mercedes-Benz U.S. International (MBUSI), Tuscaloosa (Vance) Plant")</f>
        <v>Mercedes-Benz U.S. International (MBUSI), Tuscaloosa (Vance) Plant</v>
      </c>
      <c r="E1109" s="12" t="s">
        <v>259</v>
      </c>
      <c r="F1109" s="12" t="s">
        <v>16</v>
      </c>
      <c r="G1109" s="12" t="s">
        <v>11</v>
      </c>
      <c r="H1109" s="12" t="s">
        <v>260</v>
      </c>
      <c r="I1109" s="14">
        <v>45218</v>
      </c>
      <c r="J1109" s="12" t="s">
        <v>449</v>
      </c>
    </row>
    <row r="1110" spans="1:10" s="15" customFormat="1" x14ac:dyDescent="0.15">
      <c r="A1110" s="11">
        <v>45219</v>
      </c>
      <c r="B1110" s="12" t="s">
        <v>254</v>
      </c>
      <c r="C1110" s="12" t="s">
        <v>254</v>
      </c>
      <c r="D1110" s="13" t="str">
        <f>HYPERLINK("https://www.marklines.com/en/global/10671","Tesla Gigafactory Mexico")</f>
        <v>Tesla Gigafactory Mexico</v>
      </c>
      <c r="E1110" s="12" t="s">
        <v>450</v>
      </c>
      <c r="F1110" s="12" t="s">
        <v>16</v>
      </c>
      <c r="G1110" s="12" t="s">
        <v>91</v>
      </c>
      <c r="H1110" s="12"/>
      <c r="I1110" s="14">
        <v>45217</v>
      </c>
      <c r="J1110" s="12" t="s">
        <v>451</v>
      </c>
    </row>
    <row r="1111" spans="1:10" s="15" customFormat="1" x14ac:dyDescent="0.15">
      <c r="A1111" s="11">
        <v>45219</v>
      </c>
      <c r="B1111" s="12" t="s">
        <v>254</v>
      </c>
      <c r="C1111" s="12" t="s">
        <v>254</v>
      </c>
      <c r="D1111" s="13" t="str">
        <f>HYPERLINK("https://www.marklines.com/en/global/10321","Tesla Gigafactory Texas")</f>
        <v>Tesla Gigafactory Texas</v>
      </c>
      <c r="E1111" s="12" t="s">
        <v>255</v>
      </c>
      <c r="F1111" s="12" t="s">
        <v>16</v>
      </c>
      <c r="G1111" s="12" t="s">
        <v>11</v>
      </c>
      <c r="H1111" s="12" t="s">
        <v>256</v>
      </c>
      <c r="I1111" s="14">
        <v>45217</v>
      </c>
      <c r="J1111" s="12" t="s">
        <v>451</v>
      </c>
    </row>
    <row r="1112" spans="1:10" s="15" customFormat="1" x14ac:dyDescent="0.15">
      <c r="A1112" s="11">
        <v>45219</v>
      </c>
      <c r="B1112" s="12" t="s">
        <v>12</v>
      </c>
      <c r="C1112" s="12" t="s">
        <v>19</v>
      </c>
      <c r="D1112" s="13" t="str">
        <f>HYPERLINK("https://www.marklines.com/en/global/2521","General Motors, Bowling Green Plant")</f>
        <v>General Motors, Bowling Green Plant</v>
      </c>
      <c r="E1112" s="12" t="s">
        <v>452</v>
      </c>
      <c r="F1112" s="12" t="s">
        <v>16</v>
      </c>
      <c r="G1112" s="12" t="s">
        <v>11</v>
      </c>
      <c r="H1112" s="12" t="s">
        <v>90</v>
      </c>
      <c r="I1112" s="14">
        <v>45217</v>
      </c>
      <c r="J1112" s="12" t="s">
        <v>453</v>
      </c>
    </row>
    <row r="1113" spans="1:10" s="15" customFormat="1" x14ac:dyDescent="0.15">
      <c r="A1113" s="11">
        <v>45218</v>
      </c>
      <c r="B1113" s="12" t="s">
        <v>321</v>
      </c>
      <c r="C1113" s="12" t="s">
        <v>454</v>
      </c>
      <c r="D1113" s="13" t="str">
        <f>HYPERLINK("https://www.marklines.com/en/global/3425","Beiqi Foton Motor Co., Ltd.")</f>
        <v>Beiqi Foton Motor Co., Ltd.</v>
      </c>
      <c r="E1113" s="12" t="s">
        <v>455</v>
      </c>
      <c r="F1113" s="12" t="s">
        <v>20</v>
      </c>
      <c r="G1113" s="12" t="s">
        <v>27</v>
      </c>
      <c r="H1113" s="12" t="s">
        <v>456</v>
      </c>
      <c r="I1113" s="14">
        <v>45218</v>
      </c>
      <c r="J1113" s="12" t="s">
        <v>457</v>
      </c>
    </row>
    <row r="1114" spans="1:10" s="15" customFormat="1" x14ac:dyDescent="0.15">
      <c r="A1114" s="11">
        <v>45218</v>
      </c>
      <c r="B1114" s="12" t="s">
        <v>13</v>
      </c>
      <c r="C1114" s="12" t="s">
        <v>458</v>
      </c>
      <c r="D1114" s="13" t="str">
        <f>HYPERLINK("https://www.marklines.com/en/global/1365","Piaggio &amp; C S.p.A. Veicoli Trasporto Leggero, Pontedera Plant")</f>
        <v>Piaggio &amp; C S.p.A. Veicoli Trasporto Leggero, Pontedera Plant</v>
      </c>
      <c r="E1114" s="12" t="s">
        <v>459</v>
      </c>
      <c r="F1114" s="12" t="s">
        <v>17</v>
      </c>
      <c r="G1114" s="12" t="s">
        <v>46</v>
      </c>
      <c r="H1114" s="12"/>
      <c r="I1114" s="14">
        <v>45218</v>
      </c>
      <c r="J1114" s="12" t="s">
        <v>457</v>
      </c>
    </row>
    <row r="1115" spans="1:10" s="15" customFormat="1" x14ac:dyDescent="0.15">
      <c r="A1115" s="11">
        <v>45218</v>
      </c>
      <c r="B1115" s="12" t="s">
        <v>45</v>
      </c>
      <c r="C1115" s="12" t="s">
        <v>119</v>
      </c>
      <c r="D1115" s="13" t="str">
        <f>HYPERLINK("https://www.marklines.com/en/global/1325","Stellantis, FCA Italy, Melfi Plant")</f>
        <v>Stellantis, FCA Italy, Melfi Plant</v>
      </c>
      <c r="E1115" s="12" t="s">
        <v>78</v>
      </c>
      <c r="F1115" s="12" t="s">
        <v>17</v>
      </c>
      <c r="G1115" s="12" t="s">
        <v>46</v>
      </c>
      <c r="H1115" s="12"/>
      <c r="I1115" s="14">
        <v>45218</v>
      </c>
      <c r="J1115" s="12" t="s">
        <v>460</v>
      </c>
    </row>
    <row r="1116" spans="1:10" s="15" customFormat="1" x14ac:dyDescent="0.15">
      <c r="A1116" s="11">
        <v>45218</v>
      </c>
      <c r="B1116" s="12" t="s">
        <v>45</v>
      </c>
      <c r="C1116" s="12" t="s">
        <v>45</v>
      </c>
      <c r="D1116" s="13" t="str">
        <f>HYPERLINK("https://www.marklines.com/en/global/10614","Automotive Cell Company (ACC), Douvrin/Billy-Berclau Plant")</f>
        <v>Automotive Cell Company (ACC), Douvrin/Billy-Berclau Plant</v>
      </c>
      <c r="E1116" s="12" t="s">
        <v>461</v>
      </c>
      <c r="F1116" s="12" t="s">
        <v>17</v>
      </c>
      <c r="G1116" s="12" t="s">
        <v>32</v>
      </c>
      <c r="H1116" s="12"/>
      <c r="I1116" s="14">
        <v>45218</v>
      </c>
      <c r="J1116" s="12" t="s">
        <v>462</v>
      </c>
    </row>
    <row r="1117" spans="1:10" s="15" customFormat="1" x14ac:dyDescent="0.15">
      <c r="A1117" s="11">
        <v>45218</v>
      </c>
      <c r="B1117" s="12" t="s">
        <v>15</v>
      </c>
      <c r="C1117" s="12" t="s">
        <v>15</v>
      </c>
      <c r="D1117" s="13" t="str">
        <f>HYPERLINK("https://www.marklines.com/en/global/1029","Honda Atlas Cars (Pakistan) Ltd., Lahore Plant")</f>
        <v>Honda Atlas Cars (Pakistan) Ltd., Lahore Plant</v>
      </c>
      <c r="E1117" s="12" t="s">
        <v>463</v>
      </c>
      <c r="F1117" s="12" t="s">
        <v>25</v>
      </c>
      <c r="G1117" s="12" t="s">
        <v>82</v>
      </c>
      <c r="H1117" s="12"/>
      <c r="I1117" s="14">
        <v>45217</v>
      </c>
      <c r="J1117" s="12" t="s">
        <v>464</v>
      </c>
    </row>
    <row r="1118" spans="1:10" s="15" customFormat="1" x14ac:dyDescent="0.15">
      <c r="A1118" s="11">
        <v>45218</v>
      </c>
      <c r="B1118" s="12" t="s">
        <v>35</v>
      </c>
      <c r="C1118" s="12" t="s">
        <v>35</v>
      </c>
      <c r="D1118" s="13" t="str">
        <f>HYPERLINK("https://www.marklines.com/en/global/1255","Maruti Suzuki India Ltd. (MSIL), Manesar Plant")</f>
        <v>Maruti Suzuki India Ltd. (MSIL), Manesar Plant</v>
      </c>
      <c r="E1118" s="12" t="s">
        <v>465</v>
      </c>
      <c r="F1118" s="12" t="s">
        <v>25</v>
      </c>
      <c r="G1118" s="12" t="s">
        <v>26</v>
      </c>
      <c r="H1118" s="12" t="s">
        <v>290</v>
      </c>
      <c r="I1118" s="14">
        <v>45217</v>
      </c>
      <c r="J1118" s="12" t="s">
        <v>466</v>
      </c>
    </row>
    <row r="1119" spans="1:10" s="15" customFormat="1" x14ac:dyDescent="0.15">
      <c r="A1119" s="11">
        <v>45218</v>
      </c>
      <c r="B1119" s="12" t="s">
        <v>35</v>
      </c>
      <c r="C1119" s="12" t="s">
        <v>35</v>
      </c>
      <c r="D1119" s="13" t="str">
        <f>HYPERLINK("https://www.marklines.com/en/global/1251","Maruti Suzuki India Ltd. (MSIL)")</f>
        <v>Maruti Suzuki India Ltd. (MSIL)</v>
      </c>
      <c r="E1119" s="12" t="s">
        <v>467</v>
      </c>
      <c r="F1119" s="12" t="s">
        <v>25</v>
      </c>
      <c r="G1119" s="12" t="s">
        <v>26</v>
      </c>
      <c r="H1119" s="12" t="s">
        <v>468</v>
      </c>
      <c r="I1119" s="14">
        <v>45217</v>
      </c>
      <c r="J1119" s="12" t="s">
        <v>466</v>
      </c>
    </row>
    <row r="1120" spans="1:10" s="15" customFormat="1" x14ac:dyDescent="0.15">
      <c r="A1120" s="11">
        <v>45218</v>
      </c>
      <c r="B1120" s="12" t="s">
        <v>35</v>
      </c>
      <c r="C1120" s="12" t="s">
        <v>35</v>
      </c>
      <c r="D1120" s="13" t="str">
        <f>HYPERLINK("https://www.marklines.com/en/global/1256","Suzuki Motor Gujarat Private Limited (SMG), Hansalpur plant")</f>
        <v>Suzuki Motor Gujarat Private Limited (SMG), Hansalpur plant</v>
      </c>
      <c r="E1120" s="12" t="s">
        <v>469</v>
      </c>
      <c r="F1120" s="12" t="s">
        <v>25</v>
      </c>
      <c r="G1120" s="12" t="s">
        <v>26</v>
      </c>
      <c r="H1120" s="12" t="s">
        <v>470</v>
      </c>
      <c r="I1120" s="14">
        <v>45217</v>
      </c>
      <c r="J1120" s="12" t="s">
        <v>466</v>
      </c>
    </row>
    <row r="1121" spans="1:10" s="15" customFormat="1" x14ac:dyDescent="0.15">
      <c r="A1121" s="11">
        <v>45218</v>
      </c>
      <c r="B1121" s="12" t="s">
        <v>35</v>
      </c>
      <c r="C1121" s="12" t="s">
        <v>35</v>
      </c>
      <c r="D1121" s="13" t="str">
        <f>HYPERLINK("https://www.marklines.com/en/global/1253","Maruti Suzuki India Ltd. (MSIL), Gurgaon Plant")</f>
        <v>Maruti Suzuki India Ltd. (MSIL), Gurgaon Plant</v>
      </c>
      <c r="E1121" s="12" t="s">
        <v>289</v>
      </c>
      <c r="F1121" s="12" t="s">
        <v>25</v>
      </c>
      <c r="G1121" s="12" t="s">
        <v>26</v>
      </c>
      <c r="H1121" s="12" t="s">
        <v>290</v>
      </c>
      <c r="I1121" s="14">
        <v>45217</v>
      </c>
      <c r="J1121" s="12" t="s">
        <v>466</v>
      </c>
    </row>
    <row r="1122" spans="1:10" s="15" customFormat="1" x14ac:dyDescent="0.15">
      <c r="A1122" s="11">
        <v>45218</v>
      </c>
      <c r="B1122" s="12" t="s">
        <v>13</v>
      </c>
      <c r="C1122" s="12" t="s">
        <v>340</v>
      </c>
      <c r="D1122" s="13" t="str">
        <f>HYPERLINK("https://www.marklines.com/en/global/10641","NWTN (Zhejiang) Motor Co., Ltd.")</f>
        <v>NWTN (Zhejiang) Motor Co., Ltd.</v>
      </c>
      <c r="E1122" s="12" t="s">
        <v>341</v>
      </c>
      <c r="F1122" s="12" t="s">
        <v>20</v>
      </c>
      <c r="G1122" s="12" t="s">
        <v>27</v>
      </c>
      <c r="H1122" s="12" t="s">
        <v>342</v>
      </c>
      <c r="I1122" s="14">
        <v>45217</v>
      </c>
      <c r="J1122" s="12" t="s">
        <v>471</v>
      </c>
    </row>
    <row r="1123" spans="1:10" s="15" customFormat="1" x14ac:dyDescent="0.15">
      <c r="A1123" s="11">
        <v>45218</v>
      </c>
      <c r="B1123" s="12" t="s">
        <v>243</v>
      </c>
      <c r="C1123" s="12" t="s">
        <v>243</v>
      </c>
      <c r="D1123" s="13" t="str">
        <f>HYPERLINK("https://www.marklines.com/en/global/10160","Renault Technical Center of Lardy")</f>
        <v>Renault Technical Center of Lardy</v>
      </c>
      <c r="E1123" s="12" t="s">
        <v>472</v>
      </c>
      <c r="F1123" s="12" t="s">
        <v>17</v>
      </c>
      <c r="G1123" s="12" t="s">
        <v>32</v>
      </c>
      <c r="H1123" s="12"/>
      <c r="I1123" s="14">
        <v>45217</v>
      </c>
      <c r="J1123" s="12" t="s">
        <v>473</v>
      </c>
    </row>
    <row r="1124" spans="1:10" s="15" customFormat="1" x14ac:dyDescent="0.15">
      <c r="A1124" s="11">
        <v>45218</v>
      </c>
      <c r="B1124" s="12" t="s">
        <v>35</v>
      </c>
      <c r="C1124" s="12" t="s">
        <v>35</v>
      </c>
      <c r="D1124" s="13" t="str">
        <f>HYPERLINK("https://www.marklines.com/en/global/1061","Pak Suzuki Motor Co., Ltd. (PSMCL), Karachi Plant")</f>
        <v>Pak Suzuki Motor Co., Ltd. (PSMCL), Karachi Plant</v>
      </c>
      <c r="E1124" s="12" t="s">
        <v>474</v>
      </c>
      <c r="F1124" s="12" t="s">
        <v>25</v>
      </c>
      <c r="G1124" s="12" t="s">
        <v>82</v>
      </c>
      <c r="H1124" s="12"/>
      <c r="I1124" s="14">
        <v>45216</v>
      </c>
      <c r="J1124" s="12" t="s">
        <v>475</v>
      </c>
    </row>
    <row r="1125" spans="1:10" s="15" customFormat="1" x14ac:dyDescent="0.15">
      <c r="A1125" s="11">
        <v>45218</v>
      </c>
      <c r="B1125" s="12" t="s">
        <v>65</v>
      </c>
      <c r="C1125" s="12" t="s">
        <v>348</v>
      </c>
      <c r="D1125" s="13" t="str">
        <f>HYPERLINK("https://www.marklines.com/en/global/2671","Stellantis, FCA Canada, Brampton Assembly Plant and Brampton Satellite Stamping Plant")</f>
        <v>Stellantis, FCA Canada, Brampton Assembly Plant and Brampton Satellite Stamping Plant</v>
      </c>
      <c r="E1125" s="12" t="s">
        <v>476</v>
      </c>
      <c r="F1125" s="12" t="s">
        <v>16</v>
      </c>
      <c r="G1125" s="12" t="s">
        <v>446</v>
      </c>
      <c r="H1125" s="12"/>
      <c r="I1125" s="14">
        <v>45216</v>
      </c>
      <c r="J1125" s="12" t="s">
        <v>477</v>
      </c>
    </row>
    <row r="1126" spans="1:10" s="15" customFormat="1" x14ac:dyDescent="0.15">
      <c r="A1126" s="11">
        <v>45218</v>
      </c>
      <c r="B1126" s="12" t="s">
        <v>65</v>
      </c>
      <c r="C1126" s="12" t="s">
        <v>348</v>
      </c>
      <c r="D1126" s="13" t="str">
        <f>HYPERLINK("https://www.marklines.com/en/global/2673","Stellantis, FCA Canada, Etobicoke Casting Plant")</f>
        <v>Stellantis, FCA Canada, Etobicoke Casting Plant</v>
      </c>
      <c r="E1126" s="12" t="s">
        <v>478</v>
      </c>
      <c r="F1126" s="12" t="s">
        <v>16</v>
      </c>
      <c r="G1126" s="12" t="s">
        <v>446</v>
      </c>
      <c r="H1126" s="12"/>
      <c r="I1126" s="14">
        <v>45216</v>
      </c>
      <c r="J1126" s="12" t="s">
        <v>477</v>
      </c>
    </row>
    <row r="1127" spans="1:10" s="15" customFormat="1" x14ac:dyDescent="0.15">
      <c r="A1127" s="11">
        <v>45218</v>
      </c>
      <c r="B1127" s="12" t="s">
        <v>65</v>
      </c>
      <c r="C1127" s="12" t="s">
        <v>348</v>
      </c>
      <c r="D1127" s="13" t="str">
        <f>HYPERLINK("https://www.marklines.com/en/global/2675","Stellantis, FCA Canada, Windsor Assembly Plant")</f>
        <v>Stellantis, FCA Canada, Windsor Assembly Plant</v>
      </c>
      <c r="E1127" s="12" t="s">
        <v>479</v>
      </c>
      <c r="F1127" s="12" t="s">
        <v>16</v>
      </c>
      <c r="G1127" s="12" t="s">
        <v>446</v>
      </c>
      <c r="H1127" s="12"/>
      <c r="I1127" s="14">
        <v>45216</v>
      </c>
      <c r="J1127" s="12" t="s">
        <v>477</v>
      </c>
    </row>
    <row r="1128" spans="1:10" s="15" customFormat="1" x14ac:dyDescent="0.15">
      <c r="A1128" s="11">
        <v>45218</v>
      </c>
      <c r="B1128" s="12" t="s">
        <v>65</v>
      </c>
      <c r="C1128" s="12" t="s">
        <v>480</v>
      </c>
      <c r="D1128" s="13" t="str">
        <f>HYPERLINK("https://www.marklines.com/en/global/2671","Stellantis, FCA Canada, Brampton Assembly Plant and Brampton Satellite Stamping Plant")</f>
        <v>Stellantis, FCA Canada, Brampton Assembly Plant and Brampton Satellite Stamping Plant</v>
      </c>
      <c r="E1128" s="12" t="s">
        <v>476</v>
      </c>
      <c r="F1128" s="12" t="s">
        <v>16</v>
      </c>
      <c r="G1128" s="12" t="s">
        <v>446</v>
      </c>
      <c r="H1128" s="12"/>
      <c r="I1128" s="14">
        <v>45216</v>
      </c>
      <c r="J1128" s="12" t="s">
        <v>477</v>
      </c>
    </row>
    <row r="1129" spans="1:10" s="15" customFormat="1" x14ac:dyDescent="0.15">
      <c r="A1129" s="11">
        <v>45218</v>
      </c>
      <c r="B1129" s="12" t="s">
        <v>45</v>
      </c>
      <c r="C1129" s="12" t="s">
        <v>45</v>
      </c>
      <c r="D1129" s="13" t="str">
        <f>HYPERLINK("https://www.marklines.com/en/global/10577","NextStar Energy, Windsor Battery Plant")</f>
        <v>NextStar Energy, Windsor Battery Plant</v>
      </c>
      <c r="E1129" s="12" t="s">
        <v>481</v>
      </c>
      <c r="F1129" s="12" t="s">
        <v>16</v>
      </c>
      <c r="G1129" s="12" t="s">
        <v>446</v>
      </c>
      <c r="H1129" s="12"/>
      <c r="I1129" s="14">
        <v>45216</v>
      </c>
      <c r="J1129" s="12" t="s">
        <v>477</v>
      </c>
    </row>
    <row r="1130" spans="1:10" s="15" customFormat="1" x14ac:dyDescent="0.15">
      <c r="A1130" s="11">
        <v>45218</v>
      </c>
      <c r="B1130" s="12" t="s">
        <v>408</v>
      </c>
      <c r="C1130" s="12" t="s">
        <v>482</v>
      </c>
      <c r="D1130" s="13" t="str">
        <f>HYPERLINK("https://www.marklines.com/en/global/9039","SAIC GM Wuling Automobile Co., Ltd. Chongqing Branch (SGMW Chongqing Branch)")</f>
        <v>SAIC GM Wuling Automobile Co., Ltd. Chongqing Branch (SGMW Chongqing Branch)</v>
      </c>
      <c r="E1130" s="12" t="s">
        <v>483</v>
      </c>
      <c r="F1130" s="12" t="s">
        <v>20</v>
      </c>
      <c r="G1130" s="12" t="s">
        <v>27</v>
      </c>
      <c r="H1130" s="12" t="s">
        <v>29</v>
      </c>
      <c r="I1130" s="14">
        <v>45215</v>
      </c>
      <c r="J1130" s="12" t="s">
        <v>484</v>
      </c>
    </row>
    <row r="1131" spans="1:10" s="15" customFormat="1" x14ac:dyDescent="0.15">
      <c r="A1131" s="11">
        <v>45218</v>
      </c>
      <c r="B1131" s="12" t="s">
        <v>408</v>
      </c>
      <c r="C1131" s="12" t="s">
        <v>482</v>
      </c>
      <c r="D1131" s="13" t="str">
        <f>HYPERLINK("https://www.marklines.com/en/global/4153","SAIC-GM-Wuling Automobile Co., Ltd. (SGMW)　")</f>
        <v>SAIC-GM-Wuling Automobile Co., Ltd. (SGMW)　</v>
      </c>
      <c r="E1131" s="12" t="s">
        <v>485</v>
      </c>
      <c r="F1131" s="12" t="s">
        <v>20</v>
      </c>
      <c r="G1131" s="12" t="s">
        <v>27</v>
      </c>
      <c r="H1131" s="12" t="s">
        <v>486</v>
      </c>
      <c r="I1131" s="14">
        <v>45215</v>
      </c>
      <c r="J1131" s="12" t="s">
        <v>484</v>
      </c>
    </row>
    <row r="1132" spans="1:10" s="15" customFormat="1" x14ac:dyDescent="0.15">
      <c r="A1132" s="11">
        <v>45218</v>
      </c>
      <c r="B1132" s="12" t="s">
        <v>24</v>
      </c>
      <c r="C1132" s="12" t="s">
        <v>24</v>
      </c>
      <c r="D1132" s="13" t="str">
        <f>HYPERLINK("https://www.marklines.com/en/global/2575","Ford Motor, Sterling Axle Plant")</f>
        <v>Ford Motor, Sterling Axle Plant</v>
      </c>
      <c r="E1132" s="12" t="s">
        <v>155</v>
      </c>
      <c r="F1132" s="12" t="s">
        <v>16</v>
      </c>
      <c r="G1132" s="12" t="s">
        <v>11</v>
      </c>
      <c r="H1132" s="12" t="s">
        <v>40</v>
      </c>
      <c r="I1132" s="14">
        <v>45215</v>
      </c>
      <c r="J1132" s="12" t="s">
        <v>487</v>
      </c>
    </row>
    <row r="1133" spans="1:10" s="15" customFormat="1" x14ac:dyDescent="0.15">
      <c r="A1133" s="11">
        <v>45218</v>
      </c>
      <c r="B1133" s="12" t="s">
        <v>12</v>
      </c>
      <c r="C1133" s="12" t="s">
        <v>19</v>
      </c>
      <c r="D1133" s="13" t="str">
        <f>HYPERLINK("https://www.marklines.com/en/global/2521","General Motors, Bowling Green Plant")</f>
        <v>General Motors, Bowling Green Plant</v>
      </c>
      <c r="E1133" s="12" t="s">
        <v>452</v>
      </c>
      <c r="F1133" s="12" t="s">
        <v>16</v>
      </c>
      <c r="G1133" s="12" t="s">
        <v>11</v>
      </c>
      <c r="H1133" s="12" t="s">
        <v>90</v>
      </c>
      <c r="I1133" s="14">
        <v>45215</v>
      </c>
      <c r="J1133" s="12" t="s">
        <v>488</v>
      </c>
    </row>
    <row r="1134" spans="1:10" s="15" customFormat="1" x14ac:dyDescent="0.15">
      <c r="A1134" s="11">
        <v>45218</v>
      </c>
      <c r="B1134" s="12" t="s">
        <v>56</v>
      </c>
      <c r="C1134" s="12" t="s">
        <v>56</v>
      </c>
      <c r="D1134" s="13" t="str">
        <f>HYPERLINK("https://www.marklines.com/en/global/3189","Nissan North America, Smyrna Plant")</f>
        <v>Nissan North America, Smyrna Plant</v>
      </c>
      <c r="E1134" s="12" t="s">
        <v>489</v>
      </c>
      <c r="F1134" s="12" t="s">
        <v>16</v>
      </c>
      <c r="G1134" s="12" t="s">
        <v>11</v>
      </c>
      <c r="H1134" s="12" t="s">
        <v>490</v>
      </c>
      <c r="I1134" s="14">
        <v>45215</v>
      </c>
      <c r="J1134" s="12" t="s">
        <v>491</v>
      </c>
    </row>
    <row r="1135" spans="1:10" s="15" customFormat="1" x14ac:dyDescent="0.15">
      <c r="A1135" s="11">
        <v>45218</v>
      </c>
      <c r="B1135" s="12" t="s">
        <v>56</v>
      </c>
      <c r="C1135" s="12" t="s">
        <v>56</v>
      </c>
      <c r="D1135" s="13" t="str">
        <f>HYPERLINK("https://www.marklines.com/en/global/10402","AESC US LLC, Smyrna Plant")</f>
        <v>AESC US LLC, Smyrna Plant</v>
      </c>
      <c r="E1135" s="12" t="s">
        <v>492</v>
      </c>
      <c r="F1135" s="12" t="s">
        <v>16</v>
      </c>
      <c r="G1135" s="12" t="s">
        <v>11</v>
      </c>
      <c r="H1135" s="12" t="s">
        <v>490</v>
      </c>
      <c r="I1135" s="14">
        <v>45215</v>
      </c>
      <c r="J1135" s="12" t="s">
        <v>491</v>
      </c>
    </row>
    <row r="1136" spans="1:10" s="15" customFormat="1" x14ac:dyDescent="0.15">
      <c r="A1136" s="11">
        <v>45218</v>
      </c>
      <c r="B1136" s="12" t="s">
        <v>400</v>
      </c>
      <c r="C1136" s="12" t="s">
        <v>416</v>
      </c>
      <c r="D1136" s="13" t="str">
        <f>HYPERLINK("https://www.marklines.com/en/global/9345","Geely Sichuan Commercial Vehicle Co., Ltd.")</f>
        <v>Geely Sichuan Commercial Vehicle Co., Ltd.</v>
      </c>
      <c r="E1136" s="12" t="s">
        <v>493</v>
      </c>
      <c r="F1136" s="12" t="s">
        <v>20</v>
      </c>
      <c r="G1136" s="12" t="s">
        <v>27</v>
      </c>
      <c r="H1136" s="12" t="s">
        <v>429</v>
      </c>
      <c r="I1136" s="14">
        <v>45212</v>
      </c>
      <c r="J1136" s="12" t="s">
        <v>494</v>
      </c>
    </row>
    <row r="1137" spans="1:10" s="15" customFormat="1" x14ac:dyDescent="0.15">
      <c r="A1137" s="11">
        <v>45218</v>
      </c>
      <c r="B1137" s="12" t="s">
        <v>495</v>
      </c>
      <c r="C1137" s="12" t="s">
        <v>495</v>
      </c>
      <c r="D1137" s="13" t="str">
        <f>HYPERLINK("https://www.marklines.com/en/global/3449","China Changan Automobile Group Co., Ltd. ")</f>
        <v xml:space="preserve">China Changan Automobile Group Co., Ltd. </v>
      </c>
      <c r="E1137" s="12" t="s">
        <v>496</v>
      </c>
      <c r="F1137" s="12" t="s">
        <v>20</v>
      </c>
      <c r="G1137" s="12" t="s">
        <v>27</v>
      </c>
      <c r="H1137" s="12" t="s">
        <v>456</v>
      </c>
      <c r="I1137" s="14">
        <v>45212</v>
      </c>
      <c r="J1137" s="12" t="s">
        <v>497</v>
      </c>
    </row>
    <row r="1138" spans="1:10" s="15" customFormat="1" x14ac:dyDescent="0.15">
      <c r="A1138" s="11">
        <v>45218</v>
      </c>
      <c r="B1138" s="12" t="s">
        <v>498</v>
      </c>
      <c r="C1138" s="12" t="s">
        <v>498</v>
      </c>
      <c r="D1138" s="13" t="str">
        <f>HYPERLINK("https://www.marklines.com/en/global/4173","Qingling Motors (Group) Co., Ltd. (Former QingLing Vehicle Manufacture Company)")</f>
        <v>Qingling Motors (Group) Co., Ltd. (Former QingLing Vehicle Manufacture Company)</v>
      </c>
      <c r="E1138" s="12" t="s">
        <v>499</v>
      </c>
      <c r="F1138" s="12" t="s">
        <v>20</v>
      </c>
      <c r="G1138" s="12" t="s">
        <v>27</v>
      </c>
      <c r="H1138" s="12" t="s">
        <v>29</v>
      </c>
      <c r="I1138" s="14">
        <v>45212</v>
      </c>
      <c r="J1138" s="12" t="s">
        <v>497</v>
      </c>
    </row>
    <row r="1139" spans="1:10" s="15" customFormat="1" x14ac:dyDescent="0.15">
      <c r="A1139" s="11">
        <v>45218</v>
      </c>
      <c r="B1139" s="12" t="s">
        <v>321</v>
      </c>
      <c r="C1139" s="12" t="s">
        <v>454</v>
      </c>
      <c r="D1139" s="13" t="str">
        <f>HYPERLINK("https://www.marklines.com/en/global/3685","Beiqi Foton Motor Co., Ltd. Forland Truck Plant (formerly Beiqi Foton Motor Co., Ltd. Zhucheng Ollin Automobile Factory)")</f>
        <v>Beiqi Foton Motor Co., Ltd. Forland Truck Plant (formerly Beiqi Foton Motor Co., Ltd. Zhucheng Ollin Automobile Factory)</v>
      </c>
      <c r="E1139" s="12" t="s">
        <v>500</v>
      </c>
      <c r="F1139" s="12" t="s">
        <v>20</v>
      </c>
      <c r="G1139" s="12" t="s">
        <v>27</v>
      </c>
      <c r="H1139" s="12" t="s">
        <v>354</v>
      </c>
      <c r="I1139" s="14">
        <v>45211</v>
      </c>
      <c r="J1139" s="12" t="s">
        <v>501</v>
      </c>
    </row>
    <row r="1140" spans="1:10" s="15" customFormat="1" x14ac:dyDescent="0.15">
      <c r="A1140" s="11">
        <v>45218</v>
      </c>
      <c r="B1140" s="12" t="s">
        <v>43</v>
      </c>
      <c r="C1140" s="12" t="s">
        <v>43</v>
      </c>
      <c r="D1140" s="13" t="str">
        <f>HYPERLINK("https://www.marklines.com/en/global/2865","Hyundai Motor Brasil (HMB), Piracicaba Plant")</f>
        <v>Hyundai Motor Brasil (HMB), Piracicaba Plant</v>
      </c>
      <c r="E1140" s="12" t="s">
        <v>502</v>
      </c>
      <c r="F1140" s="12" t="s">
        <v>425</v>
      </c>
      <c r="G1140" s="12" t="s">
        <v>426</v>
      </c>
      <c r="H1140" s="12"/>
      <c r="I1140" s="14">
        <v>45209</v>
      </c>
      <c r="J1140" s="12" t="s">
        <v>503</v>
      </c>
    </row>
    <row r="1141" spans="1:10" s="15" customFormat="1" x14ac:dyDescent="0.15">
      <c r="A1141" s="11">
        <v>45218</v>
      </c>
      <c r="B1141" s="12" t="s">
        <v>12</v>
      </c>
      <c r="C1141" s="12" t="s">
        <v>19</v>
      </c>
      <c r="D1141" s="13" t="str">
        <f>HYPERLINK("https://www.marklines.com/en/global/2781","General Motors Argentina, Rosario Plant")</f>
        <v>General Motors Argentina, Rosario Plant</v>
      </c>
      <c r="E1141" s="12" t="s">
        <v>504</v>
      </c>
      <c r="F1141" s="12" t="s">
        <v>425</v>
      </c>
      <c r="G1141" s="12" t="s">
        <v>505</v>
      </c>
      <c r="H1141" s="12"/>
      <c r="I1141" s="14">
        <v>45209</v>
      </c>
      <c r="J1141" s="12" t="s">
        <v>506</v>
      </c>
    </row>
    <row r="1142" spans="1:10" s="15" customFormat="1" x14ac:dyDescent="0.15">
      <c r="A1142" s="11">
        <v>45218</v>
      </c>
      <c r="B1142" s="12" t="s">
        <v>400</v>
      </c>
      <c r="C1142" s="12" t="s">
        <v>400</v>
      </c>
      <c r="D1142" s="13" t="str">
        <f>HYPERLINK("https://www.marklines.com/en/global/3807","Zhejiang Geely Holding Group Co., Ltd.")</f>
        <v>Zhejiang Geely Holding Group Co., Ltd.</v>
      </c>
      <c r="E1142" s="12" t="s">
        <v>401</v>
      </c>
      <c r="F1142" s="12" t="s">
        <v>20</v>
      </c>
      <c r="G1142" s="12" t="s">
        <v>27</v>
      </c>
      <c r="H1142" s="12" t="s">
        <v>342</v>
      </c>
      <c r="I1142" s="14">
        <v>45191</v>
      </c>
      <c r="J1142" s="12" t="s">
        <v>507</v>
      </c>
    </row>
    <row r="1143" spans="1:10" s="15" customFormat="1" x14ac:dyDescent="0.15">
      <c r="A1143" s="11">
        <v>45218</v>
      </c>
      <c r="B1143" s="12" t="s">
        <v>31</v>
      </c>
      <c r="C1143" s="12" t="s">
        <v>31</v>
      </c>
      <c r="D1143" s="13" t="str">
        <f>HYPERLINK("https://www.marklines.com/en/global/3377","BMW Brilliance Automotive Limited (BBA), Tiexi Plant ")</f>
        <v xml:space="preserve">BMW Brilliance Automotive Limited (BBA), Tiexi Plant </v>
      </c>
      <c r="E1143" s="12" t="s">
        <v>508</v>
      </c>
      <c r="F1143" s="12" t="s">
        <v>20</v>
      </c>
      <c r="G1143" s="12" t="s">
        <v>27</v>
      </c>
      <c r="H1143" s="12" t="s">
        <v>509</v>
      </c>
      <c r="I1143" s="14">
        <v>45190</v>
      </c>
      <c r="J1143" s="12" t="s">
        <v>510</v>
      </c>
    </row>
    <row r="1144" spans="1:10" s="15" customFormat="1" x14ac:dyDescent="0.15">
      <c r="A1144" s="11">
        <v>45217</v>
      </c>
      <c r="B1144" s="12" t="s">
        <v>33</v>
      </c>
      <c r="C1144" s="12" t="s">
        <v>44</v>
      </c>
      <c r="D1144" s="13" t="str">
        <f>HYPERLINK("https://www.marklines.com/en/global/10365","Northvolt Ett, Skellefteå Gigafactory")</f>
        <v>Northvolt Ett, Skellefteå Gigafactory</v>
      </c>
      <c r="E1144" s="12" t="s">
        <v>511</v>
      </c>
      <c r="F1144" s="12" t="s">
        <v>17</v>
      </c>
      <c r="G1144" s="12" t="s">
        <v>50</v>
      </c>
      <c r="H1144" s="12"/>
      <c r="I1144" s="14">
        <v>45217</v>
      </c>
      <c r="J1144" s="12" t="s">
        <v>512</v>
      </c>
    </row>
    <row r="1145" spans="1:10" s="15" customFormat="1" x14ac:dyDescent="0.15">
      <c r="A1145" s="11">
        <v>45217</v>
      </c>
      <c r="B1145" s="12" t="s">
        <v>33</v>
      </c>
      <c r="C1145" s="12" t="s">
        <v>513</v>
      </c>
      <c r="D1145" s="13" t="str">
        <f>HYPERLINK("https://www.marklines.com/en/global/2695","Scania AB, Södertälje Plant")</f>
        <v>Scania AB, Södertälje Plant</v>
      </c>
      <c r="E1145" s="12" t="s">
        <v>514</v>
      </c>
      <c r="F1145" s="12" t="s">
        <v>17</v>
      </c>
      <c r="G1145" s="12" t="s">
        <v>50</v>
      </c>
      <c r="H1145" s="12"/>
      <c r="I1145" s="14">
        <v>45217</v>
      </c>
      <c r="J1145" s="12" t="s">
        <v>512</v>
      </c>
    </row>
    <row r="1146" spans="1:10" s="15" customFormat="1" x14ac:dyDescent="0.15">
      <c r="A1146" s="11">
        <v>45217</v>
      </c>
      <c r="B1146" s="12" t="s">
        <v>45</v>
      </c>
      <c r="C1146" s="12" t="s">
        <v>515</v>
      </c>
      <c r="D1146" s="13" t="str">
        <f>HYPERLINK("https://www.marklines.com/en/global/1767","Stellantis, PCA Slovakia, s.r.o.(PSA Peugeot Citroën Slovakia), Trnava Plant")</f>
        <v>Stellantis, PCA Slovakia, s.r.o.(PSA Peugeot Citroën Slovakia), Trnava Plant</v>
      </c>
      <c r="E1146" s="12" t="s">
        <v>516</v>
      </c>
      <c r="F1146" s="12" t="s">
        <v>18</v>
      </c>
      <c r="G1146" s="12" t="s">
        <v>55</v>
      </c>
      <c r="H1146" s="12"/>
      <c r="I1146" s="14">
        <v>45216</v>
      </c>
      <c r="J1146" s="12" t="s">
        <v>517</v>
      </c>
    </row>
    <row r="1147" spans="1:10" s="15" customFormat="1" x14ac:dyDescent="0.15">
      <c r="A1147" s="11">
        <v>45217</v>
      </c>
      <c r="B1147" s="12" t="s">
        <v>45</v>
      </c>
      <c r="C1147" s="12" t="s">
        <v>515</v>
      </c>
      <c r="D1147" s="13" t="str">
        <f>HYPERLINK("https://www.marklines.com/en/global/10417","Stellantis Design Studio (Vélizy-Villacoublay)")</f>
        <v>Stellantis Design Studio (Vélizy-Villacoublay)</v>
      </c>
      <c r="E1147" s="12" t="s">
        <v>518</v>
      </c>
      <c r="F1147" s="12" t="s">
        <v>17</v>
      </c>
      <c r="G1147" s="12" t="s">
        <v>32</v>
      </c>
      <c r="H1147" s="12"/>
      <c r="I1147" s="14">
        <v>45216</v>
      </c>
      <c r="J1147" s="12" t="s">
        <v>517</v>
      </c>
    </row>
    <row r="1148" spans="1:10" s="15" customFormat="1" x14ac:dyDescent="0.15">
      <c r="A1148" s="11">
        <v>45217</v>
      </c>
      <c r="B1148" s="12" t="s">
        <v>24</v>
      </c>
      <c r="C1148" s="12" t="s">
        <v>24</v>
      </c>
      <c r="D1148" s="13" t="str">
        <f>HYPERLINK("https://www.marklines.com/en/global/615","Ford South Africa, Struandale Engine Plant")</f>
        <v>Ford South Africa, Struandale Engine Plant</v>
      </c>
      <c r="E1148" s="12" t="s">
        <v>519</v>
      </c>
      <c r="F1148" s="12" t="s">
        <v>69</v>
      </c>
      <c r="G1148" s="12" t="s">
        <v>70</v>
      </c>
      <c r="H1148" s="12"/>
      <c r="I1148" s="14">
        <v>45216</v>
      </c>
      <c r="J1148" s="12" t="s">
        <v>520</v>
      </c>
    </row>
    <row r="1149" spans="1:10" s="15" customFormat="1" x14ac:dyDescent="0.15">
      <c r="A1149" s="11">
        <v>45217</v>
      </c>
      <c r="B1149" s="12" t="s">
        <v>33</v>
      </c>
      <c r="C1149" s="12" t="s">
        <v>80</v>
      </c>
      <c r="D1149" s="13" t="str">
        <f>HYPERLINK("https://www.marklines.com/en/global/10682","TC Motor – Skoda, Quang Ninh Plant (tentative name)")</f>
        <v>TC Motor – Skoda, Quang Ninh Plant (tentative name)</v>
      </c>
      <c r="E1149" s="12" t="s">
        <v>521</v>
      </c>
      <c r="F1149" s="12" t="s">
        <v>34</v>
      </c>
      <c r="G1149" s="12" t="s">
        <v>110</v>
      </c>
      <c r="H1149" s="12"/>
      <c r="I1149" s="14">
        <v>45216</v>
      </c>
      <c r="J1149" s="12" t="s">
        <v>522</v>
      </c>
    </row>
    <row r="1150" spans="1:10" s="15" customFormat="1" x14ac:dyDescent="0.15">
      <c r="A1150" s="11">
        <v>45217</v>
      </c>
      <c r="B1150" s="12" t="s">
        <v>33</v>
      </c>
      <c r="C1150" s="12" t="s">
        <v>80</v>
      </c>
      <c r="D1150" s="13" t="str">
        <f>HYPERLINK("https://www.marklines.com/en/global/1304","ŠKODA AUTO Volkswagen India Pvt. Ltd. (SAVWIPL) (formerly Skoda Auto India Private Ltd.)")</f>
        <v>ŠKODA AUTO Volkswagen India Pvt. Ltd. (SAVWIPL) (formerly Skoda Auto India Private Ltd.)</v>
      </c>
      <c r="E1150" s="12" t="s">
        <v>523</v>
      </c>
      <c r="F1150" s="12" t="s">
        <v>25</v>
      </c>
      <c r="G1150" s="12" t="s">
        <v>26</v>
      </c>
      <c r="H1150" s="12" t="s">
        <v>113</v>
      </c>
      <c r="I1150" s="14">
        <v>45216</v>
      </c>
      <c r="J1150" s="12" t="s">
        <v>522</v>
      </c>
    </row>
    <row r="1151" spans="1:10" s="15" customFormat="1" x14ac:dyDescent="0.15">
      <c r="A1151" s="11">
        <v>45217</v>
      </c>
      <c r="B1151" s="12" t="s">
        <v>243</v>
      </c>
      <c r="C1151" s="12" t="s">
        <v>243</v>
      </c>
      <c r="D1151" s="13" t="str">
        <f>HYPERLINK("https://www.marklines.com/en/global/179","Renault S.A., Cléon Plant")</f>
        <v>Renault S.A., Cléon Plant</v>
      </c>
      <c r="E1151" s="12" t="s">
        <v>524</v>
      </c>
      <c r="F1151" s="12" t="s">
        <v>17</v>
      </c>
      <c r="G1151" s="12" t="s">
        <v>32</v>
      </c>
      <c r="H1151" s="12"/>
      <c r="I1151" s="14">
        <v>45216</v>
      </c>
      <c r="J1151" s="12" t="s">
        <v>525</v>
      </c>
    </row>
    <row r="1152" spans="1:10" s="15" customFormat="1" x14ac:dyDescent="0.15">
      <c r="A1152" s="11">
        <v>45217</v>
      </c>
      <c r="B1152" s="12" t="s">
        <v>12</v>
      </c>
      <c r="C1152" s="12" t="s">
        <v>19</v>
      </c>
      <c r="D1152" s="13" t="str">
        <f>HYPERLINK("https://www.marklines.com/en/global/2479","General Motors, Orion Assembly Plant")</f>
        <v>General Motors, Orion Assembly Plant</v>
      </c>
      <c r="E1152" s="12" t="s">
        <v>526</v>
      </c>
      <c r="F1152" s="12" t="s">
        <v>16</v>
      </c>
      <c r="G1152" s="12" t="s">
        <v>11</v>
      </c>
      <c r="H1152" s="12" t="s">
        <v>40</v>
      </c>
      <c r="I1152" s="14">
        <v>45216</v>
      </c>
      <c r="J1152" s="12" t="s">
        <v>527</v>
      </c>
    </row>
    <row r="1153" spans="1:10" s="15" customFormat="1" x14ac:dyDescent="0.15">
      <c r="A1153" s="11">
        <v>45217</v>
      </c>
      <c r="B1153" s="12" t="s">
        <v>12</v>
      </c>
      <c r="C1153" s="12" t="s">
        <v>19</v>
      </c>
      <c r="D1153" s="13" t="str">
        <f>HYPERLINK("https://www.marklines.com/en/global/2459","General Motors, Factory ZERO (Detroit-Hamtramck Plant) ")</f>
        <v xml:space="preserve">General Motors, Factory ZERO (Detroit-Hamtramck Plant) </v>
      </c>
      <c r="E1153" s="12" t="s">
        <v>528</v>
      </c>
      <c r="F1153" s="12" t="s">
        <v>16</v>
      </c>
      <c r="G1153" s="12" t="s">
        <v>11</v>
      </c>
      <c r="H1153" s="12" t="s">
        <v>40</v>
      </c>
      <c r="I1153" s="14">
        <v>45216</v>
      </c>
      <c r="J1153" s="12" t="s">
        <v>527</v>
      </c>
    </row>
    <row r="1154" spans="1:10" s="15" customFormat="1" x14ac:dyDescent="0.15">
      <c r="A1154" s="11">
        <v>45217</v>
      </c>
      <c r="B1154" s="12" t="s">
        <v>12</v>
      </c>
      <c r="C1154" s="12" t="s">
        <v>529</v>
      </c>
      <c r="D1154" s="13" t="str">
        <f>HYPERLINK("https://www.marklines.com/en/global/2459","General Motors, Factory ZERO (Detroit-Hamtramck Plant) ")</f>
        <v xml:space="preserve">General Motors, Factory ZERO (Detroit-Hamtramck Plant) </v>
      </c>
      <c r="E1154" s="12" t="s">
        <v>528</v>
      </c>
      <c r="F1154" s="12" t="s">
        <v>16</v>
      </c>
      <c r="G1154" s="12" t="s">
        <v>11</v>
      </c>
      <c r="H1154" s="12" t="s">
        <v>40</v>
      </c>
      <c r="I1154" s="14">
        <v>45216</v>
      </c>
      <c r="J1154" s="12" t="s">
        <v>527</v>
      </c>
    </row>
    <row r="1155" spans="1:10" s="15" customFormat="1" x14ac:dyDescent="0.15">
      <c r="A1155" s="11">
        <v>45217</v>
      </c>
      <c r="B1155" s="12" t="s">
        <v>12</v>
      </c>
      <c r="C1155" s="12" t="s">
        <v>530</v>
      </c>
      <c r="D1155" s="13" t="str">
        <f>HYPERLINK("https://www.marklines.com/en/global/2479","General Motors, Orion Assembly Plant")</f>
        <v>General Motors, Orion Assembly Plant</v>
      </c>
      <c r="E1155" s="12" t="s">
        <v>526</v>
      </c>
      <c r="F1155" s="12" t="s">
        <v>16</v>
      </c>
      <c r="G1155" s="12" t="s">
        <v>11</v>
      </c>
      <c r="H1155" s="12" t="s">
        <v>40</v>
      </c>
      <c r="I1155" s="14">
        <v>45216</v>
      </c>
      <c r="J1155" s="12" t="s">
        <v>527</v>
      </c>
    </row>
    <row r="1156" spans="1:10" s="15" customFormat="1" x14ac:dyDescent="0.15">
      <c r="A1156" s="11">
        <v>45217</v>
      </c>
      <c r="B1156" s="12" t="s">
        <v>12</v>
      </c>
      <c r="C1156" s="12" t="s">
        <v>530</v>
      </c>
      <c r="D1156" s="13" t="str">
        <f>HYPERLINK("https://www.marklines.com/en/global/2459","General Motors, Factory ZERO (Detroit-Hamtramck Plant) ")</f>
        <v xml:space="preserve">General Motors, Factory ZERO (Detroit-Hamtramck Plant) </v>
      </c>
      <c r="E1156" s="12" t="s">
        <v>528</v>
      </c>
      <c r="F1156" s="12" t="s">
        <v>16</v>
      </c>
      <c r="G1156" s="12" t="s">
        <v>11</v>
      </c>
      <c r="H1156" s="12" t="s">
        <v>40</v>
      </c>
      <c r="I1156" s="14">
        <v>45216</v>
      </c>
      <c r="J1156" s="12" t="s">
        <v>527</v>
      </c>
    </row>
    <row r="1157" spans="1:10" s="15" customFormat="1" x14ac:dyDescent="0.15">
      <c r="A1157" s="11">
        <v>45217</v>
      </c>
      <c r="B1157" s="12" t="s">
        <v>531</v>
      </c>
      <c r="C1157" s="12" t="s">
        <v>531</v>
      </c>
      <c r="D1157" s="13" t="str">
        <f>HYPERLINK("https://www.marklines.com/en/global/9873","Lucid Motors (Lucid Group, Inc.), Casa Grande plant (AMP-1)")</f>
        <v>Lucid Motors (Lucid Group, Inc.), Casa Grande plant (AMP-1)</v>
      </c>
      <c r="E1157" s="12" t="s">
        <v>532</v>
      </c>
      <c r="F1157" s="12" t="s">
        <v>16</v>
      </c>
      <c r="G1157" s="12" t="s">
        <v>11</v>
      </c>
      <c r="H1157" s="12" t="s">
        <v>533</v>
      </c>
      <c r="I1157" s="14">
        <v>45216</v>
      </c>
      <c r="J1157" s="12" t="s">
        <v>534</v>
      </c>
    </row>
    <row r="1158" spans="1:10" s="15" customFormat="1" x14ac:dyDescent="0.15">
      <c r="A1158" s="11">
        <v>45217</v>
      </c>
      <c r="B1158" s="12" t="s">
        <v>531</v>
      </c>
      <c r="C1158" s="12" t="s">
        <v>531</v>
      </c>
      <c r="D1158" s="13" t="str">
        <f>HYPERLINK("https://www.marklines.com/en/global/10762","Lucid Advanced Manufacturing Plant (AMP-2) ")</f>
        <v xml:space="preserve">Lucid Advanced Manufacturing Plant (AMP-2) </v>
      </c>
      <c r="E1158" s="12" t="s">
        <v>535</v>
      </c>
      <c r="F1158" s="12" t="s">
        <v>106</v>
      </c>
      <c r="G1158" s="12" t="s">
        <v>536</v>
      </c>
      <c r="H1158" s="12"/>
      <c r="I1158" s="14">
        <v>45216</v>
      </c>
      <c r="J1158" s="12" t="s">
        <v>534</v>
      </c>
    </row>
    <row r="1159" spans="1:10" s="15" customFormat="1" x14ac:dyDescent="0.15">
      <c r="A1159" s="11">
        <v>45217</v>
      </c>
      <c r="B1159" s="12" t="s">
        <v>437</v>
      </c>
      <c r="C1159" s="12" t="s">
        <v>437</v>
      </c>
      <c r="D1159" s="13" t="str">
        <f>HYPERLINK("https://www.marklines.com/en/global/965","Inokom Corporation Sdn. Bhd., Kulim Plant")</f>
        <v>Inokom Corporation Sdn. Bhd., Kulim Plant</v>
      </c>
      <c r="E1159" s="12" t="s">
        <v>537</v>
      </c>
      <c r="F1159" s="12" t="s">
        <v>34</v>
      </c>
      <c r="G1159" s="12" t="s">
        <v>538</v>
      </c>
      <c r="H1159" s="12"/>
      <c r="I1159" s="14">
        <v>45215</v>
      </c>
      <c r="J1159" s="12" t="s">
        <v>539</v>
      </c>
    </row>
    <row r="1160" spans="1:10" s="15" customFormat="1" x14ac:dyDescent="0.15">
      <c r="A1160" s="11">
        <v>45217</v>
      </c>
      <c r="B1160" s="12" t="s">
        <v>437</v>
      </c>
      <c r="C1160" s="12" t="s">
        <v>540</v>
      </c>
      <c r="D1160" s="13" t="str">
        <f>HYPERLINK("https://www.marklines.com/en/global/965","Inokom Corporation Sdn. Bhd., Kulim Plant")</f>
        <v>Inokom Corporation Sdn. Bhd., Kulim Plant</v>
      </c>
      <c r="E1160" s="12" t="s">
        <v>537</v>
      </c>
      <c r="F1160" s="12" t="s">
        <v>34</v>
      </c>
      <c r="G1160" s="12" t="s">
        <v>538</v>
      </c>
      <c r="H1160" s="12"/>
      <c r="I1160" s="14">
        <v>45215</v>
      </c>
      <c r="J1160" s="12" t="s">
        <v>539</v>
      </c>
    </row>
    <row r="1161" spans="1:10" s="15" customFormat="1" x14ac:dyDescent="0.15">
      <c r="A1161" s="11">
        <v>45217</v>
      </c>
      <c r="B1161" s="12" t="s">
        <v>13</v>
      </c>
      <c r="C1161" s="12" t="s">
        <v>541</v>
      </c>
      <c r="D1161" s="13" t="str">
        <f>HYPERLINK("https://www.marklines.com/en/global/965","Inokom Corporation Sdn. Bhd., Kulim Plant")</f>
        <v>Inokom Corporation Sdn. Bhd., Kulim Plant</v>
      </c>
      <c r="E1161" s="12" t="s">
        <v>537</v>
      </c>
      <c r="F1161" s="12" t="s">
        <v>34</v>
      </c>
      <c r="G1161" s="12" t="s">
        <v>538</v>
      </c>
      <c r="H1161" s="12"/>
      <c r="I1161" s="14">
        <v>45215</v>
      </c>
      <c r="J1161" s="12" t="s">
        <v>539</v>
      </c>
    </row>
    <row r="1162" spans="1:10" s="15" customFormat="1" x14ac:dyDescent="0.15">
      <c r="A1162" s="11">
        <v>45217</v>
      </c>
      <c r="B1162" s="12" t="s">
        <v>56</v>
      </c>
      <c r="C1162" s="12" t="s">
        <v>56</v>
      </c>
      <c r="D1162" s="13" t="str">
        <f>HYPERLINK("https://www.marklines.com/en/global/10730","AESC US LLC, South Carolina Plant")</f>
        <v>AESC US LLC, South Carolina Plant</v>
      </c>
      <c r="E1162" s="12" t="s">
        <v>542</v>
      </c>
      <c r="F1162" s="12" t="s">
        <v>16</v>
      </c>
      <c r="G1162" s="12" t="s">
        <v>11</v>
      </c>
      <c r="H1162" s="12" t="s">
        <v>306</v>
      </c>
      <c r="I1162" s="14">
        <v>45215</v>
      </c>
      <c r="J1162" s="12" t="s">
        <v>543</v>
      </c>
    </row>
    <row r="1163" spans="1:10" s="15" customFormat="1" x14ac:dyDescent="0.15">
      <c r="A1163" s="11">
        <v>45217</v>
      </c>
      <c r="B1163" s="12" t="s">
        <v>56</v>
      </c>
      <c r="C1163" s="12" t="s">
        <v>56</v>
      </c>
      <c r="D1163" s="13" t="str">
        <f>HYPERLINK("https://www.marklines.com/en/global/10402","AESC US LLC, Smyrna Plant")</f>
        <v>AESC US LLC, Smyrna Plant</v>
      </c>
      <c r="E1163" s="12" t="s">
        <v>492</v>
      </c>
      <c r="F1163" s="12" t="s">
        <v>16</v>
      </c>
      <c r="G1163" s="12" t="s">
        <v>11</v>
      </c>
      <c r="H1163" s="12" t="s">
        <v>490</v>
      </c>
      <c r="I1163" s="14">
        <v>45215</v>
      </c>
      <c r="J1163" s="12" t="s">
        <v>543</v>
      </c>
    </row>
    <row r="1164" spans="1:10" s="15" customFormat="1" x14ac:dyDescent="0.15">
      <c r="A1164" s="11">
        <v>45217</v>
      </c>
      <c r="B1164" s="12" t="s">
        <v>31</v>
      </c>
      <c r="C1164" s="12" t="s">
        <v>31</v>
      </c>
      <c r="D1164" s="13" t="str">
        <f>HYPERLINK("https://www.marklines.com/en/global/3045","BMW Manufacturing Co., Spartanburg Plant")</f>
        <v>BMW Manufacturing Co., Spartanburg Plant</v>
      </c>
      <c r="E1164" s="12" t="s">
        <v>305</v>
      </c>
      <c r="F1164" s="12" t="s">
        <v>16</v>
      </c>
      <c r="G1164" s="12" t="s">
        <v>11</v>
      </c>
      <c r="H1164" s="12" t="s">
        <v>306</v>
      </c>
      <c r="I1164" s="14">
        <v>45215</v>
      </c>
      <c r="J1164" s="12" t="s">
        <v>543</v>
      </c>
    </row>
    <row r="1165" spans="1:10" s="15" customFormat="1" x14ac:dyDescent="0.15">
      <c r="A1165" s="11">
        <v>45217</v>
      </c>
      <c r="B1165" s="12" t="s">
        <v>31</v>
      </c>
      <c r="C1165" s="12" t="s">
        <v>31</v>
      </c>
      <c r="D1165" s="13" t="str">
        <f>HYPERLINK("https://www.marklines.com/en/global/10729","BMW, Plant Woodruff")</f>
        <v>BMW, Plant Woodruff</v>
      </c>
      <c r="E1165" s="12" t="s">
        <v>308</v>
      </c>
      <c r="F1165" s="12" t="s">
        <v>16</v>
      </c>
      <c r="G1165" s="12" t="s">
        <v>11</v>
      </c>
      <c r="H1165" s="12" t="s">
        <v>306</v>
      </c>
      <c r="I1165" s="14">
        <v>45215</v>
      </c>
      <c r="J1165" s="12" t="s">
        <v>543</v>
      </c>
    </row>
    <row r="1166" spans="1:10" s="15" customFormat="1" x14ac:dyDescent="0.15">
      <c r="A1166" s="11">
        <v>45217</v>
      </c>
      <c r="B1166" s="12" t="s">
        <v>316</v>
      </c>
      <c r="C1166" s="12" t="s">
        <v>316</v>
      </c>
      <c r="D1166" s="13" t="str">
        <f>HYPERLINK("https://www.marklines.com/en/global/10441","BYD Automobile Co., Ltd. Changzhou Branch")</f>
        <v>BYD Automobile Co., Ltd. Changzhou Branch</v>
      </c>
      <c r="E1166" s="12" t="s">
        <v>317</v>
      </c>
      <c r="F1166" s="12" t="s">
        <v>20</v>
      </c>
      <c r="G1166" s="12" t="s">
        <v>27</v>
      </c>
      <c r="H1166" s="12" t="s">
        <v>278</v>
      </c>
      <c r="I1166" s="14">
        <v>45214</v>
      </c>
      <c r="J1166" s="12" t="s">
        <v>544</v>
      </c>
    </row>
    <row r="1167" spans="1:10" s="15" customFormat="1" x14ac:dyDescent="0.15">
      <c r="A1167" s="11">
        <v>45217</v>
      </c>
      <c r="B1167" s="12" t="s">
        <v>316</v>
      </c>
      <c r="C1167" s="12" t="s">
        <v>316</v>
      </c>
      <c r="D1167" s="13" t="str">
        <f>HYPERLINK("https://www.marklines.com/en/global/4269","BYD Automobile Co., Ltd.")</f>
        <v>BYD Automobile Co., Ltd.</v>
      </c>
      <c r="E1167" s="12" t="s">
        <v>319</v>
      </c>
      <c r="F1167" s="12" t="s">
        <v>20</v>
      </c>
      <c r="G1167" s="12" t="s">
        <v>27</v>
      </c>
      <c r="H1167" s="12" t="s">
        <v>320</v>
      </c>
      <c r="I1167" s="14">
        <v>45214</v>
      </c>
      <c r="J1167" s="12" t="s">
        <v>544</v>
      </c>
    </row>
    <row r="1168" spans="1:10" s="15" customFormat="1" x14ac:dyDescent="0.15">
      <c r="A1168" s="11">
        <v>45217</v>
      </c>
      <c r="B1168" s="12" t="s">
        <v>400</v>
      </c>
      <c r="C1168" s="12" t="s">
        <v>400</v>
      </c>
      <c r="D1168" s="13" t="str">
        <f>HYPERLINK("https://www.marklines.com/en/global/3807","Zhejiang Geely Holding Group Co., Ltd.")</f>
        <v>Zhejiang Geely Holding Group Co., Ltd.</v>
      </c>
      <c r="E1168" s="12" t="s">
        <v>401</v>
      </c>
      <c r="F1168" s="12" t="s">
        <v>20</v>
      </c>
      <c r="G1168" s="12" t="s">
        <v>27</v>
      </c>
      <c r="H1168" s="12" t="s">
        <v>342</v>
      </c>
      <c r="I1168" s="14">
        <v>45212</v>
      </c>
      <c r="J1168" s="12" t="s">
        <v>545</v>
      </c>
    </row>
    <row r="1169" spans="1:10" s="15" customFormat="1" x14ac:dyDescent="0.15">
      <c r="A1169" s="11">
        <v>45217</v>
      </c>
      <c r="B1169" s="12" t="s">
        <v>254</v>
      </c>
      <c r="C1169" s="12" t="s">
        <v>254</v>
      </c>
      <c r="D1169" s="13" t="str">
        <f>HYPERLINK("https://www.marklines.com/en/global/10671","Tesla Gigafactory Mexico")</f>
        <v>Tesla Gigafactory Mexico</v>
      </c>
      <c r="E1169" s="12" t="s">
        <v>450</v>
      </c>
      <c r="F1169" s="12" t="s">
        <v>16</v>
      </c>
      <c r="G1169" s="12" t="s">
        <v>91</v>
      </c>
      <c r="H1169" s="12"/>
      <c r="I1169" s="14">
        <v>45212</v>
      </c>
      <c r="J1169" s="12" t="s">
        <v>546</v>
      </c>
    </row>
    <row r="1170" spans="1:10" s="15" customFormat="1" x14ac:dyDescent="0.15">
      <c r="A1170" s="11">
        <v>45217</v>
      </c>
      <c r="B1170" s="12" t="s">
        <v>344</v>
      </c>
      <c r="C1170" s="12" t="s">
        <v>345</v>
      </c>
      <c r="D1170" s="13" t="str">
        <f>HYPERLINK("https://www.marklines.com/en/global/10712","Neta Zhihe New Energy Vehicle Technology (Shanghai) Co., Ltd.")</f>
        <v>Neta Zhihe New Energy Vehicle Technology (Shanghai) Co., Ltd.</v>
      </c>
      <c r="E1170" s="12" t="s">
        <v>346</v>
      </c>
      <c r="F1170" s="12" t="s">
        <v>20</v>
      </c>
      <c r="G1170" s="12" t="s">
        <v>27</v>
      </c>
      <c r="H1170" s="12" t="s">
        <v>314</v>
      </c>
      <c r="I1170" s="14">
        <v>45211</v>
      </c>
      <c r="J1170" s="12" t="s">
        <v>547</v>
      </c>
    </row>
    <row r="1171" spans="1:10" s="15" customFormat="1" x14ac:dyDescent="0.15">
      <c r="A1171" s="11">
        <v>45217</v>
      </c>
      <c r="B1171" s="12" t="s">
        <v>408</v>
      </c>
      <c r="C1171" s="12" t="s">
        <v>548</v>
      </c>
      <c r="D1171" s="13" t="str">
        <f>HYPERLINK("https://www.marklines.com/en/global/3611","SAIC Motor Passenger Vehicle Co., Ltd. Lingang Plant")</f>
        <v>SAIC Motor Passenger Vehicle Co., Ltd. Lingang Plant</v>
      </c>
      <c r="E1171" s="12" t="s">
        <v>549</v>
      </c>
      <c r="F1171" s="12" t="s">
        <v>20</v>
      </c>
      <c r="G1171" s="12" t="s">
        <v>27</v>
      </c>
      <c r="H1171" s="12" t="s">
        <v>314</v>
      </c>
      <c r="I1171" s="14">
        <v>45211</v>
      </c>
      <c r="J1171" s="12" t="s">
        <v>550</v>
      </c>
    </row>
    <row r="1172" spans="1:10" s="15" customFormat="1" x14ac:dyDescent="0.15">
      <c r="A1172" s="11">
        <v>45217</v>
      </c>
      <c r="B1172" s="12" t="s">
        <v>551</v>
      </c>
      <c r="C1172" s="12" t="s">
        <v>552</v>
      </c>
      <c r="D1172" s="13" t="str">
        <f>HYPERLINK("https://www.marklines.com/en/global/9165","Dongfeng Motor (Wuhan) Co., Ltd. (formerly Dongfeng Renault Automotive  Co., Ltd.) ")</f>
        <v xml:space="preserve">Dongfeng Motor (Wuhan) Co., Ltd. (formerly Dongfeng Renault Automotive  Co., Ltd.) </v>
      </c>
      <c r="E1172" s="12" t="s">
        <v>553</v>
      </c>
      <c r="F1172" s="12" t="s">
        <v>20</v>
      </c>
      <c r="G1172" s="12" t="s">
        <v>27</v>
      </c>
      <c r="H1172" s="12" t="s">
        <v>554</v>
      </c>
      <c r="I1172" s="14">
        <v>45211</v>
      </c>
      <c r="J1172" s="12" t="s">
        <v>555</v>
      </c>
    </row>
    <row r="1173" spans="1:10" s="15" customFormat="1" x14ac:dyDescent="0.15">
      <c r="A1173" s="11">
        <v>45217</v>
      </c>
      <c r="B1173" s="12" t="s">
        <v>24</v>
      </c>
      <c r="C1173" s="12" t="s">
        <v>24</v>
      </c>
      <c r="D1173" s="13" t="str">
        <f>HYPERLINK("https://www.marklines.com/en/global/4167","Changan Ford Automobile Co., Ltd.")</f>
        <v>Changan Ford Automobile Co., Ltd.</v>
      </c>
      <c r="E1173" s="12" t="s">
        <v>556</v>
      </c>
      <c r="F1173" s="12" t="s">
        <v>20</v>
      </c>
      <c r="G1173" s="12" t="s">
        <v>27</v>
      </c>
      <c r="H1173" s="12" t="s">
        <v>29</v>
      </c>
      <c r="I1173" s="14">
        <v>45210</v>
      </c>
      <c r="J1173" s="12" t="s">
        <v>557</v>
      </c>
    </row>
    <row r="1174" spans="1:10" s="15" customFormat="1" x14ac:dyDescent="0.15">
      <c r="A1174" s="11">
        <v>45217</v>
      </c>
      <c r="B1174" s="12" t="s">
        <v>24</v>
      </c>
      <c r="C1174" s="12" t="s">
        <v>24</v>
      </c>
      <c r="D1174" s="13" t="str">
        <f>HYPERLINK("https://www.marklines.com/en/global/10572","Ford Electric Mach Technologies (Nanjing) Co., Ltd. (FMeT)")</f>
        <v>Ford Electric Mach Technologies (Nanjing) Co., Ltd. (FMeT)</v>
      </c>
      <c r="E1174" s="12" t="s">
        <v>558</v>
      </c>
      <c r="F1174" s="12" t="s">
        <v>20</v>
      </c>
      <c r="G1174" s="12" t="s">
        <v>27</v>
      </c>
      <c r="H1174" s="12" t="s">
        <v>278</v>
      </c>
      <c r="I1174" s="14">
        <v>45210</v>
      </c>
      <c r="J1174" s="12" t="s">
        <v>557</v>
      </c>
    </row>
    <row r="1175" spans="1:10" s="15" customFormat="1" x14ac:dyDescent="0.15">
      <c r="A1175" s="11">
        <v>45217</v>
      </c>
      <c r="B1175" s="12" t="s">
        <v>24</v>
      </c>
      <c r="C1175" s="12" t="s">
        <v>24</v>
      </c>
      <c r="D1175" s="13" t="str">
        <f>HYPERLINK("https://www.marklines.com/en/global/10765","Changan Ford NEV Technology Co., Ltd.")</f>
        <v>Changan Ford NEV Technology Co., Ltd.</v>
      </c>
      <c r="E1175" s="12" t="s">
        <v>559</v>
      </c>
      <c r="F1175" s="12" t="s">
        <v>20</v>
      </c>
      <c r="G1175" s="12" t="s">
        <v>27</v>
      </c>
      <c r="H1175" s="12" t="s">
        <v>29</v>
      </c>
      <c r="I1175" s="14">
        <v>45210</v>
      </c>
      <c r="J1175" s="12" t="s">
        <v>557</v>
      </c>
    </row>
    <row r="1176" spans="1:10" s="15" customFormat="1" x14ac:dyDescent="0.15">
      <c r="A1176" s="11">
        <v>45217</v>
      </c>
      <c r="B1176" s="12" t="s">
        <v>495</v>
      </c>
      <c r="C1176" s="12" t="s">
        <v>495</v>
      </c>
      <c r="D1176" s="13" t="str">
        <f>HYPERLINK("https://www.marklines.com/en/global/4167","Changan Ford Automobile Co., Ltd.")</f>
        <v>Changan Ford Automobile Co., Ltd.</v>
      </c>
      <c r="E1176" s="12" t="s">
        <v>556</v>
      </c>
      <c r="F1176" s="12" t="s">
        <v>20</v>
      </c>
      <c r="G1176" s="12" t="s">
        <v>27</v>
      </c>
      <c r="H1176" s="12" t="s">
        <v>29</v>
      </c>
      <c r="I1176" s="14">
        <v>45210</v>
      </c>
      <c r="J1176" s="12" t="s">
        <v>557</v>
      </c>
    </row>
    <row r="1177" spans="1:10" s="15" customFormat="1" x14ac:dyDescent="0.15">
      <c r="A1177" s="11">
        <v>45217</v>
      </c>
      <c r="B1177" s="12" t="s">
        <v>495</v>
      </c>
      <c r="C1177" s="12" t="s">
        <v>495</v>
      </c>
      <c r="D1177" s="13" t="str">
        <f>HYPERLINK("https://www.marklines.com/en/global/4163","Chongqing Changan Automobile Co., Ltd.")</f>
        <v>Chongqing Changan Automobile Co., Ltd.</v>
      </c>
      <c r="E1177" s="12" t="s">
        <v>560</v>
      </c>
      <c r="F1177" s="12" t="s">
        <v>20</v>
      </c>
      <c r="G1177" s="12" t="s">
        <v>27</v>
      </c>
      <c r="H1177" s="12" t="s">
        <v>29</v>
      </c>
      <c r="I1177" s="14">
        <v>45210</v>
      </c>
      <c r="J1177" s="12" t="s">
        <v>557</v>
      </c>
    </row>
    <row r="1178" spans="1:10" s="15" customFormat="1" x14ac:dyDescent="0.15">
      <c r="A1178" s="11">
        <v>45217</v>
      </c>
      <c r="B1178" s="12" t="s">
        <v>495</v>
      </c>
      <c r="C1178" s="12" t="s">
        <v>495</v>
      </c>
      <c r="D1178" s="13" t="str">
        <f>HYPERLINK("https://www.marklines.com/en/global/10765","Changan Ford NEV Technology Co., Ltd.")</f>
        <v>Changan Ford NEV Technology Co., Ltd.</v>
      </c>
      <c r="E1178" s="12" t="s">
        <v>559</v>
      </c>
      <c r="F1178" s="12" t="s">
        <v>20</v>
      </c>
      <c r="G1178" s="12" t="s">
        <v>27</v>
      </c>
      <c r="H1178" s="12" t="s">
        <v>29</v>
      </c>
      <c r="I1178" s="14">
        <v>45210</v>
      </c>
      <c r="J1178" s="12" t="s">
        <v>557</v>
      </c>
    </row>
    <row r="1179" spans="1:10" s="15" customFormat="1" x14ac:dyDescent="0.15">
      <c r="A1179" s="11">
        <v>45217</v>
      </c>
      <c r="B1179" s="12" t="s">
        <v>56</v>
      </c>
      <c r="C1179" s="12" t="s">
        <v>56</v>
      </c>
      <c r="D1179" s="13" t="str">
        <f>HYPERLINK("https://www.marklines.com/en/global/893","Nissan Mexico, Aguascalientes Plant 1")</f>
        <v>Nissan Mexico, Aguascalientes Plant 1</v>
      </c>
      <c r="E1179" s="12" t="s">
        <v>273</v>
      </c>
      <c r="F1179" s="12" t="s">
        <v>16</v>
      </c>
      <c r="G1179" s="12" t="s">
        <v>91</v>
      </c>
      <c r="H1179" s="12"/>
      <c r="I1179" s="14">
        <v>45210</v>
      </c>
      <c r="J1179" s="12" t="s">
        <v>561</v>
      </c>
    </row>
    <row r="1180" spans="1:10" s="15" customFormat="1" x14ac:dyDescent="0.15">
      <c r="A1180" s="11">
        <v>45217</v>
      </c>
      <c r="B1180" s="12" t="s">
        <v>22</v>
      </c>
      <c r="C1180" s="12" t="s">
        <v>22</v>
      </c>
      <c r="D1180" s="13" t="str">
        <f>HYPERLINK("https://www.marklines.com/en/global/379","Toyota Motor, Tsutsumi Plant")</f>
        <v>Toyota Motor, Tsutsumi Plant</v>
      </c>
      <c r="E1180" s="12" t="s">
        <v>562</v>
      </c>
      <c r="F1180" s="12" t="s">
        <v>20</v>
      </c>
      <c r="G1180" s="12" t="s">
        <v>23</v>
      </c>
      <c r="H1180" s="12" t="s">
        <v>61</v>
      </c>
      <c r="I1180" s="14">
        <v>45205</v>
      </c>
      <c r="J1180" s="12" t="s">
        <v>563</v>
      </c>
    </row>
    <row r="1181" spans="1:10" s="15" customFormat="1" x14ac:dyDescent="0.15">
      <c r="A1181" s="11">
        <v>45217</v>
      </c>
      <c r="B1181" s="12" t="s">
        <v>22</v>
      </c>
      <c r="C1181" s="12" t="s">
        <v>22</v>
      </c>
      <c r="D1181" s="13" t="str">
        <f>HYPERLINK("https://www.marklines.com/en/global/10015","Tecno Art Research Co., Ltd. (Nagoya)")</f>
        <v>Tecno Art Research Co., Ltd. (Nagoya)</v>
      </c>
      <c r="E1181" s="12" t="s">
        <v>564</v>
      </c>
      <c r="F1181" s="12" t="s">
        <v>20</v>
      </c>
      <c r="G1181" s="12" t="s">
        <v>23</v>
      </c>
      <c r="H1181" s="12" t="s">
        <v>61</v>
      </c>
      <c r="I1181" s="14">
        <v>45205</v>
      </c>
      <c r="J1181" s="12" t="s">
        <v>565</v>
      </c>
    </row>
    <row r="1182" spans="1:10" s="15" customFormat="1" x14ac:dyDescent="0.15">
      <c r="A1182" s="11">
        <v>45217</v>
      </c>
      <c r="B1182" s="12" t="s">
        <v>22</v>
      </c>
      <c r="C1182" s="12" t="s">
        <v>22</v>
      </c>
      <c r="D1182" s="13" t="str">
        <f>HYPERLINK("https://www.marklines.com/en/global/373","Toyota Motor, Motomachi Plant")</f>
        <v>Toyota Motor, Motomachi Plant</v>
      </c>
      <c r="E1182" s="12" t="s">
        <v>566</v>
      </c>
      <c r="F1182" s="12" t="s">
        <v>20</v>
      </c>
      <c r="G1182" s="12" t="s">
        <v>23</v>
      </c>
      <c r="H1182" s="12" t="s">
        <v>61</v>
      </c>
      <c r="I1182" s="14">
        <v>45205</v>
      </c>
      <c r="J1182" s="12" t="s">
        <v>565</v>
      </c>
    </row>
    <row r="1183" spans="1:10" s="15" customFormat="1" x14ac:dyDescent="0.15">
      <c r="A1183" s="11">
        <v>45217</v>
      </c>
      <c r="B1183" s="12" t="s">
        <v>567</v>
      </c>
      <c r="C1183" s="12" t="s">
        <v>567</v>
      </c>
      <c r="D1183" s="13" t="str">
        <f>HYPERLINK("https://www.marklines.com/en/global/503","Mazda Motor, Hiroshima Plant")</f>
        <v>Mazda Motor, Hiroshima Plant</v>
      </c>
      <c r="E1183" s="12" t="s">
        <v>568</v>
      </c>
      <c r="F1183" s="12" t="s">
        <v>20</v>
      </c>
      <c r="G1183" s="12" t="s">
        <v>23</v>
      </c>
      <c r="H1183" s="12" t="s">
        <v>569</v>
      </c>
      <c r="I1183" s="14">
        <v>45204</v>
      </c>
      <c r="J1183" s="12" t="s">
        <v>570</v>
      </c>
    </row>
    <row r="1184" spans="1:10" s="15" customFormat="1" x14ac:dyDescent="0.15">
      <c r="A1184" s="11">
        <v>45217</v>
      </c>
      <c r="B1184" s="12" t="s">
        <v>15</v>
      </c>
      <c r="C1184" s="12" t="s">
        <v>15</v>
      </c>
      <c r="D1184" s="13" t="str">
        <f>HYPERLINK("https://www.marklines.com/en/global/443","Honda Motor, Suzuka Factory")</f>
        <v>Honda Motor, Suzuka Factory</v>
      </c>
      <c r="E1184" s="12" t="s">
        <v>571</v>
      </c>
      <c r="F1184" s="12" t="s">
        <v>20</v>
      </c>
      <c r="G1184" s="12" t="s">
        <v>23</v>
      </c>
      <c r="H1184" s="12" t="s">
        <v>572</v>
      </c>
      <c r="I1184" s="14">
        <v>45204</v>
      </c>
      <c r="J1184" s="12" t="s">
        <v>573</v>
      </c>
    </row>
    <row r="1185" spans="1:10" s="15" customFormat="1" x14ac:dyDescent="0.15">
      <c r="A1185" s="11">
        <v>45216</v>
      </c>
      <c r="B1185" s="12" t="s">
        <v>35</v>
      </c>
      <c r="C1185" s="12" t="s">
        <v>35</v>
      </c>
      <c r="D1185" s="13" t="str">
        <f>HYPERLINK("https://www.marklines.com/en/global/1251","Maruti Suzuki India Ltd. (MSIL)")</f>
        <v>Maruti Suzuki India Ltd. (MSIL)</v>
      </c>
      <c r="E1185" s="12" t="s">
        <v>467</v>
      </c>
      <c r="F1185" s="12" t="s">
        <v>25</v>
      </c>
      <c r="G1185" s="12" t="s">
        <v>26</v>
      </c>
      <c r="H1185" s="12" t="s">
        <v>468</v>
      </c>
      <c r="I1185" s="14">
        <v>45216</v>
      </c>
      <c r="J1185" s="12" t="s">
        <v>574</v>
      </c>
    </row>
    <row r="1186" spans="1:10" s="15" customFormat="1" x14ac:dyDescent="0.15">
      <c r="A1186" s="11">
        <v>45216</v>
      </c>
      <c r="B1186" s="12" t="s">
        <v>35</v>
      </c>
      <c r="C1186" s="12" t="s">
        <v>35</v>
      </c>
      <c r="D1186" s="13" t="str">
        <f>HYPERLINK("https://www.marklines.com/en/global/1256","Suzuki Motor Gujarat Private Limited (SMG), Hansalpur plant")</f>
        <v>Suzuki Motor Gujarat Private Limited (SMG), Hansalpur plant</v>
      </c>
      <c r="E1186" s="12" t="s">
        <v>469</v>
      </c>
      <c r="F1186" s="12" t="s">
        <v>25</v>
      </c>
      <c r="G1186" s="12" t="s">
        <v>26</v>
      </c>
      <c r="H1186" s="12" t="s">
        <v>470</v>
      </c>
      <c r="I1186" s="14">
        <v>45216</v>
      </c>
      <c r="J1186" s="12" t="s">
        <v>574</v>
      </c>
    </row>
    <row r="1187" spans="1:10" s="15" customFormat="1" x14ac:dyDescent="0.15">
      <c r="A1187" s="11">
        <v>45216</v>
      </c>
      <c r="B1187" s="12" t="s">
        <v>13</v>
      </c>
      <c r="C1187" s="12" t="s">
        <v>13</v>
      </c>
      <c r="D1187" s="13" t="str">
        <f>HYPERLINK("https://www.marklines.com/en/global/1815","Steyr Automotive GmbH, Steyr Plant (formerly MAN Truck &amp; Bus Oesterreich GmbH)")</f>
        <v>Steyr Automotive GmbH, Steyr Plant (formerly MAN Truck &amp; Bus Oesterreich GmbH)</v>
      </c>
      <c r="E1187" s="12" t="s">
        <v>575</v>
      </c>
      <c r="F1187" s="12" t="s">
        <v>17</v>
      </c>
      <c r="G1187" s="12" t="s">
        <v>58</v>
      </c>
      <c r="H1187" s="12"/>
      <c r="I1187" s="14">
        <v>45216</v>
      </c>
      <c r="J1187" s="12" t="s">
        <v>576</v>
      </c>
    </row>
    <row r="1188" spans="1:10" s="15" customFormat="1" x14ac:dyDescent="0.15">
      <c r="A1188" s="11">
        <v>45216</v>
      </c>
      <c r="B1188" s="12" t="s">
        <v>24</v>
      </c>
      <c r="C1188" s="12" t="s">
        <v>24</v>
      </c>
      <c r="D1188" s="13" t="str">
        <f>HYPERLINK("https://www.marklines.com/en/global/10432","Ford, BlueOval SK Battery Park ")</f>
        <v xml:space="preserve">Ford, BlueOval SK Battery Park </v>
      </c>
      <c r="E1188" s="12" t="s">
        <v>577</v>
      </c>
      <c r="F1188" s="12" t="s">
        <v>16</v>
      </c>
      <c r="G1188" s="12" t="s">
        <v>11</v>
      </c>
      <c r="H1188" s="12" t="s">
        <v>90</v>
      </c>
      <c r="I1188" s="14">
        <v>45216</v>
      </c>
      <c r="J1188" s="12" t="s">
        <v>578</v>
      </c>
    </row>
    <row r="1189" spans="1:10" s="15" customFormat="1" x14ac:dyDescent="0.15">
      <c r="A1189" s="11">
        <v>45216</v>
      </c>
      <c r="B1189" s="12" t="s">
        <v>24</v>
      </c>
      <c r="C1189" s="12" t="s">
        <v>24</v>
      </c>
      <c r="D1189" s="13" t="str">
        <f>HYPERLINK("https://www.marklines.com/en/global/10431","Ford, BlueOval City/ BlueOval SK battery plant")</f>
        <v>Ford, BlueOval City/ BlueOval SK battery plant</v>
      </c>
      <c r="E1189" s="12" t="s">
        <v>579</v>
      </c>
      <c r="F1189" s="12" t="s">
        <v>16</v>
      </c>
      <c r="G1189" s="12" t="s">
        <v>11</v>
      </c>
      <c r="H1189" s="12" t="s">
        <v>490</v>
      </c>
      <c r="I1189" s="14">
        <v>45216</v>
      </c>
      <c r="J1189" s="12" t="s">
        <v>578</v>
      </c>
    </row>
    <row r="1190" spans="1:10" s="15" customFormat="1" x14ac:dyDescent="0.15">
      <c r="A1190" s="11">
        <v>45216</v>
      </c>
      <c r="B1190" s="12" t="s">
        <v>22</v>
      </c>
      <c r="C1190" s="12" t="s">
        <v>22</v>
      </c>
      <c r="D1190" s="13" t="str">
        <f>HYPERLINK("https://www.marklines.com/en/global/1065","Indus Motor Company Ltd. (IMC), Karachi Plant")</f>
        <v>Indus Motor Company Ltd. (IMC), Karachi Plant</v>
      </c>
      <c r="E1190" s="12" t="s">
        <v>580</v>
      </c>
      <c r="F1190" s="12" t="s">
        <v>25</v>
      </c>
      <c r="G1190" s="12" t="s">
        <v>82</v>
      </c>
      <c r="H1190" s="12"/>
      <c r="I1190" s="14">
        <v>45215</v>
      </c>
      <c r="J1190" s="12" t="s">
        <v>581</v>
      </c>
    </row>
    <row r="1191" spans="1:10" s="15" customFormat="1" x14ac:dyDescent="0.15">
      <c r="A1191" s="11">
        <v>45216</v>
      </c>
      <c r="B1191" s="12" t="s">
        <v>24</v>
      </c>
      <c r="C1191" s="12" t="s">
        <v>24</v>
      </c>
      <c r="D1191" s="13" t="str">
        <f>HYPERLINK("https://www.marklines.com/en/global/2561","Ford Motor, Dearborn Diversified Manufacturing Plant")</f>
        <v>Ford Motor, Dearborn Diversified Manufacturing Plant</v>
      </c>
      <c r="E1191" s="12" t="s">
        <v>582</v>
      </c>
      <c r="F1191" s="12" t="s">
        <v>16</v>
      </c>
      <c r="G1191" s="12" t="s">
        <v>11</v>
      </c>
      <c r="H1191" s="12" t="s">
        <v>40</v>
      </c>
      <c r="I1191" s="14">
        <v>45215</v>
      </c>
      <c r="J1191" s="12" t="s">
        <v>583</v>
      </c>
    </row>
    <row r="1192" spans="1:10" s="15" customFormat="1" x14ac:dyDescent="0.15">
      <c r="A1192" s="11">
        <v>45216</v>
      </c>
      <c r="B1192" s="12" t="s">
        <v>24</v>
      </c>
      <c r="C1192" s="12" t="s">
        <v>24</v>
      </c>
      <c r="D1192" s="13" t="str">
        <f>HYPERLINK("https://www.marklines.com/en/global/2571","Ford Motor, Rawsonville Components Plant")</f>
        <v>Ford Motor, Rawsonville Components Plant</v>
      </c>
      <c r="E1192" s="12" t="s">
        <v>584</v>
      </c>
      <c r="F1192" s="12" t="s">
        <v>16</v>
      </c>
      <c r="G1192" s="12" t="s">
        <v>11</v>
      </c>
      <c r="H1192" s="12" t="s">
        <v>40</v>
      </c>
      <c r="I1192" s="14">
        <v>45215</v>
      </c>
      <c r="J1192" s="12" t="s">
        <v>583</v>
      </c>
    </row>
    <row r="1193" spans="1:10" s="15" customFormat="1" x14ac:dyDescent="0.15">
      <c r="A1193" s="11">
        <v>45216</v>
      </c>
      <c r="B1193" s="12" t="s">
        <v>24</v>
      </c>
      <c r="C1193" s="12" t="s">
        <v>24</v>
      </c>
      <c r="D1193" s="13" t="str">
        <f>HYPERLINK("https://www.marklines.com/en/global/2575","Ford Motor, Sterling Axle Plant")</f>
        <v>Ford Motor, Sterling Axle Plant</v>
      </c>
      <c r="E1193" s="12" t="s">
        <v>155</v>
      </c>
      <c r="F1193" s="12" t="s">
        <v>16</v>
      </c>
      <c r="G1193" s="12" t="s">
        <v>11</v>
      </c>
      <c r="H1193" s="12" t="s">
        <v>40</v>
      </c>
      <c r="I1193" s="14">
        <v>45215</v>
      </c>
      <c r="J1193" s="12" t="s">
        <v>583</v>
      </c>
    </row>
    <row r="1194" spans="1:10" s="15" customFormat="1" x14ac:dyDescent="0.15">
      <c r="A1194" s="11">
        <v>45216</v>
      </c>
      <c r="B1194" s="12" t="s">
        <v>24</v>
      </c>
      <c r="C1194" s="12" t="s">
        <v>24</v>
      </c>
      <c r="D1194" s="13" t="str">
        <f>HYPERLINK("https://www.marklines.com/en/global/2591","Ford Motor, Sharonville Transmission Plant")</f>
        <v>Ford Motor, Sharonville Transmission Plant</v>
      </c>
      <c r="E1194" s="12" t="s">
        <v>585</v>
      </c>
      <c r="F1194" s="12" t="s">
        <v>16</v>
      </c>
      <c r="G1194" s="12" t="s">
        <v>11</v>
      </c>
      <c r="H1194" s="12" t="s">
        <v>101</v>
      </c>
      <c r="I1194" s="14">
        <v>45215</v>
      </c>
      <c r="J1194" s="12" t="s">
        <v>583</v>
      </c>
    </row>
    <row r="1195" spans="1:10" s="15" customFormat="1" x14ac:dyDescent="0.15">
      <c r="A1195" s="11">
        <v>45216</v>
      </c>
      <c r="B1195" s="12" t="s">
        <v>24</v>
      </c>
      <c r="C1195" s="12" t="s">
        <v>24</v>
      </c>
      <c r="D1195" s="13" t="str">
        <f>HYPERLINK("https://www.marklines.com/en/global/2597","Ford Motor, Chicago Stamping Plant")</f>
        <v>Ford Motor, Chicago Stamping Plant</v>
      </c>
      <c r="E1195" s="12" t="s">
        <v>157</v>
      </c>
      <c r="F1195" s="12" t="s">
        <v>16</v>
      </c>
      <c r="G1195" s="12" t="s">
        <v>11</v>
      </c>
      <c r="H1195" s="12" t="s">
        <v>39</v>
      </c>
      <c r="I1195" s="14">
        <v>45215</v>
      </c>
      <c r="J1195" s="12" t="s">
        <v>583</v>
      </c>
    </row>
    <row r="1196" spans="1:10" s="15" customFormat="1" x14ac:dyDescent="0.15">
      <c r="A1196" s="11">
        <v>45216</v>
      </c>
      <c r="B1196" s="12" t="s">
        <v>24</v>
      </c>
      <c r="C1196" s="12" t="s">
        <v>24</v>
      </c>
      <c r="D1196" s="13" t="str">
        <f>HYPERLINK("https://www.marklines.com/en/global/2595","Ford Motor, Chicago Assembly Plant")</f>
        <v>Ford Motor, Chicago Assembly Plant</v>
      </c>
      <c r="E1196" s="12" t="s">
        <v>141</v>
      </c>
      <c r="F1196" s="12" t="s">
        <v>16</v>
      </c>
      <c r="G1196" s="12" t="s">
        <v>11</v>
      </c>
      <c r="H1196" s="12" t="s">
        <v>39</v>
      </c>
      <c r="I1196" s="14">
        <v>45215</v>
      </c>
      <c r="J1196" s="12" t="s">
        <v>583</v>
      </c>
    </row>
    <row r="1197" spans="1:10" s="15" customFormat="1" x14ac:dyDescent="0.15">
      <c r="A1197" s="11">
        <v>45216</v>
      </c>
      <c r="B1197" s="12" t="s">
        <v>24</v>
      </c>
      <c r="C1197" s="12" t="s">
        <v>24</v>
      </c>
      <c r="D1197" s="13" t="str">
        <f>HYPERLINK("https://www.marklines.com/en/global/2607","Ford Motor, Kentucky Truck Plant")</f>
        <v>Ford Motor, Kentucky Truck Plant</v>
      </c>
      <c r="E1197" s="12" t="s">
        <v>253</v>
      </c>
      <c r="F1197" s="12" t="s">
        <v>16</v>
      </c>
      <c r="G1197" s="12" t="s">
        <v>11</v>
      </c>
      <c r="H1197" s="12" t="s">
        <v>90</v>
      </c>
      <c r="I1197" s="14">
        <v>45215</v>
      </c>
      <c r="J1197" s="12" t="s">
        <v>583</v>
      </c>
    </row>
    <row r="1198" spans="1:10" s="15" customFormat="1" x14ac:dyDescent="0.15">
      <c r="A1198" s="11">
        <v>45216</v>
      </c>
      <c r="B1198" s="12" t="s">
        <v>12</v>
      </c>
      <c r="C1198" s="12" t="s">
        <v>19</v>
      </c>
      <c r="D1198" s="13" t="str">
        <f>HYPERLINK("https://www.marklines.com/en/global/2549","General Motors Canada, St. Catharines Plant")</f>
        <v>General Motors Canada, St. Catharines Plant</v>
      </c>
      <c r="E1198" s="12" t="s">
        <v>586</v>
      </c>
      <c r="F1198" s="12" t="s">
        <v>16</v>
      </c>
      <c r="G1198" s="12" t="s">
        <v>446</v>
      </c>
      <c r="H1198" s="12"/>
      <c r="I1198" s="14">
        <v>45214</v>
      </c>
      <c r="J1198" s="12" t="s">
        <v>587</v>
      </c>
    </row>
    <row r="1199" spans="1:10" s="15" customFormat="1" x14ac:dyDescent="0.15">
      <c r="A1199" s="11">
        <v>45216</v>
      </c>
      <c r="B1199" s="12" t="s">
        <v>12</v>
      </c>
      <c r="C1199" s="12" t="s">
        <v>19</v>
      </c>
      <c r="D1199" s="13" t="str">
        <f>HYPERLINK("https://www.marklines.com/en/global/2543","General Motors Canada, Oshawa Car Assembly Plant")</f>
        <v>General Motors Canada, Oshawa Car Assembly Plant</v>
      </c>
      <c r="E1199" s="12" t="s">
        <v>588</v>
      </c>
      <c r="F1199" s="12" t="s">
        <v>16</v>
      </c>
      <c r="G1199" s="12" t="s">
        <v>446</v>
      </c>
      <c r="H1199" s="12"/>
      <c r="I1199" s="14">
        <v>45214</v>
      </c>
      <c r="J1199" s="12" t="s">
        <v>587</v>
      </c>
    </row>
    <row r="1200" spans="1:10" s="15" customFormat="1" x14ac:dyDescent="0.15">
      <c r="A1200" s="11">
        <v>45216</v>
      </c>
      <c r="B1200" s="12" t="s">
        <v>24</v>
      </c>
      <c r="C1200" s="12" t="s">
        <v>24</v>
      </c>
      <c r="D1200" s="13" t="str">
        <f>HYPERLINK("https://www.marklines.com/en/global/10376","Ford Motor, Rouge Electric Vehicle Center")</f>
        <v>Ford Motor, Rouge Electric Vehicle Center</v>
      </c>
      <c r="E1200" s="12" t="s">
        <v>589</v>
      </c>
      <c r="F1200" s="12" t="s">
        <v>16</v>
      </c>
      <c r="G1200" s="12" t="s">
        <v>11</v>
      </c>
      <c r="H1200" s="12" t="s">
        <v>40</v>
      </c>
      <c r="I1200" s="14">
        <v>45213</v>
      </c>
      <c r="J1200" s="12" t="s">
        <v>590</v>
      </c>
    </row>
    <row r="1201" spans="1:10" s="15" customFormat="1" x14ac:dyDescent="0.15">
      <c r="A1201" s="11">
        <v>45215</v>
      </c>
      <c r="B1201" s="12" t="s">
        <v>13</v>
      </c>
      <c r="C1201" s="12" t="s">
        <v>13</v>
      </c>
      <c r="D1201" s="13" t="str">
        <f>HYPERLINK("https://www.marklines.com/en/global/9602","OOO Motorinvest, Lipetsk Plant (formerly Changan Automobile, Lipetsk Plant)")</f>
        <v>OOO Motorinvest, Lipetsk Plant (formerly Changan Automobile, Lipetsk Plant)</v>
      </c>
      <c r="E1201" s="12" t="s">
        <v>92</v>
      </c>
      <c r="F1201" s="12" t="s">
        <v>18</v>
      </c>
      <c r="G1201" s="12" t="s">
        <v>14</v>
      </c>
      <c r="H1201" s="12"/>
      <c r="I1201" s="14">
        <v>45215</v>
      </c>
      <c r="J1201" s="12" t="s">
        <v>591</v>
      </c>
    </row>
    <row r="1202" spans="1:10" s="15" customFormat="1" x14ac:dyDescent="0.15">
      <c r="A1202" s="11">
        <v>45215</v>
      </c>
      <c r="B1202" s="12" t="s">
        <v>13</v>
      </c>
      <c r="C1202" s="12" t="s">
        <v>592</v>
      </c>
      <c r="D1202" s="13" t="str">
        <f>HYPERLINK("https://www.marklines.com/en/global/803","JSC UralAZ (Ural Avtomobilny Zavod), Chelyabinsk Plant")</f>
        <v>JSC UralAZ (Ural Avtomobilny Zavod), Chelyabinsk Plant</v>
      </c>
      <c r="E1202" s="12" t="s">
        <v>593</v>
      </c>
      <c r="F1202" s="12" t="s">
        <v>18</v>
      </c>
      <c r="G1202" s="12" t="s">
        <v>14</v>
      </c>
      <c r="H1202" s="12"/>
      <c r="I1202" s="14">
        <v>45212</v>
      </c>
      <c r="J1202" s="12" t="s">
        <v>594</v>
      </c>
    </row>
    <row r="1203" spans="1:10" s="15" customFormat="1" x14ac:dyDescent="0.15">
      <c r="A1203" s="11">
        <v>45215</v>
      </c>
      <c r="B1203" s="12" t="s">
        <v>595</v>
      </c>
      <c r="C1203" s="12" t="s">
        <v>596</v>
      </c>
      <c r="D1203" s="13" t="str">
        <f>HYPERLINK("https://www.marklines.com/en/global/997","Proton, Tanjung Malim Plant")</f>
        <v>Proton, Tanjung Malim Plant</v>
      </c>
      <c r="E1203" s="12" t="s">
        <v>597</v>
      </c>
      <c r="F1203" s="12" t="s">
        <v>34</v>
      </c>
      <c r="G1203" s="12" t="s">
        <v>538</v>
      </c>
      <c r="H1203" s="12"/>
      <c r="I1203" s="14">
        <v>45212</v>
      </c>
      <c r="J1203" s="12" t="s">
        <v>598</v>
      </c>
    </row>
    <row r="1204" spans="1:10" s="15" customFormat="1" x14ac:dyDescent="0.15">
      <c r="A1204" s="11">
        <v>45215</v>
      </c>
      <c r="B1204" s="12" t="s">
        <v>595</v>
      </c>
      <c r="C1204" s="12" t="s">
        <v>596</v>
      </c>
      <c r="D1204" s="13" t="str">
        <f>HYPERLINK("https://www.marklines.com/en/global/995","Proton, Shah Alam Plant")</f>
        <v>Proton, Shah Alam Plant</v>
      </c>
      <c r="E1204" s="12" t="s">
        <v>599</v>
      </c>
      <c r="F1204" s="12" t="s">
        <v>34</v>
      </c>
      <c r="G1204" s="12" t="s">
        <v>538</v>
      </c>
      <c r="H1204" s="12"/>
      <c r="I1204" s="14">
        <v>45212</v>
      </c>
      <c r="J1204" s="12" t="s">
        <v>598</v>
      </c>
    </row>
    <row r="1205" spans="1:10" s="15" customFormat="1" x14ac:dyDescent="0.15">
      <c r="A1205" s="11">
        <v>45215</v>
      </c>
      <c r="B1205" s="12" t="s">
        <v>45</v>
      </c>
      <c r="C1205" s="12" t="s">
        <v>120</v>
      </c>
      <c r="D1205" s="13" t="str">
        <f>HYPERLINK("https://www.marklines.com/en/global/1375","Stellantis Europe SpA, Atessa Plant (formerly Sevel S.p.A., Val di Sangro (Atessa) Plant)")</f>
        <v>Stellantis Europe SpA, Atessa Plant (formerly Sevel S.p.A., Val di Sangro (Atessa) Plant)</v>
      </c>
      <c r="E1205" s="12" t="s">
        <v>600</v>
      </c>
      <c r="F1205" s="12" t="s">
        <v>17</v>
      </c>
      <c r="G1205" s="12" t="s">
        <v>46</v>
      </c>
      <c r="H1205" s="12"/>
      <c r="I1205" s="14">
        <v>45211</v>
      </c>
      <c r="J1205" s="12" t="s">
        <v>601</v>
      </c>
    </row>
    <row r="1206" spans="1:10" s="15" customFormat="1" x14ac:dyDescent="0.15">
      <c r="A1206" s="11">
        <v>45215</v>
      </c>
      <c r="B1206" s="12" t="s">
        <v>45</v>
      </c>
      <c r="C1206" s="12" t="s">
        <v>602</v>
      </c>
      <c r="D1206" s="13" t="str">
        <f>HYPERLINK("https://www.marklines.com/en/global/1375","Stellantis Europe SpA, Atessa Plant (formerly Sevel S.p.A., Val di Sangro (Atessa) Plant)")</f>
        <v>Stellantis Europe SpA, Atessa Plant (formerly Sevel S.p.A., Val di Sangro (Atessa) Plant)</v>
      </c>
      <c r="E1206" s="12" t="s">
        <v>600</v>
      </c>
      <c r="F1206" s="12" t="s">
        <v>17</v>
      </c>
      <c r="G1206" s="12" t="s">
        <v>46</v>
      </c>
      <c r="H1206" s="12"/>
      <c r="I1206" s="14">
        <v>45211</v>
      </c>
      <c r="J1206" s="12" t="s">
        <v>601</v>
      </c>
    </row>
    <row r="1207" spans="1:10" s="15" customFormat="1" x14ac:dyDescent="0.15">
      <c r="A1207" s="11">
        <v>45215</v>
      </c>
      <c r="B1207" s="12" t="s">
        <v>45</v>
      </c>
      <c r="C1207" s="12" t="s">
        <v>603</v>
      </c>
      <c r="D1207" s="13" t="str">
        <f>HYPERLINK("https://www.marklines.com/en/global/1375","Stellantis Europe SpA, Atessa Plant (formerly Sevel S.p.A., Val di Sangro (Atessa) Plant)")</f>
        <v>Stellantis Europe SpA, Atessa Plant (formerly Sevel S.p.A., Val di Sangro (Atessa) Plant)</v>
      </c>
      <c r="E1207" s="12" t="s">
        <v>600</v>
      </c>
      <c r="F1207" s="12" t="s">
        <v>17</v>
      </c>
      <c r="G1207" s="12" t="s">
        <v>46</v>
      </c>
      <c r="H1207" s="12"/>
      <c r="I1207" s="14">
        <v>45211</v>
      </c>
      <c r="J1207" s="12" t="s">
        <v>601</v>
      </c>
    </row>
    <row r="1208" spans="1:10" s="15" customFormat="1" x14ac:dyDescent="0.15">
      <c r="A1208" s="11">
        <v>45215</v>
      </c>
      <c r="B1208" s="12" t="s">
        <v>45</v>
      </c>
      <c r="C1208" s="12" t="s">
        <v>515</v>
      </c>
      <c r="D1208" s="13" t="str">
        <f>HYPERLINK("https://www.marklines.com/en/global/1375","Stellantis Europe SpA, Atessa Plant (formerly Sevel S.p.A., Val di Sangro (Atessa) Plant)")</f>
        <v>Stellantis Europe SpA, Atessa Plant (formerly Sevel S.p.A., Val di Sangro (Atessa) Plant)</v>
      </c>
      <c r="E1208" s="12" t="s">
        <v>600</v>
      </c>
      <c r="F1208" s="12" t="s">
        <v>17</v>
      </c>
      <c r="G1208" s="12" t="s">
        <v>46</v>
      </c>
      <c r="H1208" s="12"/>
      <c r="I1208" s="14">
        <v>45211</v>
      </c>
      <c r="J1208" s="12" t="s">
        <v>601</v>
      </c>
    </row>
    <row r="1209" spans="1:10" s="15" customFormat="1" x14ac:dyDescent="0.15">
      <c r="A1209" s="11">
        <v>45215</v>
      </c>
      <c r="B1209" s="12" t="s">
        <v>45</v>
      </c>
      <c r="C1209" s="12" t="s">
        <v>49</v>
      </c>
      <c r="D1209" s="13" t="str">
        <f>HYPERLINK("https://www.marklines.com/en/global/1375","Stellantis Europe SpA, Atessa Plant (formerly Sevel S.p.A., Val di Sangro (Atessa) Plant)")</f>
        <v>Stellantis Europe SpA, Atessa Plant (formerly Sevel S.p.A., Val di Sangro (Atessa) Plant)</v>
      </c>
      <c r="E1209" s="12" t="s">
        <v>600</v>
      </c>
      <c r="F1209" s="12" t="s">
        <v>17</v>
      </c>
      <c r="G1209" s="12" t="s">
        <v>46</v>
      </c>
      <c r="H1209" s="12"/>
      <c r="I1209" s="14">
        <v>45211</v>
      </c>
      <c r="J1209" s="12" t="s">
        <v>601</v>
      </c>
    </row>
    <row r="1210" spans="1:10" s="15" customFormat="1" x14ac:dyDescent="0.15">
      <c r="A1210" s="11">
        <v>45215</v>
      </c>
      <c r="B1210" s="12" t="s">
        <v>65</v>
      </c>
      <c r="C1210" s="12" t="s">
        <v>480</v>
      </c>
      <c r="D1210" s="13" t="str">
        <f>HYPERLINK("https://www.marklines.com/en/global/1329","Stellantis, FCA Italy, Giambattista Vico (Pomigliano d'Arco) Plant")</f>
        <v>Stellantis, FCA Italy, Giambattista Vico (Pomigliano d'Arco) Plant</v>
      </c>
      <c r="E1210" s="12" t="s">
        <v>604</v>
      </c>
      <c r="F1210" s="12" t="s">
        <v>17</v>
      </c>
      <c r="G1210" s="12" t="s">
        <v>46</v>
      </c>
      <c r="H1210" s="12"/>
      <c r="I1210" s="14">
        <v>45211</v>
      </c>
      <c r="J1210" s="12" t="s">
        <v>605</v>
      </c>
    </row>
    <row r="1211" spans="1:10" s="15" customFormat="1" x14ac:dyDescent="0.15">
      <c r="A1211" s="11">
        <v>45215</v>
      </c>
      <c r="B1211" s="12" t="s">
        <v>45</v>
      </c>
      <c r="C1211" s="12" t="s">
        <v>49</v>
      </c>
      <c r="D1211" s="13" t="str">
        <f>HYPERLINK("https://www.marklines.com/en/global/1329","Stellantis, FCA Italy, Giambattista Vico (Pomigliano d'Arco) Plant")</f>
        <v>Stellantis, FCA Italy, Giambattista Vico (Pomigliano d'Arco) Plant</v>
      </c>
      <c r="E1211" s="12" t="s">
        <v>604</v>
      </c>
      <c r="F1211" s="12" t="s">
        <v>17</v>
      </c>
      <c r="G1211" s="12" t="s">
        <v>46</v>
      </c>
      <c r="H1211" s="12"/>
      <c r="I1211" s="14">
        <v>45211</v>
      </c>
      <c r="J1211" s="12" t="s">
        <v>605</v>
      </c>
    </row>
    <row r="1212" spans="1:10" s="15" customFormat="1" x14ac:dyDescent="0.15">
      <c r="A1212" s="11">
        <v>45215</v>
      </c>
      <c r="B1212" s="12" t="s">
        <v>45</v>
      </c>
      <c r="C1212" s="12" t="s">
        <v>606</v>
      </c>
      <c r="D1212" s="13" t="str">
        <f>HYPERLINK("https://www.marklines.com/en/global/1329","Stellantis, FCA Italy, Giambattista Vico (Pomigliano d'Arco) Plant")</f>
        <v>Stellantis, FCA Italy, Giambattista Vico (Pomigliano d'Arco) Plant</v>
      </c>
      <c r="E1212" s="12" t="s">
        <v>604</v>
      </c>
      <c r="F1212" s="12" t="s">
        <v>17</v>
      </c>
      <c r="G1212" s="12" t="s">
        <v>46</v>
      </c>
      <c r="H1212" s="12"/>
      <c r="I1212" s="14">
        <v>45211</v>
      </c>
      <c r="J1212" s="12" t="s">
        <v>605</v>
      </c>
    </row>
    <row r="1213" spans="1:10" s="15" customFormat="1" x14ac:dyDescent="0.15">
      <c r="A1213" s="11">
        <v>45215</v>
      </c>
      <c r="B1213" s="12" t="s">
        <v>65</v>
      </c>
      <c r="C1213" s="12" t="s">
        <v>66</v>
      </c>
      <c r="D1213" s="13" t="str">
        <f>HYPERLINK("https://www.marklines.com/en/global/1325","Stellantis, FCA Italy, Melfi Plant")</f>
        <v>Stellantis, FCA Italy, Melfi Plant</v>
      </c>
      <c r="E1213" s="12" t="s">
        <v>78</v>
      </c>
      <c r="F1213" s="12" t="s">
        <v>17</v>
      </c>
      <c r="G1213" s="12" t="s">
        <v>46</v>
      </c>
      <c r="H1213" s="12"/>
      <c r="I1213" s="14">
        <v>45211</v>
      </c>
      <c r="J1213" s="12" t="s">
        <v>607</v>
      </c>
    </row>
    <row r="1214" spans="1:10" s="15" customFormat="1" x14ac:dyDescent="0.15">
      <c r="A1214" s="11">
        <v>45215</v>
      </c>
      <c r="B1214" s="12" t="s">
        <v>45</v>
      </c>
      <c r="C1214" s="12" t="s">
        <v>49</v>
      </c>
      <c r="D1214" s="13" t="str">
        <f>HYPERLINK("https://www.marklines.com/en/global/1325","Stellantis, FCA Italy, Melfi Plant")</f>
        <v>Stellantis, FCA Italy, Melfi Plant</v>
      </c>
      <c r="E1214" s="12" t="s">
        <v>78</v>
      </c>
      <c r="F1214" s="12" t="s">
        <v>17</v>
      </c>
      <c r="G1214" s="12" t="s">
        <v>46</v>
      </c>
      <c r="H1214" s="12"/>
      <c r="I1214" s="14">
        <v>45211</v>
      </c>
      <c r="J1214" s="12" t="s">
        <v>607</v>
      </c>
    </row>
    <row r="1215" spans="1:10" s="15" customFormat="1" x14ac:dyDescent="0.15">
      <c r="A1215" s="11">
        <v>45215</v>
      </c>
      <c r="B1215" s="12" t="s">
        <v>45</v>
      </c>
      <c r="C1215" s="12" t="s">
        <v>606</v>
      </c>
      <c r="D1215" s="13" t="str">
        <f>HYPERLINK("https://www.marklines.com/en/global/1323","Stellantis, FCA Italy, Cassino Plant")</f>
        <v>Stellantis, FCA Italy, Cassino Plant</v>
      </c>
      <c r="E1215" s="12" t="s">
        <v>608</v>
      </c>
      <c r="F1215" s="12" t="s">
        <v>17</v>
      </c>
      <c r="G1215" s="12" t="s">
        <v>46</v>
      </c>
      <c r="H1215" s="12"/>
      <c r="I1215" s="14">
        <v>45211</v>
      </c>
      <c r="J1215" s="12" t="s">
        <v>607</v>
      </c>
    </row>
    <row r="1216" spans="1:10" s="15" customFormat="1" x14ac:dyDescent="0.15">
      <c r="A1216" s="11">
        <v>45215</v>
      </c>
      <c r="B1216" s="12" t="s">
        <v>45</v>
      </c>
      <c r="C1216" s="12" t="s">
        <v>609</v>
      </c>
      <c r="D1216" s="13" t="str">
        <f>HYPERLINK("https://www.marklines.com/en/global/1323","Stellantis, FCA Italy, Cassino Plant")</f>
        <v>Stellantis, FCA Italy, Cassino Plant</v>
      </c>
      <c r="E1216" s="12" t="s">
        <v>608</v>
      </c>
      <c r="F1216" s="12" t="s">
        <v>17</v>
      </c>
      <c r="G1216" s="12" t="s">
        <v>46</v>
      </c>
      <c r="H1216" s="12"/>
      <c r="I1216" s="14">
        <v>45211</v>
      </c>
      <c r="J1216" s="12" t="s">
        <v>607</v>
      </c>
    </row>
    <row r="1217" spans="1:10" s="15" customFormat="1" x14ac:dyDescent="0.15">
      <c r="A1217" s="11">
        <v>45215</v>
      </c>
      <c r="B1217" s="12" t="s">
        <v>45</v>
      </c>
      <c r="C1217" s="12" t="s">
        <v>609</v>
      </c>
      <c r="D1217" s="13" t="str">
        <f>HYPERLINK("https://www.marklines.com/en/global/1361","Stellantis, Maserati S.p.A., Modena Plant")</f>
        <v>Stellantis, Maserati S.p.A., Modena Plant</v>
      </c>
      <c r="E1217" s="12" t="s">
        <v>610</v>
      </c>
      <c r="F1217" s="12" t="s">
        <v>17</v>
      </c>
      <c r="G1217" s="12" t="s">
        <v>46</v>
      </c>
      <c r="H1217" s="12"/>
      <c r="I1217" s="14">
        <v>45211</v>
      </c>
      <c r="J1217" s="12" t="s">
        <v>611</v>
      </c>
    </row>
    <row r="1218" spans="1:10" s="15" customFormat="1" x14ac:dyDescent="0.15">
      <c r="A1218" s="11">
        <v>45215</v>
      </c>
      <c r="B1218" s="12" t="s">
        <v>45</v>
      </c>
      <c r="C1218" s="12" t="s">
        <v>49</v>
      </c>
      <c r="D1218" s="13" t="str">
        <f>HYPERLINK("https://www.marklines.com/en/global/1327","Stellantis, FCA Italy, Mirafiori (Turin) Plant")</f>
        <v>Stellantis, FCA Italy, Mirafiori (Turin) Plant</v>
      </c>
      <c r="E1218" s="12" t="s">
        <v>612</v>
      </c>
      <c r="F1218" s="12" t="s">
        <v>17</v>
      </c>
      <c r="G1218" s="12" t="s">
        <v>46</v>
      </c>
      <c r="H1218" s="12"/>
      <c r="I1218" s="14">
        <v>45211</v>
      </c>
      <c r="J1218" s="12" t="s">
        <v>613</v>
      </c>
    </row>
    <row r="1219" spans="1:10" s="15" customFormat="1" x14ac:dyDescent="0.15">
      <c r="A1219" s="11">
        <v>45215</v>
      </c>
      <c r="B1219" s="12" t="s">
        <v>45</v>
      </c>
      <c r="C1219" s="12" t="s">
        <v>609</v>
      </c>
      <c r="D1219" s="13" t="str">
        <f>HYPERLINK("https://www.marklines.com/en/global/1327","Stellantis, FCA Italy, Mirafiori (Turin) Plant")</f>
        <v>Stellantis, FCA Italy, Mirafiori (Turin) Plant</v>
      </c>
      <c r="E1219" s="12" t="s">
        <v>612</v>
      </c>
      <c r="F1219" s="12" t="s">
        <v>17</v>
      </c>
      <c r="G1219" s="12" t="s">
        <v>46</v>
      </c>
      <c r="H1219" s="12"/>
      <c r="I1219" s="14">
        <v>45211</v>
      </c>
      <c r="J1219" s="12" t="s">
        <v>613</v>
      </c>
    </row>
    <row r="1220" spans="1:10" s="15" customFormat="1" x14ac:dyDescent="0.15">
      <c r="A1220" s="11">
        <v>45215</v>
      </c>
      <c r="B1220" s="12" t="s">
        <v>495</v>
      </c>
      <c r="C1220" s="12" t="s">
        <v>495</v>
      </c>
      <c r="D1220" s="13" t="str">
        <f>HYPERLINK("https://www.marklines.com/en/global/9831","Master Motors Limited Changan")</f>
        <v>Master Motors Limited Changan</v>
      </c>
      <c r="E1220" s="12" t="s">
        <v>614</v>
      </c>
      <c r="F1220" s="12" t="s">
        <v>25</v>
      </c>
      <c r="G1220" s="12" t="s">
        <v>82</v>
      </c>
      <c r="H1220" s="12"/>
      <c r="I1220" s="14">
        <v>45211</v>
      </c>
      <c r="J1220" s="12" t="s">
        <v>615</v>
      </c>
    </row>
    <row r="1221" spans="1:10" s="15" customFormat="1" x14ac:dyDescent="0.15">
      <c r="A1221" s="11">
        <v>45215</v>
      </c>
      <c r="B1221" s="12" t="s">
        <v>13</v>
      </c>
      <c r="C1221" s="12" t="s">
        <v>616</v>
      </c>
      <c r="D1221" s="13" t="str">
        <f>HYPERLINK("https://www.marklines.com/en/global/9831","Master Motors Limited Changan")</f>
        <v>Master Motors Limited Changan</v>
      </c>
      <c r="E1221" s="12" t="s">
        <v>614</v>
      </c>
      <c r="F1221" s="12" t="s">
        <v>25</v>
      </c>
      <c r="G1221" s="12" t="s">
        <v>82</v>
      </c>
      <c r="H1221" s="12"/>
      <c r="I1221" s="14">
        <v>45211</v>
      </c>
      <c r="J1221" s="12" t="s">
        <v>615</v>
      </c>
    </row>
    <row r="1222" spans="1:10" s="15" customFormat="1" x14ac:dyDescent="0.15">
      <c r="A1222" s="11">
        <v>45215</v>
      </c>
      <c r="B1222" s="12" t="s">
        <v>321</v>
      </c>
      <c r="C1222" s="12" t="s">
        <v>454</v>
      </c>
      <c r="D1222" s="13" t="str">
        <f>HYPERLINK("https://www.marklines.com/en/global/10684","Beijing Foton-Cummins Engine Co., Ltd.")</f>
        <v>Beijing Foton-Cummins Engine Co., Ltd.</v>
      </c>
      <c r="E1222" s="12" t="s">
        <v>617</v>
      </c>
      <c r="F1222" s="12" t="s">
        <v>20</v>
      </c>
      <c r="G1222" s="12" t="s">
        <v>27</v>
      </c>
      <c r="H1222" s="12" t="s">
        <v>456</v>
      </c>
      <c r="I1222" s="14">
        <v>45210</v>
      </c>
      <c r="J1222" s="12" t="s">
        <v>618</v>
      </c>
    </row>
    <row r="1223" spans="1:10" s="15" customFormat="1" x14ac:dyDescent="0.15">
      <c r="A1223" s="11">
        <v>45215</v>
      </c>
      <c r="B1223" s="12" t="s">
        <v>321</v>
      </c>
      <c r="C1223" s="12" t="s">
        <v>454</v>
      </c>
      <c r="D1223" s="13" t="str">
        <f>HYPERLINK("https://www.marklines.com/en/global/10415","Foton Motor Changsha Super Truck Plant")</f>
        <v>Foton Motor Changsha Super Truck Plant</v>
      </c>
      <c r="E1223" s="12" t="s">
        <v>619</v>
      </c>
      <c r="F1223" s="12" t="s">
        <v>20</v>
      </c>
      <c r="G1223" s="12" t="s">
        <v>27</v>
      </c>
      <c r="H1223" s="12" t="s">
        <v>359</v>
      </c>
      <c r="I1223" s="14">
        <v>45210</v>
      </c>
      <c r="J1223" s="12" t="s">
        <v>618</v>
      </c>
    </row>
    <row r="1224" spans="1:10" s="15" customFormat="1" x14ac:dyDescent="0.15">
      <c r="A1224" s="11">
        <v>45215</v>
      </c>
      <c r="B1224" s="12" t="s">
        <v>495</v>
      </c>
      <c r="C1224" s="12" t="s">
        <v>620</v>
      </c>
      <c r="D1224" s="13" t="str">
        <f>HYPERLINK("https://www.marklines.com/en/global/4163","Chongqing Changan Automobile Co., Ltd.")</f>
        <v>Chongqing Changan Automobile Co., Ltd.</v>
      </c>
      <c r="E1224" s="12" t="s">
        <v>560</v>
      </c>
      <c r="F1224" s="12" t="s">
        <v>20</v>
      </c>
      <c r="G1224" s="12" t="s">
        <v>27</v>
      </c>
      <c r="H1224" s="12" t="s">
        <v>29</v>
      </c>
      <c r="I1224" s="14">
        <v>45210</v>
      </c>
      <c r="J1224" s="12" t="s">
        <v>621</v>
      </c>
    </row>
    <row r="1225" spans="1:10" s="15" customFormat="1" x14ac:dyDescent="0.15">
      <c r="A1225" s="11">
        <v>45215</v>
      </c>
      <c r="B1225" s="12" t="s">
        <v>366</v>
      </c>
      <c r="C1225" s="12" t="s">
        <v>622</v>
      </c>
      <c r="D1225" s="13" t="str">
        <f>HYPERLINK("https://www.marklines.com/en/global/9824","GAC Aion New Energy Automobile Co., Ltd.")</f>
        <v>GAC Aion New Energy Automobile Co., Ltd.</v>
      </c>
      <c r="E1225" s="12" t="s">
        <v>623</v>
      </c>
      <c r="F1225" s="12" t="s">
        <v>20</v>
      </c>
      <c r="G1225" s="12" t="s">
        <v>27</v>
      </c>
      <c r="H1225" s="12" t="s">
        <v>357</v>
      </c>
      <c r="I1225" s="14">
        <v>45209</v>
      </c>
      <c r="J1225" s="12" t="s">
        <v>624</v>
      </c>
    </row>
    <row r="1226" spans="1:10" s="15" customFormat="1" x14ac:dyDescent="0.15">
      <c r="A1226" s="11">
        <v>45213</v>
      </c>
      <c r="B1226" s="12" t="s">
        <v>12</v>
      </c>
      <c r="C1226" s="12" t="s">
        <v>12</v>
      </c>
      <c r="D1226" s="13" t="str">
        <f>HYPERLINK("https://www.marklines.com/en/global/9976","Ultium Cells LLC, Warren Plant ")</f>
        <v xml:space="preserve">Ultium Cells LLC, Warren Plant </v>
      </c>
      <c r="E1226" s="12" t="s">
        <v>625</v>
      </c>
      <c r="F1226" s="12" t="s">
        <v>16</v>
      </c>
      <c r="G1226" s="12" t="s">
        <v>11</v>
      </c>
      <c r="H1226" s="12" t="s">
        <v>101</v>
      </c>
      <c r="I1226" s="14">
        <v>45211</v>
      </c>
      <c r="J1226" s="12" t="s">
        <v>626</v>
      </c>
    </row>
    <row r="1227" spans="1:10" s="15" customFormat="1" x14ac:dyDescent="0.15">
      <c r="A1227" s="11">
        <v>45213</v>
      </c>
      <c r="B1227" s="12" t="s">
        <v>254</v>
      </c>
      <c r="C1227" s="12" t="s">
        <v>254</v>
      </c>
      <c r="D1227" s="13" t="str">
        <f>HYPERLINK("https://www.marklines.com/en/global/10671","Tesla Gigafactory Mexico")</f>
        <v>Tesla Gigafactory Mexico</v>
      </c>
      <c r="E1227" s="12" t="s">
        <v>450</v>
      </c>
      <c r="F1227" s="12" t="s">
        <v>16</v>
      </c>
      <c r="G1227" s="12" t="s">
        <v>91</v>
      </c>
      <c r="H1227" s="12"/>
      <c r="I1227" s="14">
        <v>45204</v>
      </c>
      <c r="J1227" s="12" t="s">
        <v>627</v>
      </c>
    </row>
    <row r="1228" spans="1:10" s="15" customFormat="1" x14ac:dyDescent="0.15">
      <c r="A1228" s="11">
        <v>45213</v>
      </c>
      <c r="B1228" s="12" t="s">
        <v>628</v>
      </c>
      <c r="C1228" s="12" t="s">
        <v>628</v>
      </c>
      <c r="D1228" s="13" t="str">
        <f>HYPERLINK("https://www.marklines.com/en/global/2495","Foxconn EV Ohio plant (former GM Lordstown plant)")</f>
        <v>Foxconn EV Ohio plant (former GM Lordstown plant)</v>
      </c>
      <c r="E1228" s="12" t="s">
        <v>629</v>
      </c>
      <c r="F1228" s="12" t="s">
        <v>16</v>
      </c>
      <c r="G1228" s="12" t="s">
        <v>11</v>
      </c>
      <c r="H1228" s="12" t="s">
        <v>101</v>
      </c>
      <c r="I1228" s="14">
        <v>45201</v>
      </c>
      <c r="J1228" s="12" t="s">
        <v>630</v>
      </c>
    </row>
    <row r="1229" spans="1:10" s="15" customFormat="1" x14ac:dyDescent="0.15">
      <c r="A1229" s="11">
        <v>45212</v>
      </c>
      <c r="B1229" s="12" t="s">
        <v>217</v>
      </c>
      <c r="C1229" s="12" t="s">
        <v>217</v>
      </c>
      <c r="D1229" s="13" t="str">
        <f>HYPERLINK("https://www.marklines.com/en/global/1107","Ashok Leyland, Ennore Plant")</f>
        <v>Ashok Leyland, Ennore Plant</v>
      </c>
      <c r="E1229" s="12" t="s">
        <v>218</v>
      </c>
      <c r="F1229" s="12" t="s">
        <v>25</v>
      </c>
      <c r="G1229" s="12" t="s">
        <v>26</v>
      </c>
      <c r="H1229" s="12" t="s">
        <v>219</v>
      </c>
      <c r="I1229" s="14">
        <v>45212</v>
      </c>
      <c r="J1229" s="12" t="s">
        <v>220</v>
      </c>
    </row>
    <row r="1230" spans="1:10" s="15" customFormat="1" x14ac:dyDescent="0.15">
      <c r="A1230" s="11">
        <v>45212</v>
      </c>
      <c r="B1230" s="12" t="s">
        <v>65</v>
      </c>
      <c r="C1230" s="12" t="s">
        <v>66</v>
      </c>
      <c r="D1230" s="13" t="str">
        <f>HYPERLINK("https://www.marklines.com/en/global/1325","Stellantis, FCA Italy, Melfi Plant")</f>
        <v>Stellantis, FCA Italy, Melfi Plant</v>
      </c>
      <c r="E1230" s="12" t="s">
        <v>78</v>
      </c>
      <c r="F1230" s="12" t="s">
        <v>17</v>
      </c>
      <c r="G1230" s="12" t="s">
        <v>46</v>
      </c>
      <c r="H1230" s="12"/>
      <c r="I1230" s="14">
        <v>45212</v>
      </c>
      <c r="J1230" s="12" t="s">
        <v>221</v>
      </c>
    </row>
    <row r="1231" spans="1:10" s="15" customFormat="1" x14ac:dyDescent="0.15">
      <c r="A1231" s="11">
        <v>45212</v>
      </c>
      <c r="B1231" s="12" t="s">
        <v>45</v>
      </c>
      <c r="C1231" s="12" t="s">
        <v>49</v>
      </c>
      <c r="D1231" s="13" t="str">
        <f>HYPERLINK("https://www.marklines.com/en/global/1325","Stellantis, FCA Italy, Melfi Plant")</f>
        <v>Stellantis, FCA Italy, Melfi Plant</v>
      </c>
      <c r="E1231" s="12" t="s">
        <v>78</v>
      </c>
      <c r="F1231" s="12" t="s">
        <v>17</v>
      </c>
      <c r="G1231" s="12" t="s">
        <v>46</v>
      </c>
      <c r="H1231" s="12"/>
      <c r="I1231" s="14">
        <v>45212</v>
      </c>
      <c r="J1231" s="12" t="s">
        <v>221</v>
      </c>
    </row>
    <row r="1232" spans="1:10" s="15" customFormat="1" x14ac:dyDescent="0.15">
      <c r="A1232" s="11">
        <v>45212</v>
      </c>
      <c r="B1232" s="12" t="s">
        <v>45</v>
      </c>
      <c r="C1232" s="12" t="s">
        <v>45</v>
      </c>
      <c r="D1232" s="13" t="str">
        <f>HYPERLINK("https://www.marklines.com/en/global/1343","Stellantis, Fiat Powertrain Technologies, Termoli Plant / Automotive Cell Company (ACC), Termoli Plant")</f>
        <v>Stellantis, Fiat Powertrain Technologies, Termoli Plant / Automotive Cell Company (ACC), Termoli Plant</v>
      </c>
      <c r="E1232" s="12" t="s">
        <v>222</v>
      </c>
      <c r="F1232" s="12" t="s">
        <v>17</v>
      </c>
      <c r="G1232" s="12" t="s">
        <v>46</v>
      </c>
      <c r="H1232" s="12"/>
      <c r="I1232" s="14">
        <v>45212</v>
      </c>
      <c r="J1232" s="12" t="s">
        <v>221</v>
      </c>
    </row>
    <row r="1233" spans="1:10" s="15" customFormat="1" x14ac:dyDescent="0.15">
      <c r="A1233" s="11">
        <v>45212</v>
      </c>
      <c r="B1233" s="12" t="s">
        <v>13</v>
      </c>
      <c r="C1233" s="12" t="s">
        <v>13</v>
      </c>
      <c r="D1233" s="13" t="str">
        <f>HYPERLINK("https://www.marklines.com/en/global/757","JSC Moscow Automobile Plant Moskvich, Moscow Plant (former CJSC Renault Russia)")</f>
        <v>JSC Moscow Automobile Plant Moskvich, Moscow Plant (former CJSC Renault Russia)</v>
      </c>
      <c r="E1233" s="12" t="s">
        <v>102</v>
      </c>
      <c r="F1233" s="12" t="s">
        <v>18</v>
      </c>
      <c r="G1233" s="12" t="s">
        <v>14</v>
      </c>
      <c r="H1233" s="12"/>
      <c r="I1233" s="14">
        <v>45212</v>
      </c>
      <c r="J1233" s="12" t="s">
        <v>223</v>
      </c>
    </row>
    <row r="1234" spans="1:10" s="15" customFormat="1" x14ac:dyDescent="0.15">
      <c r="A1234" s="11">
        <v>45212</v>
      </c>
      <c r="B1234" s="12" t="s">
        <v>41</v>
      </c>
      <c r="C1234" s="12" t="s">
        <v>42</v>
      </c>
      <c r="D1234" s="13" t="str">
        <f>HYPERLINK("https://www.marklines.com/en/global/10245","Group Research &amp; MBC Development (Sindelfingen)")</f>
        <v>Group Research &amp; MBC Development (Sindelfingen)</v>
      </c>
      <c r="E1234" s="12" t="s">
        <v>224</v>
      </c>
      <c r="F1234" s="12" t="s">
        <v>17</v>
      </c>
      <c r="G1234" s="12" t="s">
        <v>21</v>
      </c>
      <c r="H1234" s="12"/>
      <c r="I1234" s="14">
        <v>45212</v>
      </c>
      <c r="J1234" s="12" t="s">
        <v>225</v>
      </c>
    </row>
    <row r="1235" spans="1:10" s="15" customFormat="1" x14ac:dyDescent="0.15">
      <c r="A1235" s="11">
        <v>45212</v>
      </c>
      <c r="B1235" s="12" t="s">
        <v>31</v>
      </c>
      <c r="C1235" s="12" t="s">
        <v>31</v>
      </c>
      <c r="D1235" s="13" t="str">
        <f>HYPERLINK("https://www.marklines.com/en/global/2209","BMW AG, Regensburg Plant")</f>
        <v>BMW AG, Regensburg Plant</v>
      </c>
      <c r="E1235" s="12" t="s">
        <v>226</v>
      </c>
      <c r="F1235" s="12" t="s">
        <v>17</v>
      </c>
      <c r="G1235" s="12" t="s">
        <v>21</v>
      </c>
      <c r="H1235" s="12"/>
      <c r="I1235" s="14">
        <v>45212</v>
      </c>
      <c r="J1235" s="12" t="s">
        <v>227</v>
      </c>
    </row>
    <row r="1236" spans="1:10" s="15" customFormat="1" x14ac:dyDescent="0.15">
      <c r="A1236" s="11">
        <v>45212</v>
      </c>
      <c r="B1236" s="12" t="s">
        <v>13</v>
      </c>
      <c r="C1236" s="12" t="s">
        <v>228</v>
      </c>
      <c r="D1236" s="13" t="str">
        <f>HYPERLINK("https://www.marklines.com/en/global/10553","Ebusco B.V., Deurne Plant")</f>
        <v>Ebusco B.V., Deurne Plant</v>
      </c>
      <c r="E1236" s="12" t="s">
        <v>229</v>
      </c>
      <c r="F1236" s="12" t="s">
        <v>17</v>
      </c>
      <c r="G1236" s="12" t="s">
        <v>230</v>
      </c>
      <c r="H1236" s="12"/>
      <c r="I1236" s="14">
        <v>45212</v>
      </c>
      <c r="J1236" s="12" t="s">
        <v>231</v>
      </c>
    </row>
    <row r="1237" spans="1:10" s="15" customFormat="1" x14ac:dyDescent="0.15">
      <c r="A1237" s="11">
        <v>45212</v>
      </c>
      <c r="B1237" s="12" t="s">
        <v>232</v>
      </c>
      <c r="C1237" s="12" t="s">
        <v>233</v>
      </c>
      <c r="D1237" s="13" t="str">
        <f>HYPERLINK("https://www.marklines.com/en/global/9590","Mahindra &amp; Mahindra South Africa Private Ltd., Durban Plant ")</f>
        <v xml:space="preserve">Mahindra &amp; Mahindra South Africa Private Ltd., Durban Plant </v>
      </c>
      <c r="E1237" s="12" t="s">
        <v>234</v>
      </c>
      <c r="F1237" s="12" t="s">
        <v>69</v>
      </c>
      <c r="G1237" s="12" t="s">
        <v>70</v>
      </c>
      <c r="H1237" s="12"/>
      <c r="I1237" s="14">
        <v>45211</v>
      </c>
      <c r="J1237" s="12" t="s">
        <v>235</v>
      </c>
    </row>
    <row r="1238" spans="1:10" s="15" customFormat="1" x14ac:dyDescent="0.15">
      <c r="A1238" s="11">
        <v>45212</v>
      </c>
      <c r="B1238" s="12" t="s">
        <v>33</v>
      </c>
      <c r="C1238" s="12" t="s">
        <v>236</v>
      </c>
      <c r="D1238" s="13" t="str">
        <f>HYPERLINK("https://www.marklines.com/en/global/63","Bugatti Automobiles S.A.S., Molsheim Plant")</f>
        <v>Bugatti Automobiles S.A.S., Molsheim Plant</v>
      </c>
      <c r="E1238" s="12" t="s">
        <v>237</v>
      </c>
      <c r="F1238" s="12" t="s">
        <v>17</v>
      </c>
      <c r="G1238" s="12" t="s">
        <v>32</v>
      </c>
      <c r="H1238" s="12"/>
      <c r="I1238" s="14">
        <v>45211</v>
      </c>
      <c r="J1238" s="12" t="s">
        <v>238</v>
      </c>
    </row>
    <row r="1239" spans="1:10" s="15" customFormat="1" x14ac:dyDescent="0.15">
      <c r="A1239" s="11">
        <v>45212</v>
      </c>
      <c r="B1239" s="12" t="s">
        <v>13</v>
      </c>
      <c r="C1239" s="12" t="s">
        <v>239</v>
      </c>
      <c r="D1239" s="13" t="str">
        <f>HYPERLINK("https://www.marklines.com/en/global/9844","Rimac Group, Rimac Technology (formerly Rimac Automobili)")</f>
        <v>Rimac Group, Rimac Technology (formerly Rimac Automobili)</v>
      </c>
      <c r="E1239" s="12" t="s">
        <v>240</v>
      </c>
      <c r="F1239" s="12" t="s">
        <v>18</v>
      </c>
      <c r="G1239" s="12" t="s">
        <v>241</v>
      </c>
      <c r="H1239" s="12"/>
      <c r="I1239" s="14">
        <v>45211</v>
      </c>
      <c r="J1239" s="12" t="s">
        <v>238</v>
      </c>
    </row>
    <row r="1240" spans="1:10" s="15" customFormat="1" x14ac:dyDescent="0.15">
      <c r="A1240" s="11">
        <v>45212</v>
      </c>
      <c r="B1240" s="12" t="s">
        <v>13</v>
      </c>
      <c r="C1240" s="12" t="s">
        <v>239</v>
      </c>
      <c r="D1240" s="13" t="str">
        <f>HYPERLINK("https://www.marklines.com/en/global/10606","Rimac Campus, Kerestinec (tentative name)")</f>
        <v>Rimac Campus, Kerestinec (tentative name)</v>
      </c>
      <c r="E1240" s="12" t="s">
        <v>242</v>
      </c>
      <c r="F1240" s="12" t="s">
        <v>18</v>
      </c>
      <c r="G1240" s="12" t="s">
        <v>241</v>
      </c>
      <c r="H1240" s="12"/>
      <c r="I1240" s="14">
        <v>45211</v>
      </c>
      <c r="J1240" s="12" t="s">
        <v>238</v>
      </c>
    </row>
    <row r="1241" spans="1:10" s="15" customFormat="1" x14ac:dyDescent="0.15">
      <c r="A1241" s="11">
        <v>45212</v>
      </c>
      <c r="B1241" s="12" t="s">
        <v>243</v>
      </c>
      <c r="C1241" s="12" t="s">
        <v>243</v>
      </c>
      <c r="D1241" s="13" t="str">
        <f>HYPERLINK("https://www.marklines.com/en/global/169","Renault S.A., Douai (Georges Besse) Plant")</f>
        <v>Renault S.A., Douai (Georges Besse) Plant</v>
      </c>
      <c r="E1241" s="12" t="s">
        <v>244</v>
      </c>
      <c r="F1241" s="12" t="s">
        <v>17</v>
      </c>
      <c r="G1241" s="12" t="s">
        <v>32</v>
      </c>
      <c r="H1241" s="12"/>
      <c r="I1241" s="14">
        <v>45211</v>
      </c>
      <c r="J1241" s="12" t="s">
        <v>245</v>
      </c>
    </row>
    <row r="1242" spans="1:10" s="15" customFormat="1" x14ac:dyDescent="0.15">
      <c r="A1242" s="11">
        <v>45212</v>
      </c>
      <c r="B1242" s="12" t="s">
        <v>243</v>
      </c>
      <c r="C1242" s="12" t="s">
        <v>243</v>
      </c>
      <c r="D1242" s="13" t="str">
        <f>HYPERLINK("https://www.marklines.com/en/global/10626","AESC France S.A.S., Douai Plant (formerly Envision AESC France S.A.S.)")</f>
        <v>AESC France S.A.S., Douai Plant (formerly Envision AESC France S.A.S.)</v>
      </c>
      <c r="E1242" s="12" t="s">
        <v>246</v>
      </c>
      <c r="F1242" s="12" t="s">
        <v>17</v>
      </c>
      <c r="G1242" s="12" t="s">
        <v>32</v>
      </c>
      <c r="H1242" s="12"/>
      <c r="I1242" s="14">
        <v>45211</v>
      </c>
      <c r="J1242" s="12" t="s">
        <v>245</v>
      </c>
    </row>
    <row r="1243" spans="1:10" s="15" customFormat="1" x14ac:dyDescent="0.15">
      <c r="A1243" s="11">
        <v>45212</v>
      </c>
      <c r="B1243" s="12" t="s">
        <v>12</v>
      </c>
      <c r="C1243" s="12" t="s">
        <v>12</v>
      </c>
      <c r="D1243" s="13" t="str">
        <f>HYPERLINK("https://www.marklines.com/en/global/9906","Cruise LLC, subsidiary of General Motors (San Francisco)")</f>
        <v>Cruise LLC, subsidiary of General Motors (San Francisco)</v>
      </c>
      <c r="E1243" s="12" t="s">
        <v>247</v>
      </c>
      <c r="F1243" s="12" t="s">
        <v>16</v>
      </c>
      <c r="G1243" s="12" t="s">
        <v>11</v>
      </c>
      <c r="H1243" s="12" t="s">
        <v>248</v>
      </c>
      <c r="I1243" s="14">
        <v>45211</v>
      </c>
      <c r="J1243" s="12" t="s">
        <v>249</v>
      </c>
    </row>
    <row r="1244" spans="1:10" s="15" customFormat="1" x14ac:dyDescent="0.15">
      <c r="A1244" s="11">
        <v>45212</v>
      </c>
      <c r="B1244" s="12" t="s">
        <v>24</v>
      </c>
      <c r="C1244" s="12" t="s">
        <v>24</v>
      </c>
      <c r="D1244" s="13" t="str">
        <f>HYPERLINK("https://www.marklines.com/en/global/2589","Ford Motor, Ohio Assembly Plant")</f>
        <v>Ford Motor, Ohio Assembly Plant</v>
      </c>
      <c r="E1244" s="12" t="s">
        <v>250</v>
      </c>
      <c r="F1244" s="12" t="s">
        <v>16</v>
      </c>
      <c r="G1244" s="12" t="s">
        <v>11</v>
      </c>
      <c r="H1244" s="12" t="s">
        <v>101</v>
      </c>
      <c r="I1244" s="14">
        <v>45211</v>
      </c>
      <c r="J1244" s="12" t="s">
        <v>251</v>
      </c>
    </row>
    <row r="1245" spans="1:10" s="15" customFormat="1" x14ac:dyDescent="0.15">
      <c r="A1245" s="11">
        <v>45212</v>
      </c>
      <c r="B1245" s="12" t="s">
        <v>24</v>
      </c>
      <c r="C1245" s="12" t="s">
        <v>24</v>
      </c>
      <c r="D1245" s="13" t="str">
        <f>HYPERLINK("https://www.marklines.com/en/global/2605","Ford Motor, Louisville Assembly Plant")</f>
        <v>Ford Motor, Louisville Assembly Plant</v>
      </c>
      <c r="E1245" s="12" t="s">
        <v>252</v>
      </c>
      <c r="F1245" s="12" t="s">
        <v>16</v>
      </c>
      <c r="G1245" s="12" t="s">
        <v>11</v>
      </c>
      <c r="H1245" s="12" t="s">
        <v>90</v>
      </c>
      <c r="I1245" s="14">
        <v>45211</v>
      </c>
      <c r="J1245" s="12" t="s">
        <v>251</v>
      </c>
    </row>
    <row r="1246" spans="1:10" s="15" customFormat="1" x14ac:dyDescent="0.15">
      <c r="A1246" s="11">
        <v>45212</v>
      </c>
      <c r="B1246" s="12" t="s">
        <v>24</v>
      </c>
      <c r="C1246" s="12" t="s">
        <v>24</v>
      </c>
      <c r="D1246" s="13" t="str">
        <f>HYPERLINK("https://www.marklines.com/en/global/2607","Ford Motor, Kentucky Truck Plant")</f>
        <v>Ford Motor, Kentucky Truck Plant</v>
      </c>
      <c r="E1246" s="12" t="s">
        <v>253</v>
      </c>
      <c r="F1246" s="12" t="s">
        <v>16</v>
      </c>
      <c r="G1246" s="12" t="s">
        <v>11</v>
      </c>
      <c r="H1246" s="12" t="s">
        <v>90</v>
      </c>
      <c r="I1246" s="14">
        <v>45211</v>
      </c>
      <c r="J1246" s="12" t="s">
        <v>251</v>
      </c>
    </row>
    <row r="1247" spans="1:10" s="15" customFormat="1" x14ac:dyDescent="0.15">
      <c r="A1247" s="11">
        <v>45212</v>
      </c>
      <c r="B1247" s="12" t="s">
        <v>24</v>
      </c>
      <c r="C1247" s="12" t="s">
        <v>122</v>
      </c>
      <c r="D1247" s="13" t="str">
        <f>HYPERLINK("https://www.marklines.com/en/global/2605","Ford Motor, Louisville Assembly Plant")</f>
        <v>Ford Motor, Louisville Assembly Plant</v>
      </c>
      <c r="E1247" s="12" t="s">
        <v>252</v>
      </c>
      <c r="F1247" s="12" t="s">
        <v>16</v>
      </c>
      <c r="G1247" s="12" t="s">
        <v>11</v>
      </c>
      <c r="H1247" s="12" t="s">
        <v>90</v>
      </c>
      <c r="I1247" s="14">
        <v>45211</v>
      </c>
      <c r="J1247" s="12" t="s">
        <v>251</v>
      </c>
    </row>
    <row r="1248" spans="1:10" s="15" customFormat="1" x14ac:dyDescent="0.15">
      <c r="A1248" s="11">
        <v>45212</v>
      </c>
      <c r="B1248" s="12" t="s">
        <v>24</v>
      </c>
      <c r="C1248" s="12" t="s">
        <v>122</v>
      </c>
      <c r="D1248" s="13" t="str">
        <f>HYPERLINK("https://www.marklines.com/en/global/2607","Ford Motor, Kentucky Truck Plant")</f>
        <v>Ford Motor, Kentucky Truck Plant</v>
      </c>
      <c r="E1248" s="12" t="s">
        <v>253</v>
      </c>
      <c r="F1248" s="12" t="s">
        <v>16</v>
      </c>
      <c r="G1248" s="12" t="s">
        <v>11</v>
      </c>
      <c r="H1248" s="12" t="s">
        <v>90</v>
      </c>
      <c r="I1248" s="14">
        <v>45211</v>
      </c>
      <c r="J1248" s="12" t="s">
        <v>251</v>
      </c>
    </row>
    <row r="1249" spans="1:10" s="15" customFormat="1" x14ac:dyDescent="0.15">
      <c r="A1249" s="11">
        <v>45212</v>
      </c>
      <c r="B1249" s="12" t="s">
        <v>254</v>
      </c>
      <c r="C1249" s="12" t="s">
        <v>254</v>
      </c>
      <c r="D1249" s="13" t="str">
        <f>HYPERLINK("https://www.marklines.com/en/global/10321","Tesla Gigafactory Texas")</f>
        <v>Tesla Gigafactory Texas</v>
      </c>
      <c r="E1249" s="12" t="s">
        <v>255</v>
      </c>
      <c r="F1249" s="12" t="s">
        <v>16</v>
      </c>
      <c r="G1249" s="12" t="s">
        <v>11</v>
      </c>
      <c r="H1249" s="12" t="s">
        <v>256</v>
      </c>
      <c r="I1249" s="14">
        <v>45210</v>
      </c>
      <c r="J1249" s="12" t="s">
        <v>257</v>
      </c>
    </row>
    <row r="1250" spans="1:10" s="15" customFormat="1" x14ac:dyDescent="0.15">
      <c r="A1250" s="11">
        <v>45212</v>
      </c>
      <c r="B1250" s="12" t="s">
        <v>254</v>
      </c>
      <c r="C1250" s="12" t="s">
        <v>254</v>
      </c>
      <c r="D1250" s="13" t="str">
        <f>HYPERLINK("https://www.marklines.com/en/global/10321","Tesla Gigafactory Texas")</f>
        <v>Tesla Gigafactory Texas</v>
      </c>
      <c r="E1250" s="12" t="s">
        <v>255</v>
      </c>
      <c r="F1250" s="12" t="s">
        <v>16</v>
      </c>
      <c r="G1250" s="12" t="s">
        <v>11</v>
      </c>
      <c r="H1250" s="12" t="s">
        <v>256</v>
      </c>
      <c r="I1250" s="14">
        <v>45210</v>
      </c>
      <c r="J1250" s="12" t="s">
        <v>258</v>
      </c>
    </row>
    <row r="1251" spans="1:10" s="15" customFormat="1" x14ac:dyDescent="0.15">
      <c r="A1251" s="11">
        <v>45212</v>
      </c>
      <c r="B1251" s="12" t="s">
        <v>41</v>
      </c>
      <c r="C1251" s="12" t="s">
        <v>42</v>
      </c>
      <c r="D1251" s="13" t="str">
        <f>HYPERLINK("https://www.marklines.com/en/global/3049","Mercedes-Benz U.S. International (MBUSI), Tuscaloosa (Vance) Plant")</f>
        <v>Mercedes-Benz U.S. International (MBUSI), Tuscaloosa (Vance) Plant</v>
      </c>
      <c r="E1251" s="12" t="s">
        <v>259</v>
      </c>
      <c r="F1251" s="12" t="s">
        <v>16</v>
      </c>
      <c r="G1251" s="12" t="s">
        <v>11</v>
      </c>
      <c r="H1251" s="12" t="s">
        <v>260</v>
      </c>
      <c r="I1251" s="14">
        <v>45210</v>
      </c>
      <c r="J1251" s="12" t="s">
        <v>261</v>
      </c>
    </row>
    <row r="1252" spans="1:10" s="15" customFormat="1" x14ac:dyDescent="0.15">
      <c r="A1252" s="11">
        <v>45212</v>
      </c>
      <c r="B1252" s="12" t="s">
        <v>13</v>
      </c>
      <c r="C1252" s="12" t="s">
        <v>262</v>
      </c>
      <c r="D1252" s="13" t="str">
        <f>HYPERLINK("https://www.marklines.com/en/global/10552","Arrival UK LTD., Bicester Plant")</f>
        <v>Arrival UK LTD., Bicester Plant</v>
      </c>
      <c r="E1252" s="12" t="s">
        <v>263</v>
      </c>
      <c r="F1252" s="12" t="s">
        <v>17</v>
      </c>
      <c r="G1252" s="12" t="s">
        <v>47</v>
      </c>
      <c r="H1252" s="12"/>
      <c r="I1252" s="14">
        <v>45209</v>
      </c>
      <c r="J1252" s="12" t="s">
        <v>264</v>
      </c>
    </row>
    <row r="1253" spans="1:10" s="15" customFormat="1" x14ac:dyDescent="0.15">
      <c r="A1253" s="11">
        <v>45212</v>
      </c>
      <c r="B1253" s="12" t="s">
        <v>36</v>
      </c>
      <c r="C1253" s="12" t="s">
        <v>265</v>
      </c>
      <c r="D1253" s="13" t="str">
        <f>HYPERLINK("https://www.marklines.com/en/global/3533","Great Wall Motor Company Limited (GWM)")</f>
        <v>Great Wall Motor Company Limited (GWM)</v>
      </c>
      <c r="E1253" s="12" t="s">
        <v>266</v>
      </c>
      <c r="F1253" s="12" t="s">
        <v>20</v>
      </c>
      <c r="G1253" s="12" t="s">
        <v>27</v>
      </c>
      <c r="H1253" s="12" t="s">
        <v>267</v>
      </c>
      <c r="I1253" s="14">
        <v>45209</v>
      </c>
      <c r="J1253" s="12" t="s">
        <v>268</v>
      </c>
    </row>
    <row r="1254" spans="1:10" s="15" customFormat="1" x14ac:dyDescent="0.15">
      <c r="A1254" s="11">
        <v>45212</v>
      </c>
      <c r="B1254" s="12" t="s">
        <v>43</v>
      </c>
      <c r="C1254" s="12" t="s">
        <v>269</v>
      </c>
      <c r="D1254" s="13" t="str">
        <f>HYPERLINK("https://www.marklines.com/en/global/3145","Kia Georgia, Inc. (KMMG), West Point Plant")</f>
        <v>Kia Georgia, Inc. (KMMG), West Point Plant</v>
      </c>
      <c r="E1254" s="12" t="s">
        <v>270</v>
      </c>
      <c r="F1254" s="12" t="s">
        <v>16</v>
      </c>
      <c r="G1254" s="12" t="s">
        <v>11</v>
      </c>
      <c r="H1254" s="12" t="s">
        <v>271</v>
      </c>
      <c r="I1254" s="14">
        <v>45208</v>
      </c>
      <c r="J1254" s="12" t="s">
        <v>272</v>
      </c>
    </row>
    <row r="1255" spans="1:10" s="15" customFormat="1" x14ac:dyDescent="0.15">
      <c r="A1255" s="11">
        <v>45212</v>
      </c>
      <c r="B1255" s="12" t="s">
        <v>56</v>
      </c>
      <c r="C1255" s="12" t="s">
        <v>56</v>
      </c>
      <c r="D1255" s="13" t="str">
        <f>HYPERLINK("https://www.marklines.com/en/global/893","Nissan Mexico, Aguascalientes Plant 1")</f>
        <v>Nissan Mexico, Aguascalientes Plant 1</v>
      </c>
      <c r="E1255" s="12" t="s">
        <v>273</v>
      </c>
      <c r="F1255" s="12" t="s">
        <v>16</v>
      </c>
      <c r="G1255" s="12" t="s">
        <v>91</v>
      </c>
      <c r="H1255" s="12"/>
      <c r="I1255" s="14">
        <v>45202</v>
      </c>
      <c r="J1255" s="12" t="s">
        <v>274</v>
      </c>
    </row>
    <row r="1256" spans="1:10" s="15" customFormat="1" x14ac:dyDescent="0.15">
      <c r="A1256" s="11">
        <v>45212</v>
      </c>
      <c r="B1256" s="12" t="s">
        <v>56</v>
      </c>
      <c r="C1256" s="12" t="s">
        <v>56</v>
      </c>
      <c r="D1256" s="13" t="str">
        <f>HYPERLINK("https://www.marklines.com/en/global/895","Nissan Mexico, Cuernavaca (Civac) Plant")</f>
        <v>Nissan Mexico, Cuernavaca (Civac) Plant</v>
      </c>
      <c r="E1256" s="12" t="s">
        <v>275</v>
      </c>
      <c r="F1256" s="12" t="s">
        <v>16</v>
      </c>
      <c r="G1256" s="12" t="s">
        <v>91</v>
      </c>
      <c r="H1256" s="12"/>
      <c r="I1256" s="14">
        <v>45202</v>
      </c>
      <c r="J1256" s="12" t="s">
        <v>274</v>
      </c>
    </row>
    <row r="1257" spans="1:10" s="15" customFormat="1" x14ac:dyDescent="0.15">
      <c r="A1257" s="11">
        <v>45211</v>
      </c>
      <c r="B1257" s="12" t="s">
        <v>276</v>
      </c>
      <c r="C1257" s="12" t="s">
        <v>276</v>
      </c>
      <c r="D1257" s="13" t="str">
        <f>HYPERLINK("https://www.marklines.com/en/global/9981","XPT (Nanjing) E-Powertrain Technology Co., Ltd.")</f>
        <v>XPT (Nanjing) E-Powertrain Technology Co., Ltd.</v>
      </c>
      <c r="E1257" s="12" t="s">
        <v>277</v>
      </c>
      <c r="F1257" s="12" t="s">
        <v>20</v>
      </c>
      <c r="G1257" s="12" t="s">
        <v>27</v>
      </c>
      <c r="H1257" s="12" t="s">
        <v>278</v>
      </c>
      <c r="I1257" s="14">
        <v>45211</v>
      </c>
      <c r="J1257" s="12" t="s">
        <v>279</v>
      </c>
    </row>
    <row r="1258" spans="1:10" s="15" customFormat="1" x14ac:dyDescent="0.15">
      <c r="A1258" s="11">
        <v>45211</v>
      </c>
      <c r="B1258" s="12" t="s">
        <v>31</v>
      </c>
      <c r="C1258" s="12" t="s">
        <v>31</v>
      </c>
      <c r="D1258" s="13" t="str">
        <f>HYPERLINK("https://www.marklines.com/en/global/1485","VDL Nedcar, Born Plant")</f>
        <v>VDL Nedcar, Born Plant</v>
      </c>
      <c r="E1258" s="12" t="s">
        <v>280</v>
      </c>
      <c r="F1258" s="12" t="s">
        <v>17</v>
      </c>
      <c r="G1258" s="12" t="s">
        <v>230</v>
      </c>
      <c r="H1258" s="12"/>
      <c r="I1258" s="14">
        <v>45210</v>
      </c>
      <c r="J1258" s="12" t="s">
        <v>281</v>
      </c>
    </row>
    <row r="1259" spans="1:10" s="15" customFormat="1" x14ac:dyDescent="0.15">
      <c r="A1259" s="11">
        <v>45211</v>
      </c>
      <c r="B1259" s="12" t="s">
        <v>13</v>
      </c>
      <c r="C1259" s="12" t="s">
        <v>282</v>
      </c>
      <c r="D1259" s="13" t="str">
        <f>HYPERLINK("https://www.marklines.com/en/global/1485","VDL Nedcar, Born Plant")</f>
        <v>VDL Nedcar, Born Plant</v>
      </c>
      <c r="E1259" s="12" t="s">
        <v>280</v>
      </c>
      <c r="F1259" s="12" t="s">
        <v>17</v>
      </c>
      <c r="G1259" s="12" t="s">
        <v>230</v>
      </c>
      <c r="H1259" s="12"/>
      <c r="I1259" s="14">
        <v>45210</v>
      </c>
      <c r="J1259" s="12" t="s">
        <v>281</v>
      </c>
    </row>
    <row r="1260" spans="1:10" s="15" customFormat="1" x14ac:dyDescent="0.15">
      <c r="A1260" s="11">
        <v>45211</v>
      </c>
      <c r="B1260" s="12" t="s">
        <v>31</v>
      </c>
      <c r="C1260" s="12" t="s">
        <v>31</v>
      </c>
      <c r="D1260" s="13" t="str">
        <f>HYPERLINK("https://www.marklines.com/en/global/2209","BMW AG, Regensburg Plant")</f>
        <v>BMW AG, Regensburg Plant</v>
      </c>
      <c r="E1260" s="12" t="s">
        <v>226</v>
      </c>
      <c r="F1260" s="12" t="s">
        <v>17</v>
      </c>
      <c r="G1260" s="12" t="s">
        <v>21</v>
      </c>
      <c r="H1260" s="12"/>
      <c r="I1260" s="14">
        <v>45210</v>
      </c>
      <c r="J1260" s="12" t="s">
        <v>283</v>
      </c>
    </row>
    <row r="1261" spans="1:10" s="15" customFormat="1" x14ac:dyDescent="0.15">
      <c r="A1261" s="11">
        <v>45211</v>
      </c>
      <c r="B1261" s="12" t="s">
        <v>45</v>
      </c>
      <c r="C1261" s="12" t="s">
        <v>45</v>
      </c>
      <c r="D1261" s="13" t="str">
        <f>HYPERLINK("https://www.marklines.com/en/global/1931","Stellantis, Opel Espana de Automoviles, S.A., Zaragoza (Figueruelas) Plant")</f>
        <v>Stellantis, Opel Espana de Automoviles, S.A., Zaragoza (Figueruelas) Plant</v>
      </c>
      <c r="E1261" s="12" t="s">
        <v>284</v>
      </c>
      <c r="F1261" s="12" t="s">
        <v>17</v>
      </c>
      <c r="G1261" s="12" t="s">
        <v>62</v>
      </c>
      <c r="H1261" s="12"/>
      <c r="I1261" s="14">
        <v>45210</v>
      </c>
      <c r="J1261" s="12" t="s">
        <v>285</v>
      </c>
    </row>
    <row r="1262" spans="1:10" s="15" customFormat="1" x14ac:dyDescent="0.15">
      <c r="A1262" s="11">
        <v>45211</v>
      </c>
      <c r="B1262" s="12" t="s">
        <v>45</v>
      </c>
      <c r="C1262" s="12" t="s">
        <v>45</v>
      </c>
      <c r="D1262" s="13" t="str">
        <f>HYPERLINK("https://www.marklines.com/en/global/1935","Stellantis, Peugeot Citroen Automoviles Espana S.A., Villaverde (Madrid) Plant")</f>
        <v>Stellantis, Peugeot Citroen Automoviles Espana S.A., Villaverde (Madrid) Plant</v>
      </c>
      <c r="E1262" s="12" t="s">
        <v>286</v>
      </c>
      <c r="F1262" s="12" t="s">
        <v>17</v>
      </c>
      <c r="G1262" s="12" t="s">
        <v>62</v>
      </c>
      <c r="H1262" s="12"/>
      <c r="I1262" s="14">
        <v>45210</v>
      </c>
      <c r="J1262" s="12" t="s">
        <v>285</v>
      </c>
    </row>
    <row r="1263" spans="1:10" s="15" customFormat="1" x14ac:dyDescent="0.15">
      <c r="A1263" s="11">
        <v>45211</v>
      </c>
      <c r="B1263" s="12" t="s">
        <v>45</v>
      </c>
      <c r="C1263" s="12" t="s">
        <v>45</v>
      </c>
      <c r="D1263" s="13" t="str">
        <f>HYPERLINK("https://www.marklines.com/en/global/1939","Stellantis, Peugeot Citroen Automoviles Espana S.A., Vigo Plant")</f>
        <v>Stellantis, Peugeot Citroen Automoviles Espana S.A., Vigo Plant</v>
      </c>
      <c r="E1263" s="12" t="s">
        <v>287</v>
      </c>
      <c r="F1263" s="12" t="s">
        <v>17</v>
      </c>
      <c r="G1263" s="12" t="s">
        <v>62</v>
      </c>
      <c r="H1263" s="12"/>
      <c r="I1263" s="14">
        <v>45210</v>
      </c>
      <c r="J1263" s="12" t="s">
        <v>285</v>
      </c>
    </row>
    <row r="1264" spans="1:10" s="15" customFormat="1" x14ac:dyDescent="0.15">
      <c r="A1264" s="11">
        <v>45211</v>
      </c>
      <c r="B1264" s="12" t="s">
        <v>24</v>
      </c>
      <c r="C1264" s="12" t="s">
        <v>24</v>
      </c>
      <c r="D1264" s="13" t="str">
        <f>HYPERLINK("https://www.marklines.com/en/global/2607","Ford Motor, Kentucky Truck Plant")</f>
        <v>Ford Motor, Kentucky Truck Plant</v>
      </c>
      <c r="E1264" s="12" t="s">
        <v>253</v>
      </c>
      <c r="F1264" s="12" t="s">
        <v>16</v>
      </c>
      <c r="G1264" s="12" t="s">
        <v>11</v>
      </c>
      <c r="H1264" s="12" t="s">
        <v>90</v>
      </c>
      <c r="I1264" s="14">
        <v>45210</v>
      </c>
      <c r="J1264" s="12" t="s">
        <v>288</v>
      </c>
    </row>
    <row r="1265" spans="1:10" s="15" customFormat="1" x14ac:dyDescent="0.15">
      <c r="A1265" s="11">
        <v>45211</v>
      </c>
      <c r="B1265" s="12" t="s">
        <v>24</v>
      </c>
      <c r="C1265" s="12" t="s">
        <v>122</v>
      </c>
      <c r="D1265" s="13" t="str">
        <f>HYPERLINK("https://www.marklines.com/en/global/2607","Ford Motor, Kentucky Truck Plant")</f>
        <v>Ford Motor, Kentucky Truck Plant</v>
      </c>
      <c r="E1265" s="12" t="s">
        <v>253</v>
      </c>
      <c r="F1265" s="12" t="s">
        <v>16</v>
      </c>
      <c r="G1265" s="12" t="s">
        <v>11</v>
      </c>
      <c r="H1265" s="12" t="s">
        <v>90</v>
      </c>
      <c r="I1265" s="14">
        <v>45210</v>
      </c>
      <c r="J1265" s="12" t="s">
        <v>288</v>
      </c>
    </row>
    <row r="1266" spans="1:10" s="15" customFormat="1" x14ac:dyDescent="0.15">
      <c r="A1266" s="11">
        <v>45211</v>
      </c>
      <c r="B1266" s="12" t="s">
        <v>35</v>
      </c>
      <c r="C1266" s="12" t="s">
        <v>35</v>
      </c>
      <c r="D1266" s="13" t="str">
        <f>HYPERLINK("https://www.marklines.com/en/global/1253","Maruti Suzuki India Ltd. (MSIL), Gurgaon Plant")</f>
        <v>Maruti Suzuki India Ltd. (MSIL), Gurgaon Plant</v>
      </c>
      <c r="E1266" s="12" t="s">
        <v>289</v>
      </c>
      <c r="F1266" s="12" t="s">
        <v>25</v>
      </c>
      <c r="G1266" s="12" t="s">
        <v>26</v>
      </c>
      <c r="H1266" s="12" t="s">
        <v>290</v>
      </c>
      <c r="I1266" s="14">
        <v>45210</v>
      </c>
      <c r="J1266" s="12" t="s">
        <v>291</v>
      </c>
    </row>
    <row r="1267" spans="1:10" s="15" customFormat="1" x14ac:dyDescent="0.15">
      <c r="A1267" s="11">
        <v>45211</v>
      </c>
      <c r="B1267" s="12" t="s">
        <v>98</v>
      </c>
      <c r="C1267" s="12" t="s">
        <v>99</v>
      </c>
      <c r="D1267" s="13" t="str">
        <f>HYPERLINK("https://www.marklines.com/en/global/10752","VinES Battery Manufacturing Factory, Vung Ang, Ha Tinh ")</f>
        <v xml:space="preserve">VinES Battery Manufacturing Factory, Vung Ang, Ha Tinh </v>
      </c>
      <c r="E1267" s="12" t="s">
        <v>292</v>
      </c>
      <c r="F1267" s="12" t="s">
        <v>34</v>
      </c>
      <c r="G1267" s="12" t="s">
        <v>110</v>
      </c>
      <c r="H1267" s="12"/>
      <c r="I1267" s="14">
        <v>45210</v>
      </c>
      <c r="J1267" s="12" t="s">
        <v>293</v>
      </c>
    </row>
    <row r="1268" spans="1:10" s="15" customFormat="1" x14ac:dyDescent="0.15">
      <c r="A1268" s="11">
        <v>45211</v>
      </c>
      <c r="B1268" s="12" t="s">
        <v>217</v>
      </c>
      <c r="C1268" s="12" t="s">
        <v>217</v>
      </c>
      <c r="D1268" s="13" t="str">
        <f>HYPERLINK("https://www.marklines.com/en/global/1107","Ashok Leyland, Ennore Plant")</f>
        <v>Ashok Leyland, Ennore Plant</v>
      </c>
      <c r="E1268" s="12" t="s">
        <v>218</v>
      </c>
      <c r="F1268" s="12" t="s">
        <v>25</v>
      </c>
      <c r="G1268" s="12" t="s">
        <v>26</v>
      </c>
      <c r="H1268" s="12" t="s">
        <v>219</v>
      </c>
      <c r="I1268" s="14">
        <v>45210</v>
      </c>
      <c r="J1268" s="12" t="s">
        <v>294</v>
      </c>
    </row>
    <row r="1269" spans="1:10" s="15" customFormat="1" x14ac:dyDescent="0.15">
      <c r="A1269" s="11">
        <v>45211</v>
      </c>
      <c r="B1269" s="12" t="s">
        <v>45</v>
      </c>
      <c r="C1269" s="12" t="s">
        <v>45</v>
      </c>
      <c r="D1269" s="13" t="str">
        <f>HYPERLINK("https://www.marklines.com/en/global/10578","Stellantis-Samsung SDI, StarPlus Energy plant")</f>
        <v>Stellantis-Samsung SDI, StarPlus Energy plant</v>
      </c>
      <c r="E1269" s="12" t="s">
        <v>295</v>
      </c>
      <c r="F1269" s="12" t="s">
        <v>16</v>
      </c>
      <c r="G1269" s="12" t="s">
        <v>11</v>
      </c>
      <c r="H1269" s="12" t="s">
        <v>296</v>
      </c>
      <c r="I1269" s="14">
        <v>45210</v>
      </c>
      <c r="J1269" s="12" t="s">
        <v>297</v>
      </c>
    </row>
    <row r="1270" spans="1:10" s="15" customFormat="1" x14ac:dyDescent="0.15">
      <c r="A1270" s="11">
        <v>45211</v>
      </c>
      <c r="B1270" s="12" t="s">
        <v>13</v>
      </c>
      <c r="C1270" s="12" t="s">
        <v>228</v>
      </c>
      <c r="D1270" s="13" t="str">
        <f>HYPERLINK("https://www.marklines.com/en/global/10553","Ebusco B.V., Deurne Plant")</f>
        <v>Ebusco B.V., Deurne Plant</v>
      </c>
      <c r="E1270" s="12" t="s">
        <v>229</v>
      </c>
      <c r="F1270" s="12" t="s">
        <v>17</v>
      </c>
      <c r="G1270" s="12" t="s">
        <v>230</v>
      </c>
      <c r="H1270" s="12"/>
      <c r="I1270" s="14">
        <v>45209</v>
      </c>
      <c r="J1270" s="12" t="s">
        <v>298</v>
      </c>
    </row>
    <row r="1271" spans="1:10" s="15" customFormat="1" x14ac:dyDescent="0.15">
      <c r="A1271" s="11">
        <v>45211</v>
      </c>
      <c r="B1271" s="12" t="s">
        <v>13</v>
      </c>
      <c r="C1271" s="12" t="s">
        <v>209</v>
      </c>
      <c r="D1271" s="13" t="str">
        <f>HYPERLINK("https://www.marklines.com/en/global/10442","KGM COMMERCIAL (formerly EDISON MOTORS Co., Ltd.), Hamyang Plant")</f>
        <v>KGM COMMERCIAL (formerly EDISON MOTORS Co., Ltd.), Hamyang Plant</v>
      </c>
      <c r="E1271" s="12" t="s">
        <v>210</v>
      </c>
      <c r="F1271" s="12" t="s">
        <v>20</v>
      </c>
      <c r="G1271" s="12" t="s">
        <v>79</v>
      </c>
      <c r="H1271" s="12"/>
      <c r="I1271" s="14">
        <v>45209</v>
      </c>
      <c r="J1271" s="12" t="s">
        <v>299</v>
      </c>
    </row>
    <row r="1272" spans="1:10" s="15" customFormat="1" x14ac:dyDescent="0.15">
      <c r="A1272" s="11">
        <v>45211</v>
      </c>
      <c r="B1272" s="12" t="s">
        <v>300</v>
      </c>
      <c r="C1272" s="12" t="s">
        <v>300</v>
      </c>
      <c r="D1272" s="13" t="str">
        <f>HYPERLINK("https://www.marklines.com/en/global/10442","KGM COMMERCIAL (formerly EDISON MOTORS Co., Ltd.), Hamyang Plant")</f>
        <v>KGM COMMERCIAL (formerly EDISON MOTORS Co., Ltd.), Hamyang Plant</v>
      </c>
      <c r="E1272" s="12" t="s">
        <v>210</v>
      </c>
      <c r="F1272" s="12" t="s">
        <v>20</v>
      </c>
      <c r="G1272" s="12" t="s">
        <v>79</v>
      </c>
      <c r="H1272" s="12"/>
      <c r="I1272" s="14">
        <v>45209</v>
      </c>
      <c r="J1272" s="12" t="s">
        <v>299</v>
      </c>
    </row>
    <row r="1273" spans="1:10" s="15" customFormat="1" x14ac:dyDescent="0.15">
      <c r="A1273" s="11">
        <v>45211</v>
      </c>
      <c r="B1273" s="12" t="s">
        <v>301</v>
      </c>
      <c r="C1273" s="12" t="s">
        <v>301</v>
      </c>
      <c r="D1273" s="13" t="str">
        <f>HYPERLINK("https://www.marklines.com/en/global/9273","Yibin Kaiyi Automobile Co., Ltd. (Formerly Wuhu Cowin Automobile Co., Ltd.)")</f>
        <v>Yibin Kaiyi Automobile Co., Ltd. (Formerly Wuhu Cowin Automobile Co., Ltd.)</v>
      </c>
      <c r="E1273" s="12" t="s">
        <v>302</v>
      </c>
      <c r="F1273" s="12" t="s">
        <v>20</v>
      </c>
      <c r="G1273" s="12" t="s">
        <v>27</v>
      </c>
      <c r="H1273" s="12" t="s">
        <v>303</v>
      </c>
      <c r="I1273" s="14">
        <v>45209</v>
      </c>
      <c r="J1273" s="12" t="s">
        <v>304</v>
      </c>
    </row>
    <row r="1274" spans="1:10" s="15" customFormat="1" x14ac:dyDescent="0.15">
      <c r="A1274" s="11">
        <v>45211</v>
      </c>
      <c r="B1274" s="12" t="s">
        <v>31</v>
      </c>
      <c r="C1274" s="12" t="s">
        <v>31</v>
      </c>
      <c r="D1274" s="13" t="str">
        <f>HYPERLINK("https://www.marklines.com/en/global/3045","BMW Manufacturing Co., Spartanburg Plant")</f>
        <v>BMW Manufacturing Co., Spartanburg Plant</v>
      </c>
      <c r="E1274" s="12" t="s">
        <v>305</v>
      </c>
      <c r="F1274" s="12" t="s">
        <v>16</v>
      </c>
      <c r="G1274" s="12" t="s">
        <v>11</v>
      </c>
      <c r="H1274" s="12" t="s">
        <v>306</v>
      </c>
      <c r="I1274" s="14">
        <v>45209</v>
      </c>
      <c r="J1274" s="12" t="s">
        <v>307</v>
      </c>
    </row>
    <row r="1275" spans="1:10" s="15" customFormat="1" x14ac:dyDescent="0.15">
      <c r="A1275" s="11">
        <v>45211</v>
      </c>
      <c r="B1275" s="12" t="s">
        <v>31</v>
      </c>
      <c r="C1275" s="12" t="s">
        <v>31</v>
      </c>
      <c r="D1275" s="13" t="str">
        <f>HYPERLINK("https://www.marklines.com/en/global/10729","BMW, Plant Woodruff")</f>
        <v>BMW, Plant Woodruff</v>
      </c>
      <c r="E1275" s="12" t="s">
        <v>308</v>
      </c>
      <c r="F1275" s="12" t="s">
        <v>16</v>
      </c>
      <c r="G1275" s="12" t="s">
        <v>11</v>
      </c>
      <c r="H1275" s="12" t="s">
        <v>306</v>
      </c>
      <c r="I1275" s="14">
        <v>45209</v>
      </c>
      <c r="J1275" s="12" t="s">
        <v>307</v>
      </c>
    </row>
    <row r="1276" spans="1:10" s="15" customFormat="1" x14ac:dyDescent="0.15">
      <c r="A1276" s="11">
        <v>45211</v>
      </c>
      <c r="B1276" s="12" t="s">
        <v>24</v>
      </c>
      <c r="C1276" s="12" t="s">
        <v>24</v>
      </c>
      <c r="D1276" s="13" t="str">
        <f>HYPERLINK("https://www.marklines.com/en/global/8682","Ford Otomotiv Sanayi A.Ş. (Ford Otosan), Yeniköy Plant (Kocaeli Plant) ")</f>
        <v xml:space="preserve">Ford Otomotiv Sanayi A.Ş. (Ford Otosan), Yeniköy Plant (Kocaeli Plant) </v>
      </c>
      <c r="E1276" s="12" t="s">
        <v>309</v>
      </c>
      <c r="F1276" s="12" t="s">
        <v>106</v>
      </c>
      <c r="G1276" s="12" t="s">
        <v>107</v>
      </c>
      <c r="H1276" s="12"/>
      <c r="I1276" s="14">
        <v>45208</v>
      </c>
      <c r="J1276" s="12" t="s">
        <v>310</v>
      </c>
    </row>
    <row r="1277" spans="1:10" s="15" customFormat="1" x14ac:dyDescent="0.15">
      <c r="A1277" s="11">
        <v>45211</v>
      </c>
      <c r="B1277" s="12" t="s">
        <v>24</v>
      </c>
      <c r="C1277" s="12" t="s">
        <v>24</v>
      </c>
      <c r="D1277" s="13" t="str">
        <f>HYPERLINK("https://www.marklines.com/en/global/1419","Ford Otomotiv Sanayi A.Ş. (Ford Otosan), Gölcük Plant (Kocaeli Plant)")</f>
        <v>Ford Otomotiv Sanayi A.Ş. (Ford Otosan), Gölcük Plant (Kocaeli Plant)</v>
      </c>
      <c r="E1277" s="12" t="s">
        <v>311</v>
      </c>
      <c r="F1277" s="12" t="s">
        <v>106</v>
      </c>
      <c r="G1277" s="12" t="s">
        <v>107</v>
      </c>
      <c r="H1277" s="12"/>
      <c r="I1277" s="14">
        <v>45208</v>
      </c>
      <c r="J1277" s="12" t="s">
        <v>310</v>
      </c>
    </row>
    <row r="1278" spans="1:10" s="15" customFormat="1" x14ac:dyDescent="0.15">
      <c r="A1278" s="11">
        <v>45211</v>
      </c>
      <c r="B1278" s="12" t="s">
        <v>13</v>
      </c>
      <c r="C1278" s="12" t="s">
        <v>312</v>
      </c>
      <c r="D1278" s="13" t="str">
        <f>HYPERLINK("https://www.marklines.com/en/global/9532","WM Motor Technology Group Co., Ltd.")</f>
        <v>WM Motor Technology Group Co., Ltd.</v>
      </c>
      <c r="E1278" s="12" t="s">
        <v>313</v>
      </c>
      <c r="F1278" s="12" t="s">
        <v>20</v>
      </c>
      <c r="G1278" s="12" t="s">
        <v>27</v>
      </c>
      <c r="H1278" s="12" t="s">
        <v>314</v>
      </c>
      <c r="I1278" s="14">
        <v>45208</v>
      </c>
      <c r="J1278" s="12" t="s">
        <v>315</v>
      </c>
    </row>
    <row r="1279" spans="1:10" s="15" customFormat="1" x14ac:dyDescent="0.15">
      <c r="A1279" s="11">
        <v>45211</v>
      </c>
      <c r="B1279" s="12" t="s">
        <v>316</v>
      </c>
      <c r="C1279" s="12" t="s">
        <v>316</v>
      </c>
      <c r="D1279" s="13" t="str">
        <f>HYPERLINK("https://www.marklines.com/en/global/10441","BYD Automobile Co., Ltd. Changzhou Branch")</f>
        <v>BYD Automobile Co., Ltd. Changzhou Branch</v>
      </c>
      <c r="E1279" s="12" t="s">
        <v>317</v>
      </c>
      <c r="F1279" s="12" t="s">
        <v>20</v>
      </c>
      <c r="G1279" s="12" t="s">
        <v>27</v>
      </c>
      <c r="H1279" s="12" t="s">
        <v>278</v>
      </c>
      <c r="I1279" s="14">
        <v>45208</v>
      </c>
      <c r="J1279" s="12" t="s">
        <v>318</v>
      </c>
    </row>
    <row r="1280" spans="1:10" s="15" customFormat="1" x14ac:dyDescent="0.15">
      <c r="A1280" s="11">
        <v>45211</v>
      </c>
      <c r="B1280" s="12" t="s">
        <v>316</v>
      </c>
      <c r="C1280" s="12" t="s">
        <v>316</v>
      </c>
      <c r="D1280" s="13" t="str">
        <f>HYPERLINK("https://www.marklines.com/en/global/4269","BYD Automobile Co., Ltd.")</f>
        <v>BYD Automobile Co., Ltd.</v>
      </c>
      <c r="E1280" s="12" t="s">
        <v>319</v>
      </c>
      <c r="F1280" s="12" t="s">
        <v>20</v>
      </c>
      <c r="G1280" s="12" t="s">
        <v>27</v>
      </c>
      <c r="H1280" s="12" t="s">
        <v>320</v>
      </c>
      <c r="I1280" s="14">
        <v>45208</v>
      </c>
      <c r="J1280" s="12" t="s">
        <v>318</v>
      </c>
    </row>
    <row r="1281" spans="1:10" s="15" customFormat="1" x14ac:dyDescent="0.15">
      <c r="A1281" s="11">
        <v>45211</v>
      </c>
      <c r="B1281" s="12" t="s">
        <v>321</v>
      </c>
      <c r="C1281" s="12" t="s">
        <v>322</v>
      </c>
      <c r="D1281" s="13" t="str">
        <f>HYPERLINK("https://www.marklines.com/en/global/9126","BAIC Bluepark Magna Automobile Co., Ltd.  (formerly BAIC (Zhenjiang) Automobile Co., Ltd.)")</f>
        <v>BAIC Bluepark Magna Automobile Co., Ltd.  (formerly BAIC (Zhenjiang) Automobile Co., Ltd.)</v>
      </c>
      <c r="E1281" s="12" t="s">
        <v>323</v>
      </c>
      <c r="F1281" s="12" t="s">
        <v>20</v>
      </c>
      <c r="G1281" s="12" t="s">
        <v>27</v>
      </c>
      <c r="H1281" s="12" t="s">
        <v>278</v>
      </c>
      <c r="I1281" s="14">
        <v>45208</v>
      </c>
      <c r="J1281" s="12" t="s">
        <v>324</v>
      </c>
    </row>
    <row r="1282" spans="1:10" s="15" customFormat="1" x14ac:dyDescent="0.15">
      <c r="A1282" s="11">
        <v>45211</v>
      </c>
      <c r="B1282" s="12" t="s">
        <v>254</v>
      </c>
      <c r="C1282" s="12" t="s">
        <v>254</v>
      </c>
      <c r="D1282" s="13" t="str">
        <f>HYPERLINK("https://www.marklines.com/en/global/9895","Tesla Gigafactory Berlin-Brandenburg")</f>
        <v>Tesla Gigafactory Berlin-Brandenburg</v>
      </c>
      <c r="E1282" s="12" t="s">
        <v>325</v>
      </c>
      <c r="F1282" s="12" t="s">
        <v>17</v>
      </c>
      <c r="G1282" s="12" t="s">
        <v>21</v>
      </c>
      <c r="H1282" s="12"/>
      <c r="I1282" s="14">
        <v>45208</v>
      </c>
      <c r="J1282" s="12" t="s">
        <v>326</v>
      </c>
    </row>
    <row r="1283" spans="1:10" s="15" customFormat="1" x14ac:dyDescent="0.15">
      <c r="A1283" s="11">
        <v>45211</v>
      </c>
      <c r="B1283" s="12" t="s">
        <v>321</v>
      </c>
      <c r="C1283" s="12" t="s">
        <v>322</v>
      </c>
      <c r="D1283" s="13" t="str">
        <f>HYPERLINK("https://www.marklines.com/en/global/9126","BAIC Bluepark Magna Automobile Co., Ltd.  (formerly BAIC (Zhenjiang) Automobile Co., Ltd.)")</f>
        <v>BAIC Bluepark Magna Automobile Co., Ltd.  (formerly BAIC (Zhenjiang) Automobile Co., Ltd.)</v>
      </c>
      <c r="E1283" s="12" t="s">
        <v>323</v>
      </c>
      <c r="F1283" s="12" t="s">
        <v>20</v>
      </c>
      <c r="G1283" s="12" t="s">
        <v>27</v>
      </c>
      <c r="H1283" s="12" t="s">
        <v>278</v>
      </c>
      <c r="I1283" s="14">
        <v>45207</v>
      </c>
      <c r="J1283" s="12" t="s">
        <v>327</v>
      </c>
    </row>
    <row r="1284" spans="1:10" s="15" customFormat="1" x14ac:dyDescent="0.15">
      <c r="A1284" s="11">
        <v>45211</v>
      </c>
      <c r="B1284" s="12" t="s">
        <v>33</v>
      </c>
      <c r="C1284" s="12" t="s">
        <v>80</v>
      </c>
      <c r="D1284" s="13" t="str">
        <f>HYPERLINK("https://www.marklines.com/en/global/1737","Škoda Auto a.s.")</f>
        <v>Škoda Auto a.s.</v>
      </c>
      <c r="E1284" s="12" t="s">
        <v>328</v>
      </c>
      <c r="F1284" s="12" t="s">
        <v>18</v>
      </c>
      <c r="G1284" s="12" t="s">
        <v>81</v>
      </c>
      <c r="H1284" s="12"/>
      <c r="I1284" s="14">
        <v>45205</v>
      </c>
      <c r="J1284" s="12" t="s">
        <v>329</v>
      </c>
    </row>
    <row r="1285" spans="1:10" s="15" customFormat="1" x14ac:dyDescent="0.15">
      <c r="A1285" s="11">
        <v>45211</v>
      </c>
      <c r="B1285" s="12" t="s">
        <v>13</v>
      </c>
      <c r="C1285" s="12" t="s">
        <v>330</v>
      </c>
      <c r="D1285" s="13" t="str">
        <f>HYPERLINK("https://www.marklines.com/en/global/1745","SOR Libchavy spol. s r.o., Libchavy Plant")</f>
        <v>SOR Libchavy spol. s r.o., Libchavy Plant</v>
      </c>
      <c r="E1285" s="12" t="s">
        <v>331</v>
      </c>
      <c r="F1285" s="12" t="s">
        <v>18</v>
      </c>
      <c r="G1285" s="12" t="s">
        <v>81</v>
      </c>
      <c r="H1285" s="12"/>
      <c r="I1285" s="14">
        <v>45205</v>
      </c>
      <c r="J1285" s="12" t="s">
        <v>329</v>
      </c>
    </row>
    <row r="1286" spans="1:10" s="15" customFormat="1" x14ac:dyDescent="0.15">
      <c r="A1286" s="11">
        <v>45210</v>
      </c>
      <c r="B1286" s="12" t="s">
        <v>33</v>
      </c>
      <c r="C1286" s="12" t="s">
        <v>332</v>
      </c>
      <c r="D1286" s="13" t="str">
        <f>HYPERLINK("https://www.marklines.com/en/global/2271","Volkswagen AG, Salzgitter Plant / Power Co SE, Salzgitter Gigafactory")</f>
        <v>Volkswagen AG, Salzgitter Plant / Power Co SE, Salzgitter Gigafactory</v>
      </c>
      <c r="E1286" s="12" t="s">
        <v>67</v>
      </c>
      <c r="F1286" s="12" t="s">
        <v>17</v>
      </c>
      <c r="G1286" s="12" t="s">
        <v>21</v>
      </c>
      <c r="H1286" s="12"/>
      <c r="I1286" s="14">
        <v>45210</v>
      </c>
      <c r="J1286" s="12" t="s">
        <v>333</v>
      </c>
    </row>
    <row r="1287" spans="1:10" s="15" customFormat="1" x14ac:dyDescent="0.15">
      <c r="A1287" s="11">
        <v>45210</v>
      </c>
      <c r="B1287" s="12" t="s">
        <v>33</v>
      </c>
      <c r="C1287" s="12" t="s">
        <v>44</v>
      </c>
      <c r="D1287" s="13" t="str">
        <f>HYPERLINK("https://www.marklines.com/en/global/1384","Volkswagen Autoeuropa Ltd., Setubal, Palmela Plant (formerly AutoEuropa Automoveis, Ltda.)")</f>
        <v>Volkswagen Autoeuropa Ltd., Setubal, Palmela Plant (formerly AutoEuropa Automoveis, Ltda.)</v>
      </c>
      <c r="E1287" s="12" t="s">
        <v>334</v>
      </c>
      <c r="F1287" s="12" t="s">
        <v>17</v>
      </c>
      <c r="G1287" s="12" t="s">
        <v>335</v>
      </c>
      <c r="H1287" s="12"/>
      <c r="I1287" s="14">
        <v>45209</v>
      </c>
      <c r="J1287" s="12" t="s">
        <v>336</v>
      </c>
    </row>
    <row r="1288" spans="1:10" s="15" customFormat="1" x14ac:dyDescent="0.15">
      <c r="A1288" s="11">
        <v>45210</v>
      </c>
      <c r="B1288" s="12" t="s">
        <v>33</v>
      </c>
      <c r="C1288" s="12" t="s">
        <v>48</v>
      </c>
      <c r="D1288" s="13" t="str">
        <f>HYPERLINK("https://www.marklines.com/en/global/2171","MAN Truck &amp; Bus, Munich Plant")</f>
        <v>MAN Truck &amp; Bus, Munich Plant</v>
      </c>
      <c r="E1288" s="12" t="s">
        <v>337</v>
      </c>
      <c r="F1288" s="12" t="s">
        <v>17</v>
      </c>
      <c r="G1288" s="12" t="s">
        <v>21</v>
      </c>
      <c r="H1288" s="12"/>
      <c r="I1288" s="14">
        <v>45208</v>
      </c>
      <c r="J1288" s="12" t="s">
        <v>338</v>
      </c>
    </row>
    <row r="1289" spans="1:10" s="15" customFormat="1" x14ac:dyDescent="0.15">
      <c r="A1289" s="11">
        <v>45210</v>
      </c>
      <c r="B1289" s="12" t="s">
        <v>33</v>
      </c>
      <c r="C1289" s="12" t="s">
        <v>48</v>
      </c>
      <c r="D1289" s="13" t="str">
        <f>HYPERLINK("https://www.marklines.com/en/global/2175","MAN Truck &amp; Bus, Nürnberg Plant")</f>
        <v>MAN Truck &amp; Bus, Nürnberg Plant</v>
      </c>
      <c r="E1289" s="12" t="s">
        <v>339</v>
      </c>
      <c r="F1289" s="12" t="s">
        <v>17</v>
      </c>
      <c r="G1289" s="12" t="s">
        <v>21</v>
      </c>
      <c r="H1289" s="12"/>
      <c r="I1289" s="14">
        <v>45208</v>
      </c>
      <c r="J1289" s="12" t="s">
        <v>338</v>
      </c>
    </row>
    <row r="1290" spans="1:10" s="15" customFormat="1" x14ac:dyDescent="0.15">
      <c r="A1290" s="11">
        <v>45210</v>
      </c>
      <c r="B1290" s="12" t="s">
        <v>13</v>
      </c>
      <c r="C1290" s="12" t="s">
        <v>340</v>
      </c>
      <c r="D1290" s="13" t="str">
        <f>HYPERLINK("https://www.marklines.com/en/global/10641","NWTN (Zhejiang) Motor Co., Ltd.")</f>
        <v>NWTN (Zhejiang) Motor Co., Ltd.</v>
      </c>
      <c r="E1290" s="12" t="s">
        <v>341</v>
      </c>
      <c r="F1290" s="12" t="s">
        <v>20</v>
      </c>
      <c r="G1290" s="12" t="s">
        <v>27</v>
      </c>
      <c r="H1290" s="12" t="s">
        <v>342</v>
      </c>
      <c r="I1290" s="14">
        <v>45208</v>
      </c>
      <c r="J1290" s="12" t="s">
        <v>343</v>
      </c>
    </row>
    <row r="1291" spans="1:10" s="15" customFormat="1" x14ac:dyDescent="0.15">
      <c r="A1291" s="11">
        <v>45210</v>
      </c>
      <c r="B1291" s="12" t="s">
        <v>344</v>
      </c>
      <c r="C1291" s="12" t="s">
        <v>345</v>
      </c>
      <c r="D1291" s="13" t="str">
        <f>HYPERLINK("https://www.marklines.com/en/global/10712","Neta Zhihe New Energy Vehicle Technology (Shanghai) Co., Ltd.")</f>
        <v>Neta Zhihe New Energy Vehicle Technology (Shanghai) Co., Ltd.</v>
      </c>
      <c r="E1291" s="12" t="s">
        <v>346</v>
      </c>
      <c r="F1291" s="12" t="s">
        <v>20</v>
      </c>
      <c r="G1291" s="12" t="s">
        <v>27</v>
      </c>
      <c r="H1291" s="12" t="s">
        <v>314</v>
      </c>
      <c r="I1291" s="14">
        <v>45208</v>
      </c>
      <c r="J1291" s="12" t="s">
        <v>347</v>
      </c>
    </row>
    <row r="1292" spans="1:10" s="15" customFormat="1" x14ac:dyDescent="0.15">
      <c r="A1292" s="11">
        <v>45210</v>
      </c>
      <c r="B1292" s="12" t="s">
        <v>65</v>
      </c>
      <c r="C1292" s="12" t="s">
        <v>348</v>
      </c>
      <c r="D1292" s="13" t="str">
        <f>HYPERLINK("https://www.marklines.com/en/global/2659","Stellantis, FCA US, Kokomo Casting Plant")</f>
        <v>Stellantis, FCA US, Kokomo Casting Plant</v>
      </c>
      <c r="E1292" s="12" t="s">
        <v>349</v>
      </c>
      <c r="F1292" s="12" t="s">
        <v>16</v>
      </c>
      <c r="G1292" s="12" t="s">
        <v>11</v>
      </c>
      <c r="H1292" s="12" t="s">
        <v>296</v>
      </c>
      <c r="I1292" s="14">
        <v>45208</v>
      </c>
      <c r="J1292" s="12" t="s">
        <v>350</v>
      </c>
    </row>
    <row r="1293" spans="1:10" s="15" customFormat="1" x14ac:dyDescent="0.15">
      <c r="A1293" s="11">
        <v>45210</v>
      </c>
      <c r="B1293" s="12" t="s">
        <v>65</v>
      </c>
      <c r="C1293" s="12" t="s">
        <v>348</v>
      </c>
      <c r="D1293" s="13" t="str">
        <f>HYPERLINK("https://www.marklines.com/en/global/2661","Stellantis, FCA US, Kokomo Transmission Plant")</f>
        <v>Stellantis, FCA US, Kokomo Transmission Plant</v>
      </c>
      <c r="E1293" s="12" t="s">
        <v>351</v>
      </c>
      <c r="F1293" s="12" t="s">
        <v>16</v>
      </c>
      <c r="G1293" s="12" t="s">
        <v>11</v>
      </c>
      <c r="H1293" s="12" t="s">
        <v>296</v>
      </c>
      <c r="I1293" s="14">
        <v>45208</v>
      </c>
      <c r="J1293" s="12" t="s">
        <v>350</v>
      </c>
    </row>
    <row r="1294" spans="1:10" s="15" customFormat="1" x14ac:dyDescent="0.15">
      <c r="A1294" s="11">
        <v>45210</v>
      </c>
      <c r="B1294" s="12" t="s">
        <v>65</v>
      </c>
      <c r="C1294" s="12" t="s">
        <v>348</v>
      </c>
      <c r="D1294" s="13" t="str">
        <f>HYPERLINK("https://www.marklines.com/en/global/2645","Stellantis, FCA US, Trenton Engine Complex")</f>
        <v>Stellantis, FCA US, Trenton Engine Complex</v>
      </c>
      <c r="E1294" s="12" t="s">
        <v>352</v>
      </c>
      <c r="F1294" s="12" t="s">
        <v>16</v>
      </c>
      <c r="G1294" s="12" t="s">
        <v>11</v>
      </c>
      <c r="H1294" s="12" t="s">
        <v>40</v>
      </c>
      <c r="I1294" s="14">
        <v>45208</v>
      </c>
      <c r="J1294" s="12" t="s">
        <v>350</v>
      </c>
    </row>
    <row r="1295" spans="1:10" s="15" customFormat="1" x14ac:dyDescent="0.15">
      <c r="A1295" s="11">
        <v>45210</v>
      </c>
      <c r="B1295" s="12" t="s">
        <v>316</v>
      </c>
      <c r="C1295" s="12" t="s">
        <v>316</v>
      </c>
      <c r="D1295" s="13" t="str">
        <f>HYPERLINK("https://www.marklines.com/en/global/10574","BYD Automobile Industry Co., Ltd., Jinan Branch")</f>
        <v>BYD Automobile Industry Co., Ltd., Jinan Branch</v>
      </c>
      <c r="E1295" s="12" t="s">
        <v>353</v>
      </c>
      <c r="F1295" s="12" t="s">
        <v>20</v>
      </c>
      <c r="G1295" s="12" t="s">
        <v>27</v>
      </c>
      <c r="H1295" s="12" t="s">
        <v>354</v>
      </c>
      <c r="I1295" s="14">
        <v>45207</v>
      </c>
      <c r="J1295" s="12" t="s">
        <v>355</v>
      </c>
    </row>
    <row r="1296" spans="1:10" s="15" customFormat="1" x14ac:dyDescent="0.15">
      <c r="A1296" s="11">
        <v>45210</v>
      </c>
      <c r="B1296" s="12" t="s">
        <v>316</v>
      </c>
      <c r="C1296" s="12" t="s">
        <v>316</v>
      </c>
      <c r="D1296" s="13" t="str">
        <f>HYPERLINK("https://www.marklines.com/en/global/4125","BYD Automobile Industry Co., Ltd., Shenzhen Plant")</f>
        <v>BYD Automobile Industry Co., Ltd., Shenzhen Plant</v>
      </c>
      <c r="E1296" s="12" t="s">
        <v>356</v>
      </c>
      <c r="F1296" s="12" t="s">
        <v>20</v>
      </c>
      <c r="G1296" s="12" t="s">
        <v>27</v>
      </c>
      <c r="H1296" s="12" t="s">
        <v>357</v>
      </c>
      <c r="I1296" s="14">
        <v>45207</v>
      </c>
      <c r="J1296" s="12" t="s">
        <v>355</v>
      </c>
    </row>
    <row r="1297" spans="1:10" s="15" customFormat="1" x14ac:dyDescent="0.15">
      <c r="A1297" s="11">
        <v>45210</v>
      </c>
      <c r="B1297" s="12" t="s">
        <v>316</v>
      </c>
      <c r="C1297" s="12" t="s">
        <v>316</v>
      </c>
      <c r="D1297" s="13" t="str">
        <f>HYPERLINK("https://www.marklines.com/en/global/4043","BYD Automobile Industry Co., Ltd., Changsha Branch")</f>
        <v>BYD Automobile Industry Co., Ltd., Changsha Branch</v>
      </c>
      <c r="E1297" s="12" t="s">
        <v>358</v>
      </c>
      <c r="F1297" s="12" t="s">
        <v>20</v>
      </c>
      <c r="G1297" s="12" t="s">
        <v>27</v>
      </c>
      <c r="H1297" s="12" t="s">
        <v>359</v>
      </c>
      <c r="I1297" s="14">
        <v>45207</v>
      </c>
      <c r="J1297" s="12" t="s">
        <v>355</v>
      </c>
    </row>
    <row r="1298" spans="1:10" s="15" customFormat="1" x14ac:dyDescent="0.15">
      <c r="A1298" s="11">
        <v>45210</v>
      </c>
      <c r="B1298" s="12" t="s">
        <v>344</v>
      </c>
      <c r="C1298" s="12" t="s">
        <v>345</v>
      </c>
      <c r="D1298" s="13" t="str">
        <f>HYPERLINK("https://www.marklines.com/en/global/9538","Hozon New Energy Automobile Co., Ltd. (formerly Zhejiang Hozon New Energy Automobile Co., Ltd.)")</f>
        <v>Hozon New Energy Automobile Co., Ltd. (formerly Zhejiang Hozon New Energy Automobile Co., Ltd.)</v>
      </c>
      <c r="E1298" s="12" t="s">
        <v>360</v>
      </c>
      <c r="F1298" s="12" t="s">
        <v>20</v>
      </c>
      <c r="G1298" s="12" t="s">
        <v>27</v>
      </c>
      <c r="H1298" s="12" t="s">
        <v>342</v>
      </c>
      <c r="I1298" s="14">
        <v>45206</v>
      </c>
      <c r="J1298" s="12" t="s">
        <v>361</v>
      </c>
    </row>
    <row r="1299" spans="1:10" s="15" customFormat="1" x14ac:dyDescent="0.15">
      <c r="A1299" s="11">
        <v>45210</v>
      </c>
      <c r="B1299" s="12" t="s">
        <v>243</v>
      </c>
      <c r="C1299" s="12" t="s">
        <v>243</v>
      </c>
      <c r="D1299" s="13" t="str">
        <f>HYPERLINK("https://www.marklines.com/en/global/10162","Renault Technocentre (Guyancourt)")</f>
        <v>Renault Technocentre (Guyancourt)</v>
      </c>
      <c r="E1299" s="12" t="s">
        <v>362</v>
      </c>
      <c r="F1299" s="12" t="s">
        <v>17</v>
      </c>
      <c r="G1299" s="12" t="s">
        <v>32</v>
      </c>
      <c r="H1299" s="12"/>
      <c r="I1299" s="14">
        <v>45205</v>
      </c>
      <c r="J1299" s="12" t="s">
        <v>363</v>
      </c>
    </row>
    <row r="1300" spans="1:10" s="15" customFormat="1" x14ac:dyDescent="0.15">
      <c r="A1300" s="11">
        <v>45210</v>
      </c>
      <c r="B1300" s="12" t="s">
        <v>254</v>
      </c>
      <c r="C1300" s="12" t="s">
        <v>254</v>
      </c>
      <c r="D1300" s="13" t="str">
        <f>HYPERLINK("https://www.marklines.com/en/global/10700","Tesla Robstown lithium refinery  ")</f>
        <v xml:space="preserve">Tesla Robstown lithium refinery  </v>
      </c>
      <c r="E1300" s="12" t="s">
        <v>364</v>
      </c>
      <c r="F1300" s="12" t="s">
        <v>16</v>
      </c>
      <c r="G1300" s="12" t="s">
        <v>11</v>
      </c>
      <c r="H1300" s="12" t="s">
        <v>256</v>
      </c>
      <c r="I1300" s="14">
        <v>45204</v>
      </c>
      <c r="J1300" s="12" t="s">
        <v>365</v>
      </c>
    </row>
    <row r="1301" spans="1:10" s="15" customFormat="1" x14ac:dyDescent="0.15">
      <c r="A1301" s="11">
        <v>45210</v>
      </c>
      <c r="B1301" s="12" t="s">
        <v>366</v>
      </c>
      <c r="C1301" s="12" t="s">
        <v>366</v>
      </c>
      <c r="D1301" s="13" t="str">
        <f>HYPERLINK("https://www.marklines.com/en/global/4075","GAC Motor Co., Ltd. (formerly Guangzhou Automobile Group Motor Co., Ltd.)")</f>
        <v>GAC Motor Co., Ltd. (formerly Guangzhou Automobile Group Motor Co., Ltd.)</v>
      </c>
      <c r="E1301" s="12" t="s">
        <v>367</v>
      </c>
      <c r="F1301" s="12" t="s">
        <v>20</v>
      </c>
      <c r="G1301" s="12" t="s">
        <v>27</v>
      </c>
      <c r="H1301" s="12" t="s">
        <v>357</v>
      </c>
      <c r="I1301" s="14">
        <v>45200</v>
      </c>
      <c r="J1301" s="12" t="s">
        <v>368</v>
      </c>
    </row>
    <row r="1302" spans="1:10" s="15" customFormat="1" x14ac:dyDescent="0.15">
      <c r="A1302" s="11">
        <v>45210</v>
      </c>
      <c r="B1302" s="12" t="s">
        <v>36</v>
      </c>
      <c r="C1302" s="12" t="s">
        <v>369</v>
      </c>
      <c r="D1302" s="13" t="str">
        <f>HYPERLINK("https://www.marklines.com/en/global/9837","Great Wall Motor Co., Ltd. Taizhou Branch")</f>
        <v>Great Wall Motor Co., Ltd. Taizhou Branch</v>
      </c>
      <c r="E1302" s="12" t="s">
        <v>370</v>
      </c>
      <c r="F1302" s="12" t="s">
        <v>20</v>
      </c>
      <c r="G1302" s="12" t="s">
        <v>27</v>
      </c>
      <c r="H1302" s="12" t="s">
        <v>278</v>
      </c>
      <c r="I1302" s="14">
        <v>45199</v>
      </c>
      <c r="J1302" s="12" t="s">
        <v>371</v>
      </c>
    </row>
    <row r="1303" spans="1:10" s="15" customFormat="1" x14ac:dyDescent="0.15">
      <c r="A1303" s="11">
        <v>45210</v>
      </c>
      <c r="B1303" s="12" t="s">
        <v>316</v>
      </c>
      <c r="C1303" s="12" t="s">
        <v>316</v>
      </c>
      <c r="D1303" s="13" t="str">
        <f>HYPERLINK("https://www.marklines.com/en/global/10441","BYD Automobile Co., Ltd. Changzhou Branch")</f>
        <v>BYD Automobile Co., Ltd. Changzhou Branch</v>
      </c>
      <c r="E1303" s="12" t="s">
        <v>317</v>
      </c>
      <c r="F1303" s="12" t="s">
        <v>20</v>
      </c>
      <c r="G1303" s="12" t="s">
        <v>27</v>
      </c>
      <c r="H1303" s="12" t="s">
        <v>278</v>
      </c>
      <c r="I1303" s="14">
        <v>45198</v>
      </c>
      <c r="J1303" s="12" t="s">
        <v>372</v>
      </c>
    </row>
    <row r="1304" spans="1:10" s="15" customFormat="1" x14ac:dyDescent="0.15">
      <c r="A1304" s="11">
        <v>45210</v>
      </c>
      <c r="B1304" s="12" t="s">
        <v>316</v>
      </c>
      <c r="C1304" s="12" t="s">
        <v>316</v>
      </c>
      <c r="D1304" s="13" t="str">
        <f>HYPERLINK("https://www.marklines.com/en/global/10574","BYD Automobile Industry Co., Ltd., Jinan Branch")</f>
        <v>BYD Automobile Industry Co., Ltd., Jinan Branch</v>
      </c>
      <c r="E1304" s="12" t="s">
        <v>353</v>
      </c>
      <c r="F1304" s="12" t="s">
        <v>20</v>
      </c>
      <c r="G1304" s="12" t="s">
        <v>27</v>
      </c>
      <c r="H1304" s="12" t="s">
        <v>354</v>
      </c>
      <c r="I1304" s="14">
        <v>45198</v>
      </c>
      <c r="J1304" s="12" t="s">
        <v>372</v>
      </c>
    </row>
    <row r="1305" spans="1:10" s="15" customFormat="1" x14ac:dyDescent="0.15">
      <c r="A1305" s="11">
        <v>45210</v>
      </c>
      <c r="B1305" s="12" t="s">
        <v>316</v>
      </c>
      <c r="C1305" s="12" t="s">
        <v>316</v>
      </c>
      <c r="D1305" s="13" t="str">
        <f>HYPERLINK("https://www.marklines.com/en/global/4125","BYD Automobile Industry Co., Ltd., Shenzhen Plant")</f>
        <v>BYD Automobile Industry Co., Ltd., Shenzhen Plant</v>
      </c>
      <c r="E1305" s="12" t="s">
        <v>356</v>
      </c>
      <c r="F1305" s="12" t="s">
        <v>20</v>
      </c>
      <c r="G1305" s="12" t="s">
        <v>27</v>
      </c>
      <c r="H1305" s="12" t="s">
        <v>357</v>
      </c>
      <c r="I1305" s="14">
        <v>45198</v>
      </c>
      <c r="J1305" s="12" t="s">
        <v>372</v>
      </c>
    </row>
    <row r="1306" spans="1:10" s="15" customFormat="1" x14ac:dyDescent="0.15">
      <c r="A1306" s="11">
        <v>45210</v>
      </c>
      <c r="B1306" s="12" t="s">
        <v>316</v>
      </c>
      <c r="C1306" s="12" t="s">
        <v>316</v>
      </c>
      <c r="D1306" s="13" t="str">
        <f>HYPERLINK("https://www.marklines.com/en/global/4043","BYD Automobile Industry Co., Ltd., Changsha Branch")</f>
        <v>BYD Automobile Industry Co., Ltd., Changsha Branch</v>
      </c>
      <c r="E1306" s="12" t="s">
        <v>358</v>
      </c>
      <c r="F1306" s="12" t="s">
        <v>20</v>
      </c>
      <c r="G1306" s="12" t="s">
        <v>27</v>
      </c>
      <c r="H1306" s="12" t="s">
        <v>359</v>
      </c>
      <c r="I1306" s="14">
        <v>45198</v>
      </c>
      <c r="J1306" s="12" t="s">
        <v>372</v>
      </c>
    </row>
    <row r="1307" spans="1:10" s="15" customFormat="1" x14ac:dyDescent="0.15">
      <c r="A1307" s="11">
        <v>45209</v>
      </c>
      <c r="B1307" s="12" t="s">
        <v>56</v>
      </c>
      <c r="C1307" s="12" t="s">
        <v>56</v>
      </c>
      <c r="D1307" s="13" t="str">
        <f>HYPERLINK("https://www.marklines.com/en/global/635","Nissan South Africa (Pty) Ltd., Rosslyn Plant")</f>
        <v>Nissan South Africa (Pty) Ltd., Rosslyn Plant</v>
      </c>
      <c r="E1307" s="12" t="s">
        <v>373</v>
      </c>
      <c r="F1307" s="12" t="s">
        <v>69</v>
      </c>
      <c r="G1307" s="12" t="s">
        <v>70</v>
      </c>
      <c r="H1307" s="12"/>
      <c r="I1307" s="14">
        <v>45209</v>
      </c>
      <c r="J1307" s="12" t="s">
        <v>374</v>
      </c>
    </row>
    <row r="1308" spans="1:10" s="15" customFormat="1" x14ac:dyDescent="0.15">
      <c r="A1308" s="11">
        <v>45209</v>
      </c>
      <c r="B1308" s="12" t="s">
        <v>33</v>
      </c>
      <c r="C1308" s="12" t="s">
        <v>80</v>
      </c>
      <c r="D1308" s="13" t="str">
        <f>HYPERLINK("https://www.marklines.com/en/global/1737","Škoda Auto a.s.")</f>
        <v>Škoda Auto a.s.</v>
      </c>
      <c r="E1308" s="12" t="s">
        <v>328</v>
      </c>
      <c r="F1308" s="12" t="s">
        <v>18</v>
      </c>
      <c r="G1308" s="12" t="s">
        <v>81</v>
      </c>
      <c r="H1308" s="12"/>
      <c r="I1308" s="14">
        <v>45209</v>
      </c>
      <c r="J1308" s="12" t="s">
        <v>375</v>
      </c>
    </row>
    <row r="1309" spans="1:10" s="15" customFormat="1" x14ac:dyDescent="0.15">
      <c r="A1309" s="11">
        <v>45209</v>
      </c>
      <c r="B1309" s="12" t="s">
        <v>33</v>
      </c>
      <c r="C1309" s="12" t="s">
        <v>80</v>
      </c>
      <c r="D1309" s="13" t="str">
        <f>HYPERLINK("https://www.marklines.com/en/global/1739","Škoda Auto, Mladá Boleslav Plant")</f>
        <v>Škoda Auto, Mladá Boleslav Plant</v>
      </c>
      <c r="E1309" s="12" t="s">
        <v>376</v>
      </c>
      <c r="F1309" s="12" t="s">
        <v>18</v>
      </c>
      <c r="G1309" s="12" t="s">
        <v>81</v>
      </c>
      <c r="H1309" s="12"/>
      <c r="I1309" s="14">
        <v>45209</v>
      </c>
      <c r="J1309" s="12" t="s">
        <v>375</v>
      </c>
    </row>
    <row r="1310" spans="1:10" s="15" customFormat="1" x14ac:dyDescent="0.15">
      <c r="A1310" s="11">
        <v>45209</v>
      </c>
      <c r="B1310" s="12" t="s">
        <v>33</v>
      </c>
      <c r="C1310" s="12" t="s">
        <v>80</v>
      </c>
      <c r="D1310" s="13" t="str">
        <f>HYPERLINK("https://www.marklines.com/en/global/1741","Škoda Auto, Kvasiny Plant")</f>
        <v>Škoda Auto, Kvasiny Plant</v>
      </c>
      <c r="E1310" s="12" t="s">
        <v>377</v>
      </c>
      <c r="F1310" s="12" t="s">
        <v>18</v>
      </c>
      <c r="G1310" s="12" t="s">
        <v>81</v>
      </c>
      <c r="H1310" s="12"/>
      <c r="I1310" s="14">
        <v>45209</v>
      </c>
      <c r="J1310" s="12" t="s">
        <v>375</v>
      </c>
    </row>
    <row r="1311" spans="1:10" s="15" customFormat="1" x14ac:dyDescent="0.15">
      <c r="A1311" s="11">
        <v>45209</v>
      </c>
      <c r="B1311" s="12" t="s">
        <v>31</v>
      </c>
      <c r="C1311" s="12" t="s">
        <v>31</v>
      </c>
      <c r="D1311" s="13" t="str">
        <f>HYPERLINK("https://www.marklines.com/en/global/2209","BMW AG, Regensburg Plant")</f>
        <v>BMW AG, Regensburg Plant</v>
      </c>
      <c r="E1311" s="12" t="s">
        <v>226</v>
      </c>
      <c r="F1311" s="12" t="s">
        <v>17</v>
      </c>
      <c r="G1311" s="12" t="s">
        <v>21</v>
      </c>
      <c r="H1311" s="12"/>
      <c r="I1311" s="14">
        <v>45208</v>
      </c>
      <c r="J1311" s="12" t="s">
        <v>378</v>
      </c>
    </row>
    <row r="1312" spans="1:10" s="15" customFormat="1" x14ac:dyDescent="0.15">
      <c r="A1312" s="11">
        <v>45209</v>
      </c>
      <c r="B1312" s="12" t="s">
        <v>232</v>
      </c>
      <c r="C1312" s="12" t="s">
        <v>233</v>
      </c>
      <c r="D1312" s="13" t="str">
        <f>HYPERLINK("https://www.marklines.com/en/global/1209","Mahindra, Zaheerabad Plant")</f>
        <v>Mahindra, Zaheerabad Plant</v>
      </c>
      <c r="E1312" s="12" t="s">
        <v>379</v>
      </c>
      <c r="F1312" s="12" t="s">
        <v>25</v>
      </c>
      <c r="G1312" s="12" t="s">
        <v>26</v>
      </c>
      <c r="H1312" s="12" t="s">
        <v>380</v>
      </c>
      <c r="I1312" s="14">
        <v>45208</v>
      </c>
      <c r="J1312" s="12" t="s">
        <v>381</v>
      </c>
    </row>
    <row r="1313" spans="1:10" s="15" customFormat="1" x14ac:dyDescent="0.15">
      <c r="A1313" s="11">
        <v>45209</v>
      </c>
      <c r="B1313" s="12" t="s">
        <v>316</v>
      </c>
      <c r="C1313" s="12" t="s">
        <v>316</v>
      </c>
      <c r="D1313" s="13" t="str">
        <f>HYPERLINK("https://www.marklines.com/en/global/10569","BYD India, Sriperumbudur Plant")</f>
        <v>BYD India, Sriperumbudur Plant</v>
      </c>
      <c r="E1313" s="12" t="s">
        <v>382</v>
      </c>
      <c r="F1313" s="12" t="s">
        <v>25</v>
      </c>
      <c r="G1313" s="12" t="s">
        <v>26</v>
      </c>
      <c r="H1313" s="12" t="s">
        <v>219</v>
      </c>
      <c r="I1313" s="14">
        <v>45208</v>
      </c>
      <c r="J1313" s="12" t="s">
        <v>383</v>
      </c>
    </row>
    <row r="1314" spans="1:10" s="15" customFormat="1" x14ac:dyDescent="0.15">
      <c r="A1314" s="11">
        <v>45209</v>
      </c>
      <c r="B1314" s="12" t="s">
        <v>33</v>
      </c>
      <c r="C1314" s="12" t="s">
        <v>44</v>
      </c>
      <c r="D1314" s="13" t="str">
        <f>HYPERLINK("https://www.marklines.com/en/global/1965","Volkswagen Navarra, S.A., Pamplona (Landaben) Plant")</f>
        <v>Volkswagen Navarra, S.A., Pamplona (Landaben) Plant</v>
      </c>
      <c r="E1314" s="12" t="s">
        <v>384</v>
      </c>
      <c r="F1314" s="12" t="s">
        <v>17</v>
      </c>
      <c r="G1314" s="12" t="s">
        <v>62</v>
      </c>
      <c r="H1314" s="12"/>
      <c r="I1314" s="14">
        <v>45205</v>
      </c>
      <c r="J1314" s="12" t="s">
        <v>385</v>
      </c>
    </row>
    <row r="1315" spans="1:10" s="15" customFormat="1" x14ac:dyDescent="0.15">
      <c r="A1315" s="11">
        <v>45209</v>
      </c>
      <c r="B1315" s="12" t="s">
        <v>33</v>
      </c>
      <c r="C1315" s="12" t="s">
        <v>80</v>
      </c>
      <c r="D1315" s="13" t="str">
        <f>HYPERLINK("https://www.marklines.com/en/global/1965","Volkswagen Navarra, S.A., Pamplona (Landaben) Plant")</f>
        <v>Volkswagen Navarra, S.A., Pamplona (Landaben) Plant</v>
      </c>
      <c r="E1315" s="12" t="s">
        <v>384</v>
      </c>
      <c r="F1315" s="12" t="s">
        <v>17</v>
      </c>
      <c r="G1315" s="12" t="s">
        <v>62</v>
      </c>
      <c r="H1315" s="12"/>
      <c r="I1315" s="14">
        <v>45205</v>
      </c>
      <c r="J1315" s="12" t="s">
        <v>385</v>
      </c>
    </row>
    <row r="1316" spans="1:10" s="15" customFormat="1" x14ac:dyDescent="0.15">
      <c r="A1316" s="11">
        <v>45209</v>
      </c>
      <c r="B1316" s="12" t="s">
        <v>28</v>
      </c>
      <c r="C1316" s="12" t="s">
        <v>96</v>
      </c>
      <c r="D1316" s="13" t="str">
        <f>HYPERLINK("https://www.marklines.com/en/global/2243","Daimler Truck AG, Wörth Plant")</f>
        <v>Daimler Truck AG, Wörth Plant</v>
      </c>
      <c r="E1316" s="12" t="s">
        <v>97</v>
      </c>
      <c r="F1316" s="12" t="s">
        <v>17</v>
      </c>
      <c r="G1316" s="12" t="s">
        <v>21</v>
      </c>
      <c r="H1316" s="12"/>
      <c r="I1316" s="14">
        <v>45205</v>
      </c>
      <c r="J1316" s="12" t="s">
        <v>386</v>
      </c>
    </row>
    <row r="1317" spans="1:10" s="15" customFormat="1" x14ac:dyDescent="0.15">
      <c r="A1317" s="11">
        <v>45209</v>
      </c>
      <c r="B1317" s="12" t="s">
        <v>36</v>
      </c>
      <c r="C1317" s="12" t="s">
        <v>36</v>
      </c>
      <c r="D1317" s="13" t="str">
        <f>HYPERLINK("https://www.marklines.com/en/global/3533","Great Wall Motor Company Limited (GWM)")</f>
        <v>Great Wall Motor Company Limited (GWM)</v>
      </c>
      <c r="E1317" s="12" t="s">
        <v>266</v>
      </c>
      <c r="F1317" s="12" t="s">
        <v>20</v>
      </c>
      <c r="G1317" s="12" t="s">
        <v>27</v>
      </c>
      <c r="H1317" s="12" t="s">
        <v>267</v>
      </c>
      <c r="I1317" s="14">
        <v>45195</v>
      </c>
      <c r="J1317" s="12" t="s">
        <v>387</v>
      </c>
    </row>
    <row r="1318" spans="1:10" s="15" customFormat="1" x14ac:dyDescent="0.15">
      <c r="A1318" s="11">
        <v>45208</v>
      </c>
      <c r="B1318" s="12" t="s">
        <v>388</v>
      </c>
      <c r="C1318" s="12" t="s">
        <v>389</v>
      </c>
      <c r="D1318" s="13" t="str">
        <f>HYPERLINK("https://www.marklines.com/en/global/1335","FPT Industrial S.p.A., Foggia Plant")</f>
        <v>FPT Industrial S.p.A., Foggia Plant</v>
      </c>
      <c r="E1318" s="12" t="s">
        <v>390</v>
      </c>
      <c r="F1318" s="12" t="s">
        <v>17</v>
      </c>
      <c r="G1318" s="12" t="s">
        <v>46</v>
      </c>
      <c r="H1318" s="12"/>
      <c r="I1318" s="14">
        <v>45205</v>
      </c>
      <c r="J1318" s="12" t="s">
        <v>391</v>
      </c>
    </row>
    <row r="1319" spans="1:10" s="15" customFormat="1" x14ac:dyDescent="0.15">
      <c r="A1319" s="11">
        <v>45208</v>
      </c>
      <c r="B1319" s="12" t="s">
        <v>388</v>
      </c>
      <c r="C1319" s="12" t="s">
        <v>392</v>
      </c>
      <c r="D1319" s="13" t="str">
        <f>HYPERLINK("https://www.marklines.com/en/global/87","Heuliez Bus S.A., Rorthais Plant")</f>
        <v>Heuliez Bus S.A., Rorthais Plant</v>
      </c>
      <c r="E1319" s="12" t="s">
        <v>393</v>
      </c>
      <c r="F1319" s="12" t="s">
        <v>17</v>
      </c>
      <c r="G1319" s="12" t="s">
        <v>32</v>
      </c>
      <c r="H1319" s="12"/>
      <c r="I1319" s="14">
        <v>45205</v>
      </c>
      <c r="J1319" s="12" t="s">
        <v>391</v>
      </c>
    </row>
    <row r="1320" spans="1:10" s="15" customFormat="1" x14ac:dyDescent="0.15">
      <c r="A1320" s="11">
        <v>45208</v>
      </c>
      <c r="B1320" s="12" t="s">
        <v>43</v>
      </c>
      <c r="C1320" s="12" t="s">
        <v>43</v>
      </c>
      <c r="D1320" s="13" t="str">
        <f>HYPERLINK("https://www.marklines.com/en/global/10358","Hyundai Motor Hydrogen Fuel Cell System (Guangzhou) Co., Ltd. (HTWO Guangzhou)")</f>
        <v>Hyundai Motor Hydrogen Fuel Cell System (Guangzhou) Co., Ltd. (HTWO Guangzhou)</v>
      </c>
      <c r="E1320" s="12" t="s">
        <v>394</v>
      </c>
      <c r="F1320" s="12" t="s">
        <v>20</v>
      </c>
      <c r="G1320" s="12" t="s">
        <v>27</v>
      </c>
      <c r="H1320" s="12" t="s">
        <v>357</v>
      </c>
      <c r="I1320" s="14">
        <v>45205</v>
      </c>
      <c r="J1320" s="12" t="s">
        <v>391</v>
      </c>
    </row>
    <row r="1321" spans="1:10" s="15" customFormat="1" x14ac:dyDescent="0.15">
      <c r="A1321" s="11">
        <v>45208</v>
      </c>
      <c r="B1321" s="12" t="s">
        <v>13</v>
      </c>
      <c r="C1321" s="12" t="s">
        <v>147</v>
      </c>
      <c r="D1321" s="13" t="str">
        <f>HYPERLINK("https://www.marklines.com/en/global/757","JSC Moscow Automobile Plant Moskvich, Moscow Plant (former CJSC Renault Russia)")</f>
        <v>JSC Moscow Automobile Plant Moskvich, Moscow Plant (former CJSC Renault Russia)</v>
      </c>
      <c r="E1321" s="12" t="s">
        <v>102</v>
      </c>
      <c r="F1321" s="12" t="s">
        <v>18</v>
      </c>
      <c r="G1321" s="12" t="s">
        <v>14</v>
      </c>
      <c r="H1321" s="12"/>
      <c r="I1321" s="14">
        <v>45205</v>
      </c>
      <c r="J1321" s="12" t="s">
        <v>395</v>
      </c>
    </row>
    <row r="1322" spans="1:10" s="15" customFormat="1" x14ac:dyDescent="0.15">
      <c r="A1322" s="11">
        <v>45208</v>
      </c>
      <c r="B1322" s="12" t="s">
        <v>104</v>
      </c>
      <c r="C1322" s="12" t="s">
        <v>104</v>
      </c>
      <c r="D1322" s="13" t="str">
        <f>HYPERLINK("https://www.marklines.com/en/global/2013","Isuzu Motors Company (Thailand) Ltd.")</f>
        <v>Isuzu Motors Company (Thailand) Ltd.</v>
      </c>
      <c r="E1322" s="12" t="s">
        <v>396</v>
      </c>
      <c r="F1322" s="12" t="s">
        <v>34</v>
      </c>
      <c r="G1322" s="12" t="s">
        <v>71</v>
      </c>
      <c r="H1322" s="12" t="s">
        <v>397</v>
      </c>
      <c r="I1322" s="14">
        <v>45205</v>
      </c>
      <c r="J1322" s="12" t="s">
        <v>398</v>
      </c>
    </row>
    <row r="1323" spans="1:10" s="15" customFormat="1" x14ac:dyDescent="0.15">
      <c r="A1323" s="11">
        <v>45208</v>
      </c>
      <c r="B1323" s="12" t="s">
        <v>45</v>
      </c>
      <c r="C1323" s="12" t="s">
        <v>179</v>
      </c>
      <c r="D1323" s="13" t="str">
        <f>HYPERLINK("https://www.marklines.com/en/global/1325","Stellantis, FCA Italy, Melfi Plant")</f>
        <v>Stellantis, FCA Italy, Melfi Plant</v>
      </c>
      <c r="E1323" s="12" t="s">
        <v>78</v>
      </c>
      <c r="F1323" s="12" t="s">
        <v>17</v>
      </c>
      <c r="G1323" s="12" t="s">
        <v>46</v>
      </c>
      <c r="H1323" s="12"/>
      <c r="I1323" s="14">
        <v>45204</v>
      </c>
      <c r="J1323" s="12" t="s">
        <v>399</v>
      </c>
    </row>
    <row r="1324" spans="1:10" s="15" customFormat="1" x14ac:dyDescent="0.15">
      <c r="A1324" s="11">
        <v>45208</v>
      </c>
      <c r="B1324" s="12" t="s">
        <v>400</v>
      </c>
      <c r="C1324" s="12" t="s">
        <v>400</v>
      </c>
      <c r="D1324" s="13" t="str">
        <f>HYPERLINK("https://www.marklines.com/en/global/3807","Zhejiang Geely Holding Group Co., Ltd.")</f>
        <v>Zhejiang Geely Holding Group Co., Ltd.</v>
      </c>
      <c r="E1324" s="12" t="s">
        <v>401</v>
      </c>
      <c r="F1324" s="12" t="s">
        <v>20</v>
      </c>
      <c r="G1324" s="12" t="s">
        <v>27</v>
      </c>
      <c r="H1324" s="12" t="s">
        <v>342</v>
      </c>
      <c r="I1324" s="14">
        <v>45196</v>
      </c>
      <c r="J1324" s="12" t="s">
        <v>402</v>
      </c>
    </row>
    <row r="1325" spans="1:10" s="15" customFormat="1" x14ac:dyDescent="0.15">
      <c r="A1325" s="11">
        <v>45208</v>
      </c>
      <c r="B1325" s="12" t="s">
        <v>316</v>
      </c>
      <c r="C1325" s="12" t="s">
        <v>316</v>
      </c>
      <c r="D1325" s="13" t="str">
        <f>HYPERLINK("https://www.marklines.com/en/global/10678","BYD Automobile Industry Co., Ltd., Zhengzhou Branch")</f>
        <v>BYD Automobile Industry Co., Ltd., Zhengzhou Branch</v>
      </c>
      <c r="E1325" s="12" t="s">
        <v>403</v>
      </c>
      <c r="F1325" s="12" t="s">
        <v>20</v>
      </c>
      <c r="G1325" s="12" t="s">
        <v>27</v>
      </c>
      <c r="H1325" s="12" t="s">
        <v>404</v>
      </c>
      <c r="I1325" s="14">
        <v>45196</v>
      </c>
      <c r="J1325" s="12" t="s">
        <v>405</v>
      </c>
    </row>
    <row r="1326" spans="1:10" s="15" customFormat="1" x14ac:dyDescent="0.15">
      <c r="A1326" s="11">
        <v>45208</v>
      </c>
      <c r="B1326" s="12" t="s">
        <v>56</v>
      </c>
      <c r="C1326" s="12" t="s">
        <v>56</v>
      </c>
      <c r="D1326" s="13" t="str">
        <f>HYPERLINK("https://www.marklines.com/en/global/4101","Dongfeng Nissan Passenger Vehicle Company (DFN)")</f>
        <v>Dongfeng Nissan Passenger Vehicle Company (DFN)</v>
      </c>
      <c r="E1326" s="12" t="s">
        <v>406</v>
      </c>
      <c r="F1326" s="12" t="s">
        <v>20</v>
      </c>
      <c r="G1326" s="12" t="s">
        <v>27</v>
      </c>
      <c r="H1326" s="12" t="s">
        <v>357</v>
      </c>
      <c r="I1326" s="14">
        <v>45196</v>
      </c>
      <c r="J1326" s="12" t="s">
        <v>407</v>
      </c>
    </row>
    <row r="1327" spans="1:10" s="15" customFormat="1" x14ac:dyDescent="0.15">
      <c r="A1327" s="11">
        <v>45208</v>
      </c>
      <c r="B1327" s="12" t="s">
        <v>408</v>
      </c>
      <c r="C1327" s="12" t="s">
        <v>409</v>
      </c>
      <c r="D1327" s="13" t="str">
        <f>HYPERLINK("https://www.marklines.com/en/global/9814","SAIC Motor Corporation Limited Passenger Vehicle Fujian Branch")</f>
        <v>SAIC Motor Corporation Limited Passenger Vehicle Fujian Branch</v>
      </c>
      <c r="E1327" s="12" t="s">
        <v>410</v>
      </c>
      <c r="F1327" s="12" t="s">
        <v>20</v>
      </c>
      <c r="G1327" s="12" t="s">
        <v>27</v>
      </c>
      <c r="H1327" s="12" t="s">
        <v>411</v>
      </c>
      <c r="I1327" s="14">
        <v>45195</v>
      </c>
      <c r="J1327" s="12" t="s">
        <v>412</v>
      </c>
    </row>
    <row r="1328" spans="1:10" s="15" customFormat="1" x14ac:dyDescent="0.15">
      <c r="A1328" s="11">
        <v>45207</v>
      </c>
      <c r="B1328" s="12" t="s">
        <v>33</v>
      </c>
      <c r="C1328" s="12" t="s">
        <v>44</v>
      </c>
      <c r="D1328" s="13" t="str">
        <f>HYPERLINK("https://www.marklines.com/en/global/3341","FAW-Volkswagen Automotive Co., Ltd.")</f>
        <v>FAW-Volkswagen Automotive Co., Ltd.</v>
      </c>
      <c r="E1328" s="12" t="s">
        <v>413</v>
      </c>
      <c r="F1328" s="12" t="s">
        <v>20</v>
      </c>
      <c r="G1328" s="12" t="s">
        <v>27</v>
      </c>
      <c r="H1328" s="12" t="s">
        <v>414</v>
      </c>
      <c r="I1328" s="14">
        <v>45196</v>
      </c>
      <c r="J1328" s="12" t="s">
        <v>415</v>
      </c>
    </row>
    <row r="1329" spans="1:10" s="15" customFormat="1" x14ac:dyDescent="0.15">
      <c r="A1329" s="11">
        <v>45207</v>
      </c>
      <c r="B1329" s="12" t="s">
        <v>33</v>
      </c>
      <c r="C1329" s="12" t="s">
        <v>63</v>
      </c>
      <c r="D1329" s="13" t="str">
        <f>HYPERLINK("https://www.marklines.com/en/global/3341","FAW-Volkswagen Automotive Co., Ltd.")</f>
        <v>FAW-Volkswagen Automotive Co., Ltd.</v>
      </c>
      <c r="E1329" s="12" t="s">
        <v>413</v>
      </c>
      <c r="F1329" s="12" t="s">
        <v>20</v>
      </c>
      <c r="G1329" s="12" t="s">
        <v>27</v>
      </c>
      <c r="H1329" s="12" t="s">
        <v>414</v>
      </c>
      <c r="I1329" s="14">
        <v>45196</v>
      </c>
      <c r="J1329" s="12" t="s">
        <v>415</v>
      </c>
    </row>
    <row r="1330" spans="1:10" s="15" customFormat="1" x14ac:dyDescent="0.15">
      <c r="A1330" s="11">
        <v>45207</v>
      </c>
      <c r="B1330" s="12" t="s">
        <v>400</v>
      </c>
      <c r="C1330" s="12" t="s">
        <v>416</v>
      </c>
      <c r="D1330" s="13" t="str">
        <f>HYPERLINK("https://www.marklines.com/en/global/10361","Jiangxi Geely New Energy Commercial Vehicles Co., Ltd.")</f>
        <v>Jiangxi Geely New Energy Commercial Vehicles Co., Ltd.</v>
      </c>
      <c r="E1330" s="12" t="s">
        <v>417</v>
      </c>
      <c r="F1330" s="12" t="s">
        <v>20</v>
      </c>
      <c r="G1330" s="12" t="s">
        <v>27</v>
      </c>
      <c r="H1330" s="12" t="s">
        <v>418</v>
      </c>
      <c r="I1330" s="14">
        <v>45194</v>
      </c>
      <c r="J1330" s="12" t="s">
        <v>419</v>
      </c>
    </row>
    <row r="1331" spans="1:10" s="15" customFormat="1" x14ac:dyDescent="0.15">
      <c r="A1331" s="11">
        <v>45207</v>
      </c>
      <c r="B1331" s="12" t="s">
        <v>400</v>
      </c>
      <c r="C1331" s="12" t="s">
        <v>416</v>
      </c>
      <c r="D1331" s="13" t="str">
        <f>HYPERLINK("https://www.marklines.com/en/global/3681","Shandong TKing Ouling Automobile Manufacture Co., Ltd.")</f>
        <v>Shandong TKing Ouling Automobile Manufacture Co., Ltd.</v>
      </c>
      <c r="E1331" s="12" t="s">
        <v>420</v>
      </c>
      <c r="F1331" s="12" t="s">
        <v>20</v>
      </c>
      <c r="G1331" s="12" t="s">
        <v>27</v>
      </c>
      <c r="H1331" s="12" t="s">
        <v>354</v>
      </c>
      <c r="I1331" s="14">
        <v>45194</v>
      </c>
      <c r="J1331" s="12" t="s">
        <v>419</v>
      </c>
    </row>
    <row r="1332" spans="1:10" s="15" customFormat="1" x14ac:dyDescent="0.15">
      <c r="A1332" s="11">
        <v>45207</v>
      </c>
      <c r="B1332" s="12" t="s">
        <v>421</v>
      </c>
      <c r="C1332" s="12" t="s">
        <v>421</v>
      </c>
      <c r="D1332" s="13" t="str">
        <f>HYPERLINK("https://www.marklines.com/en/global/3335","FAW Jiefang Group Co., Ltd  ( Formerly FAW Car Co., Ltd. )")</f>
        <v>FAW Jiefang Group Co., Ltd  ( Formerly FAW Car Co., Ltd. )</v>
      </c>
      <c r="E1332" s="12" t="s">
        <v>422</v>
      </c>
      <c r="F1332" s="12" t="s">
        <v>20</v>
      </c>
      <c r="G1332" s="12" t="s">
        <v>27</v>
      </c>
      <c r="H1332" s="12" t="s">
        <v>414</v>
      </c>
      <c r="I1332" s="14">
        <v>45194</v>
      </c>
      <c r="J1332" s="12" t="s">
        <v>423</v>
      </c>
    </row>
    <row r="1333" spans="1:10" s="15" customFormat="1" x14ac:dyDescent="0.15">
      <c r="A1333" s="11">
        <v>45206</v>
      </c>
      <c r="B1333" s="12" t="s">
        <v>316</v>
      </c>
      <c r="C1333" s="12" t="s">
        <v>316</v>
      </c>
      <c r="D1333" s="13" t="str">
        <f>HYPERLINK("https://www.marklines.com/en/global/2837","BYD Auto Camaçari (former Ford Motor Brazil, Camacari Plant)")</f>
        <v>BYD Auto Camaçari (former Ford Motor Brazil, Camacari Plant)</v>
      </c>
      <c r="E1333" s="12" t="s">
        <v>424</v>
      </c>
      <c r="F1333" s="12" t="s">
        <v>425</v>
      </c>
      <c r="G1333" s="12" t="s">
        <v>426</v>
      </c>
      <c r="H1333" s="12"/>
      <c r="I1333" s="14">
        <v>45205</v>
      </c>
      <c r="J1333" s="12" t="s">
        <v>427</v>
      </c>
    </row>
    <row r="1334" spans="1:10" s="15" customFormat="1" x14ac:dyDescent="0.15">
      <c r="A1334" s="11">
        <v>45205</v>
      </c>
      <c r="B1334" s="12" t="s">
        <v>33</v>
      </c>
      <c r="C1334" s="12" t="s">
        <v>44</v>
      </c>
      <c r="D1334" s="13" t="str">
        <f>HYPERLINK("https://www.marklines.com/en/global/2271","Volkswagen AG, Salzgitter Plant / Power Co SE, Salzgitter Gigafactory")</f>
        <v>Volkswagen AG, Salzgitter Plant / Power Co SE, Salzgitter Gigafactory</v>
      </c>
      <c r="E1334" s="12" t="s">
        <v>67</v>
      </c>
      <c r="F1334" s="12" t="s">
        <v>17</v>
      </c>
      <c r="G1334" s="12" t="s">
        <v>21</v>
      </c>
      <c r="H1334" s="12"/>
      <c r="I1334" s="14">
        <v>45205</v>
      </c>
      <c r="J1334" s="12" t="s">
        <v>142</v>
      </c>
    </row>
    <row r="1335" spans="1:10" s="15" customFormat="1" x14ac:dyDescent="0.15">
      <c r="A1335" s="11">
        <v>45205</v>
      </c>
      <c r="B1335" s="12" t="s">
        <v>33</v>
      </c>
      <c r="C1335" s="12" t="s">
        <v>44</v>
      </c>
      <c r="D1335" s="13" t="str">
        <f>HYPERLINK("https://www.marklines.com/en/global/10650","PowerCo SE, Sagunto Gigafactory")</f>
        <v>PowerCo SE, Sagunto Gigafactory</v>
      </c>
      <c r="E1335" s="12" t="s">
        <v>103</v>
      </c>
      <c r="F1335" s="12" t="s">
        <v>17</v>
      </c>
      <c r="G1335" s="12" t="s">
        <v>62</v>
      </c>
      <c r="H1335" s="12"/>
      <c r="I1335" s="14">
        <v>45205</v>
      </c>
      <c r="J1335" s="12" t="s">
        <v>142</v>
      </c>
    </row>
    <row r="1336" spans="1:10" s="15" customFormat="1" x14ac:dyDescent="0.15">
      <c r="A1336" s="11">
        <v>45205</v>
      </c>
      <c r="B1336" s="12" t="s">
        <v>41</v>
      </c>
      <c r="C1336" s="12" t="s">
        <v>42</v>
      </c>
      <c r="D1336" s="13" t="str">
        <f>HYPERLINK("https://www.marklines.com/en/global/2749","Valmet Automotive Inc., Uusikaupunki Plant")</f>
        <v>Valmet Automotive Inc., Uusikaupunki Plant</v>
      </c>
      <c r="E1336" s="12" t="s">
        <v>143</v>
      </c>
      <c r="F1336" s="12" t="s">
        <v>17</v>
      </c>
      <c r="G1336" s="12" t="s">
        <v>144</v>
      </c>
      <c r="H1336" s="12"/>
      <c r="I1336" s="14">
        <v>45204</v>
      </c>
      <c r="J1336" s="12" t="s">
        <v>145</v>
      </c>
    </row>
    <row r="1337" spans="1:10" s="15" customFormat="1" x14ac:dyDescent="0.15">
      <c r="A1337" s="11">
        <v>45205</v>
      </c>
      <c r="B1337" s="12" t="s">
        <v>13</v>
      </c>
      <c r="C1337" s="12" t="s">
        <v>59</v>
      </c>
      <c r="D1337" s="13" t="str">
        <f>HYPERLINK("https://www.marklines.com/en/global/2749","Valmet Automotive Inc., Uusikaupunki Plant")</f>
        <v>Valmet Automotive Inc., Uusikaupunki Plant</v>
      </c>
      <c r="E1337" s="12" t="s">
        <v>143</v>
      </c>
      <c r="F1337" s="12" t="s">
        <v>17</v>
      </c>
      <c r="G1337" s="12" t="s">
        <v>144</v>
      </c>
      <c r="H1337" s="12"/>
      <c r="I1337" s="14">
        <v>45204</v>
      </c>
      <c r="J1337" s="12" t="s">
        <v>145</v>
      </c>
    </row>
    <row r="1338" spans="1:10" s="15" customFormat="1" x14ac:dyDescent="0.15">
      <c r="A1338" s="11">
        <v>45205</v>
      </c>
      <c r="B1338" s="12" t="s">
        <v>24</v>
      </c>
      <c r="C1338" s="12" t="s">
        <v>24</v>
      </c>
      <c r="D1338" s="13" t="str">
        <f>HYPERLINK("https://www.marklines.com/en/global/2145","Ford Motor Germany, Saarlouis Plant")</f>
        <v>Ford Motor Germany, Saarlouis Plant</v>
      </c>
      <c r="E1338" s="12" t="s">
        <v>76</v>
      </c>
      <c r="F1338" s="12" t="s">
        <v>17</v>
      </c>
      <c r="G1338" s="12" t="s">
        <v>21</v>
      </c>
      <c r="H1338" s="12"/>
      <c r="I1338" s="14">
        <v>45204</v>
      </c>
      <c r="J1338" s="12" t="s">
        <v>146</v>
      </c>
    </row>
    <row r="1339" spans="1:10" s="15" customFormat="1" x14ac:dyDescent="0.15">
      <c r="A1339" s="11">
        <v>45205</v>
      </c>
      <c r="B1339" s="12" t="s">
        <v>13</v>
      </c>
      <c r="C1339" s="12" t="s">
        <v>147</v>
      </c>
      <c r="D1339" s="13" t="str">
        <f>HYPERLINK("https://www.marklines.com/en/global/757","JSC Moscow Automobile Plant Moskvich, Moscow Plant (former CJSC Renault Russia)")</f>
        <v>JSC Moscow Automobile Plant Moskvich, Moscow Plant (former CJSC Renault Russia)</v>
      </c>
      <c r="E1339" s="12" t="s">
        <v>102</v>
      </c>
      <c r="F1339" s="12" t="s">
        <v>18</v>
      </c>
      <c r="G1339" s="12" t="s">
        <v>14</v>
      </c>
      <c r="H1339" s="12"/>
      <c r="I1339" s="14">
        <v>45204</v>
      </c>
      <c r="J1339" s="12" t="s">
        <v>148</v>
      </c>
    </row>
    <row r="1340" spans="1:10" s="15" customFormat="1" x14ac:dyDescent="0.15">
      <c r="A1340" s="11">
        <v>45205</v>
      </c>
      <c r="B1340" s="12" t="s">
        <v>13</v>
      </c>
      <c r="C1340" s="12" t="s">
        <v>13</v>
      </c>
      <c r="D1340" s="13" t="str">
        <f>HYPERLINK("https://www.marklines.com/en/global/757","JSC Moscow Automobile Plant Moskvich, Moscow Plant (former CJSC Renault Russia)")</f>
        <v>JSC Moscow Automobile Plant Moskvich, Moscow Plant (former CJSC Renault Russia)</v>
      </c>
      <c r="E1340" s="12" t="s">
        <v>102</v>
      </c>
      <c r="F1340" s="12" t="s">
        <v>18</v>
      </c>
      <c r="G1340" s="12" t="s">
        <v>14</v>
      </c>
      <c r="H1340" s="12"/>
      <c r="I1340" s="14">
        <v>45204</v>
      </c>
      <c r="J1340" s="12" t="s">
        <v>148</v>
      </c>
    </row>
    <row r="1341" spans="1:10" s="15" customFormat="1" x14ac:dyDescent="0.15">
      <c r="A1341" s="11">
        <v>45205</v>
      </c>
      <c r="B1341" s="12" t="s">
        <v>13</v>
      </c>
      <c r="C1341" s="12" t="s">
        <v>13</v>
      </c>
      <c r="D1341" s="13" t="str">
        <f>HYPERLINK("https://www.marklines.com/en/global/9602","OOO Motorinvest, Lipetsk Plant (formerly Changan Automobile, Lipetsk Plant)")</f>
        <v>OOO Motorinvest, Lipetsk Plant (formerly Changan Automobile, Lipetsk Plant)</v>
      </c>
      <c r="E1341" s="12" t="s">
        <v>92</v>
      </c>
      <c r="F1341" s="12" t="s">
        <v>18</v>
      </c>
      <c r="G1341" s="12" t="s">
        <v>14</v>
      </c>
      <c r="H1341" s="12"/>
      <c r="I1341" s="14">
        <v>45204</v>
      </c>
      <c r="J1341" s="12" t="s">
        <v>149</v>
      </c>
    </row>
    <row r="1342" spans="1:10" s="15" customFormat="1" x14ac:dyDescent="0.15">
      <c r="A1342" s="11">
        <v>45205</v>
      </c>
      <c r="B1342" s="12" t="s">
        <v>22</v>
      </c>
      <c r="C1342" s="12" t="s">
        <v>22</v>
      </c>
      <c r="D1342" s="13" t="str">
        <f>HYPERLINK("https://www.marklines.com/en/global/2089","Toyota Motor Thailand (TMT), Gateway (Chachoengsao) Plant")</f>
        <v>Toyota Motor Thailand (TMT), Gateway (Chachoengsao) Plant</v>
      </c>
      <c r="E1342" s="12" t="s">
        <v>130</v>
      </c>
      <c r="F1342" s="12" t="s">
        <v>34</v>
      </c>
      <c r="G1342" s="12" t="s">
        <v>71</v>
      </c>
      <c r="H1342" s="12" t="s">
        <v>100</v>
      </c>
      <c r="I1342" s="14">
        <v>45204</v>
      </c>
      <c r="J1342" s="12" t="s">
        <v>150</v>
      </c>
    </row>
    <row r="1343" spans="1:10" s="15" customFormat="1" x14ac:dyDescent="0.15">
      <c r="A1343" s="11">
        <v>45205</v>
      </c>
      <c r="B1343" s="12" t="s">
        <v>13</v>
      </c>
      <c r="C1343" s="12" t="s">
        <v>51</v>
      </c>
      <c r="D1343" s="13" t="str">
        <f>HYPERLINK("https://www.marklines.com/en/global/10685","Alexander Dennis Ltd., Larbert Plant")</f>
        <v>Alexander Dennis Ltd., Larbert Plant</v>
      </c>
      <c r="E1343" s="12" t="s">
        <v>151</v>
      </c>
      <c r="F1343" s="12" t="s">
        <v>17</v>
      </c>
      <c r="G1343" s="12" t="s">
        <v>47</v>
      </c>
      <c r="H1343" s="12"/>
      <c r="I1343" s="14">
        <v>45204</v>
      </c>
      <c r="J1343" s="12" t="s">
        <v>152</v>
      </c>
    </row>
    <row r="1344" spans="1:10" s="15" customFormat="1" x14ac:dyDescent="0.15">
      <c r="A1344" s="11">
        <v>45205</v>
      </c>
      <c r="B1344" s="12" t="s">
        <v>13</v>
      </c>
      <c r="C1344" s="12" t="s">
        <v>51</v>
      </c>
      <c r="D1344" s="13" t="str">
        <f>HYPERLINK("https://www.marklines.com/en/global/10472","Alexander Dennis Ltd., Plaxton – Scarborough Plant")</f>
        <v>Alexander Dennis Ltd., Plaxton – Scarborough Plant</v>
      </c>
      <c r="E1344" s="12" t="s">
        <v>121</v>
      </c>
      <c r="F1344" s="12" t="s">
        <v>17</v>
      </c>
      <c r="G1344" s="12" t="s">
        <v>47</v>
      </c>
      <c r="H1344" s="12"/>
      <c r="I1344" s="14">
        <v>45204</v>
      </c>
      <c r="J1344" s="12" t="s">
        <v>152</v>
      </c>
    </row>
    <row r="1345" spans="1:10" s="15" customFormat="1" x14ac:dyDescent="0.15">
      <c r="A1345" s="11">
        <v>45205</v>
      </c>
      <c r="B1345" s="12" t="s">
        <v>24</v>
      </c>
      <c r="C1345" s="12" t="s">
        <v>24</v>
      </c>
      <c r="D1345" s="13" t="str">
        <f>HYPERLINK("https://www.marklines.com/en/global/2567","Ford Motor, Livonia Transmission Plant")</f>
        <v>Ford Motor, Livonia Transmission Plant</v>
      </c>
      <c r="E1345" s="12" t="s">
        <v>153</v>
      </c>
      <c r="F1345" s="12" t="s">
        <v>16</v>
      </c>
      <c r="G1345" s="12" t="s">
        <v>11</v>
      </c>
      <c r="H1345" s="12" t="s">
        <v>40</v>
      </c>
      <c r="I1345" s="14">
        <v>45203</v>
      </c>
      <c r="J1345" s="12" t="s">
        <v>154</v>
      </c>
    </row>
    <row r="1346" spans="1:10" s="15" customFormat="1" x14ac:dyDescent="0.15">
      <c r="A1346" s="11">
        <v>45205</v>
      </c>
      <c r="B1346" s="12" t="s">
        <v>24</v>
      </c>
      <c r="C1346" s="12" t="s">
        <v>24</v>
      </c>
      <c r="D1346" s="13" t="str">
        <f>HYPERLINK("https://www.marklines.com/en/global/2569","Ford Motor, Michigan Assembly Plant")</f>
        <v>Ford Motor, Michigan Assembly Plant</v>
      </c>
      <c r="E1346" s="12" t="s">
        <v>137</v>
      </c>
      <c r="F1346" s="12" t="s">
        <v>16</v>
      </c>
      <c r="G1346" s="12" t="s">
        <v>11</v>
      </c>
      <c r="H1346" s="12" t="s">
        <v>40</v>
      </c>
      <c r="I1346" s="14">
        <v>45203</v>
      </c>
      <c r="J1346" s="12" t="s">
        <v>154</v>
      </c>
    </row>
    <row r="1347" spans="1:10" s="15" customFormat="1" x14ac:dyDescent="0.15">
      <c r="A1347" s="11">
        <v>45205</v>
      </c>
      <c r="B1347" s="12" t="s">
        <v>24</v>
      </c>
      <c r="C1347" s="12" t="s">
        <v>24</v>
      </c>
      <c r="D1347" s="13" t="str">
        <f>HYPERLINK("https://www.marklines.com/en/global/2575","Ford Motor, Sterling Axle Plant")</f>
        <v>Ford Motor, Sterling Axle Plant</v>
      </c>
      <c r="E1347" s="12" t="s">
        <v>155</v>
      </c>
      <c r="F1347" s="12" t="s">
        <v>16</v>
      </c>
      <c r="G1347" s="12" t="s">
        <v>11</v>
      </c>
      <c r="H1347" s="12" t="s">
        <v>40</v>
      </c>
      <c r="I1347" s="14">
        <v>45203</v>
      </c>
      <c r="J1347" s="12" t="s">
        <v>154</v>
      </c>
    </row>
    <row r="1348" spans="1:10" s="15" customFormat="1" x14ac:dyDescent="0.15">
      <c r="A1348" s="11">
        <v>45205</v>
      </c>
      <c r="B1348" s="12" t="s">
        <v>24</v>
      </c>
      <c r="C1348" s="12" t="s">
        <v>24</v>
      </c>
      <c r="D1348" s="13" t="str">
        <f>HYPERLINK("https://www.marklines.com/en/global/2587","Ford Motor, Lima Engine Plant")</f>
        <v>Ford Motor, Lima Engine Plant</v>
      </c>
      <c r="E1348" s="12" t="s">
        <v>156</v>
      </c>
      <c r="F1348" s="12" t="s">
        <v>16</v>
      </c>
      <c r="G1348" s="12" t="s">
        <v>11</v>
      </c>
      <c r="H1348" s="12" t="s">
        <v>101</v>
      </c>
      <c r="I1348" s="14">
        <v>45203</v>
      </c>
      <c r="J1348" s="12" t="s">
        <v>154</v>
      </c>
    </row>
    <row r="1349" spans="1:10" s="15" customFormat="1" x14ac:dyDescent="0.15">
      <c r="A1349" s="11">
        <v>45205</v>
      </c>
      <c r="B1349" s="12" t="s">
        <v>24</v>
      </c>
      <c r="C1349" s="12" t="s">
        <v>24</v>
      </c>
      <c r="D1349" s="13" t="str">
        <f>HYPERLINK("https://www.marklines.com/en/global/2597","Ford Motor, Chicago Stamping Plant")</f>
        <v>Ford Motor, Chicago Stamping Plant</v>
      </c>
      <c r="E1349" s="12" t="s">
        <v>157</v>
      </c>
      <c r="F1349" s="12" t="s">
        <v>16</v>
      </c>
      <c r="G1349" s="12" t="s">
        <v>11</v>
      </c>
      <c r="H1349" s="12" t="s">
        <v>39</v>
      </c>
      <c r="I1349" s="14">
        <v>45203</v>
      </c>
      <c r="J1349" s="12" t="s">
        <v>154</v>
      </c>
    </row>
    <row r="1350" spans="1:10" s="15" customFormat="1" x14ac:dyDescent="0.15">
      <c r="A1350" s="11">
        <v>45205</v>
      </c>
      <c r="B1350" s="12" t="s">
        <v>24</v>
      </c>
      <c r="C1350" s="12" t="s">
        <v>24</v>
      </c>
      <c r="D1350" s="13" t="str">
        <f>HYPERLINK("https://www.marklines.com/en/global/2595","Ford Motor, Chicago Assembly Plant")</f>
        <v>Ford Motor, Chicago Assembly Plant</v>
      </c>
      <c r="E1350" s="12" t="s">
        <v>141</v>
      </c>
      <c r="F1350" s="12" t="s">
        <v>16</v>
      </c>
      <c r="G1350" s="12" t="s">
        <v>11</v>
      </c>
      <c r="H1350" s="12" t="s">
        <v>39</v>
      </c>
      <c r="I1350" s="14">
        <v>45203</v>
      </c>
      <c r="J1350" s="12" t="s">
        <v>154</v>
      </c>
    </row>
    <row r="1351" spans="1:10" s="15" customFormat="1" x14ac:dyDescent="0.15">
      <c r="A1351" s="11">
        <v>45205</v>
      </c>
      <c r="B1351" s="12" t="s">
        <v>24</v>
      </c>
      <c r="C1351" s="12" t="s">
        <v>122</v>
      </c>
      <c r="D1351" s="13" t="str">
        <f>HYPERLINK("https://www.marklines.com/en/global/2595","Ford Motor, Chicago Assembly Plant")</f>
        <v>Ford Motor, Chicago Assembly Plant</v>
      </c>
      <c r="E1351" s="12" t="s">
        <v>141</v>
      </c>
      <c r="F1351" s="12" t="s">
        <v>16</v>
      </c>
      <c r="G1351" s="12" t="s">
        <v>11</v>
      </c>
      <c r="H1351" s="12" t="s">
        <v>39</v>
      </c>
      <c r="I1351" s="14">
        <v>45203</v>
      </c>
      <c r="J1351" s="12" t="s">
        <v>154</v>
      </c>
    </row>
    <row r="1352" spans="1:10" s="15" customFormat="1" x14ac:dyDescent="0.15">
      <c r="A1352" s="11">
        <v>45205</v>
      </c>
      <c r="B1352" s="12" t="s">
        <v>104</v>
      </c>
      <c r="C1352" s="12" t="s">
        <v>104</v>
      </c>
      <c r="D1352" s="13" t="str">
        <f>HYPERLINK("https://www.marklines.com/en/global/1426","Anadolu Isuzu Otomotiv Sanayi Ve Ticaret A.S., Kocaeli Plant")</f>
        <v>Anadolu Isuzu Otomotiv Sanayi Ve Ticaret A.S., Kocaeli Plant</v>
      </c>
      <c r="E1352" s="12" t="s">
        <v>108</v>
      </c>
      <c r="F1352" s="12" t="s">
        <v>106</v>
      </c>
      <c r="G1352" s="12" t="s">
        <v>107</v>
      </c>
      <c r="H1352" s="12"/>
      <c r="I1352" s="14">
        <v>45202</v>
      </c>
      <c r="J1352" s="12" t="s">
        <v>158</v>
      </c>
    </row>
    <row r="1353" spans="1:10" s="15" customFormat="1" x14ac:dyDescent="0.15">
      <c r="A1353" s="11">
        <v>45205</v>
      </c>
      <c r="B1353" s="12" t="s">
        <v>56</v>
      </c>
      <c r="C1353" s="12" t="s">
        <v>56</v>
      </c>
      <c r="D1353" s="13" t="str">
        <f>HYPERLINK("https://www.marklines.com/en/global/10046","Nissan Motor, Nissan Global Design Center (NGDC) (Atsugi)")</f>
        <v>Nissan Motor, Nissan Global Design Center (NGDC) (Atsugi)</v>
      </c>
      <c r="E1353" s="12" t="s">
        <v>159</v>
      </c>
      <c r="F1353" s="12" t="s">
        <v>20</v>
      </c>
      <c r="G1353" s="12" t="s">
        <v>23</v>
      </c>
      <c r="H1353" s="12" t="s">
        <v>64</v>
      </c>
      <c r="I1353" s="14">
        <v>45202</v>
      </c>
      <c r="J1353" s="12" t="s">
        <v>160</v>
      </c>
    </row>
    <row r="1354" spans="1:10" s="15" customFormat="1" x14ac:dyDescent="0.15">
      <c r="A1354" s="11">
        <v>45205</v>
      </c>
      <c r="B1354" s="12" t="s">
        <v>28</v>
      </c>
      <c r="C1354" s="12" t="s">
        <v>73</v>
      </c>
      <c r="D1354" s="13" t="str">
        <f>HYPERLINK("https://www.marklines.com/en/global/581","Mitsubishi Fuso Truck and Bus, Kawasaki Plant")</f>
        <v>Mitsubishi Fuso Truck and Bus, Kawasaki Plant</v>
      </c>
      <c r="E1354" s="12" t="s">
        <v>75</v>
      </c>
      <c r="F1354" s="12" t="s">
        <v>20</v>
      </c>
      <c r="G1354" s="12" t="s">
        <v>23</v>
      </c>
      <c r="H1354" s="12" t="s">
        <v>64</v>
      </c>
      <c r="I1354" s="14">
        <v>45201</v>
      </c>
      <c r="J1354" s="12" t="s">
        <v>161</v>
      </c>
    </row>
    <row r="1355" spans="1:10" s="15" customFormat="1" x14ac:dyDescent="0.15">
      <c r="A1355" s="11">
        <v>45205</v>
      </c>
      <c r="B1355" s="12" t="s">
        <v>35</v>
      </c>
      <c r="C1355" s="12" t="s">
        <v>35</v>
      </c>
      <c r="D1355" s="13" t="str">
        <f>HYPERLINK("https://www.marklines.com/en/global/1793","Magyar Suzuki Zrt., Esztergom Plant")</f>
        <v>Magyar Suzuki Zrt., Esztergom Plant</v>
      </c>
      <c r="E1355" s="12" t="s">
        <v>162</v>
      </c>
      <c r="F1355" s="12" t="s">
        <v>18</v>
      </c>
      <c r="G1355" s="12" t="s">
        <v>132</v>
      </c>
      <c r="H1355" s="12"/>
      <c r="I1355" s="14">
        <v>45197</v>
      </c>
      <c r="J1355" s="12" t="s">
        <v>163</v>
      </c>
    </row>
    <row r="1356" spans="1:10" s="15" customFormat="1" x14ac:dyDescent="0.15">
      <c r="A1356" s="11">
        <v>45205</v>
      </c>
      <c r="B1356" s="12" t="s">
        <v>22</v>
      </c>
      <c r="C1356" s="12" t="s">
        <v>22</v>
      </c>
      <c r="D1356" s="13" t="str">
        <f>HYPERLINK("https://www.marklines.com/en/global/31","Kuozui Motors, Chungli Plant")</f>
        <v>Kuozui Motors, Chungli Plant</v>
      </c>
      <c r="E1356" s="12" t="s">
        <v>164</v>
      </c>
      <c r="F1356" s="12" t="s">
        <v>20</v>
      </c>
      <c r="G1356" s="12" t="s">
        <v>115</v>
      </c>
      <c r="H1356" s="12"/>
      <c r="I1356" s="14">
        <v>45197</v>
      </c>
      <c r="J1356" s="12" t="s">
        <v>165</v>
      </c>
    </row>
    <row r="1357" spans="1:10" s="15" customFormat="1" x14ac:dyDescent="0.15">
      <c r="A1357" s="11">
        <v>45205</v>
      </c>
      <c r="B1357" s="12" t="s">
        <v>15</v>
      </c>
      <c r="C1357" s="12" t="s">
        <v>15</v>
      </c>
      <c r="D1357" s="13" t="str">
        <f>HYPERLINK("https://www.marklines.com/en/global/9932","Hitachi Astemo Electric Motor Systems, Ltd., Ibaraki Plant")</f>
        <v>Hitachi Astemo Electric Motor Systems, Ltd., Ibaraki Plant</v>
      </c>
      <c r="E1357" s="12" t="s">
        <v>166</v>
      </c>
      <c r="F1357" s="12" t="s">
        <v>20</v>
      </c>
      <c r="G1357" s="12" t="s">
        <v>23</v>
      </c>
      <c r="H1357" s="12" t="s">
        <v>60</v>
      </c>
      <c r="I1357" s="14">
        <v>45197</v>
      </c>
      <c r="J1357" s="12" t="s">
        <v>167</v>
      </c>
    </row>
    <row r="1358" spans="1:10" s="15" customFormat="1" x14ac:dyDescent="0.15">
      <c r="A1358" s="11">
        <v>45205</v>
      </c>
      <c r="B1358" s="12" t="s">
        <v>22</v>
      </c>
      <c r="C1358" s="12" t="s">
        <v>88</v>
      </c>
      <c r="D1358" s="13" t="str">
        <f>HYPERLINK("https://www.marklines.com/en/global/565","Hino Motors, Hino Plant")</f>
        <v>Hino Motors, Hino Plant</v>
      </c>
      <c r="E1358" s="12" t="s">
        <v>168</v>
      </c>
      <c r="F1358" s="12" t="s">
        <v>20</v>
      </c>
      <c r="G1358" s="12" t="s">
        <v>23</v>
      </c>
      <c r="H1358" s="12" t="s">
        <v>126</v>
      </c>
      <c r="I1358" s="14">
        <v>45197</v>
      </c>
      <c r="J1358" s="12" t="s">
        <v>169</v>
      </c>
    </row>
    <row r="1359" spans="1:10" s="15" customFormat="1" x14ac:dyDescent="0.15">
      <c r="A1359" s="11">
        <v>45205</v>
      </c>
      <c r="B1359" s="12" t="s">
        <v>104</v>
      </c>
      <c r="C1359" s="12" t="s">
        <v>104</v>
      </c>
      <c r="D1359" s="13" t="str">
        <f>HYPERLINK("https://www.marklines.com/en/global/553","Isuzu Motors, Fujisawa Plant")</f>
        <v>Isuzu Motors, Fujisawa Plant</v>
      </c>
      <c r="E1359" s="12" t="s">
        <v>134</v>
      </c>
      <c r="F1359" s="12" t="s">
        <v>20</v>
      </c>
      <c r="G1359" s="12" t="s">
        <v>23</v>
      </c>
      <c r="H1359" s="12" t="s">
        <v>64</v>
      </c>
      <c r="I1359" s="14">
        <v>45196</v>
      </c>
      <c r="J1359" s="12" t="s">
        <v>1861</v>
      </c>
    </row>
    <row r="1360" spans="1:10" s="15" customFormat="1" x14ac:dyDescent="0.15">
      <c r="A1360" s="11">
        <v>45205</v>
      </c>
      <c r="B1360" s="12" t="s">
        <v>56</v>
      </c>
      <c r="C1360" s="12" t="s">
        <v>56</v>
      </c>
      <c r="D1360" s="13" t="str">
        <f>HYPERLINK("https://www.marklines.com/en/global/553","Isuzu Motors, Fujisawa Plant")</f>
        <v>Isuzu Motors, Fujisawa Plant</v>
      </c>
      <c r="E1360" s="12" t="s">
        <v>134</v>
      </c>
      <c r="F1360" s="12" t="s">
        <v>20</v>
      </c>
      <c r="G1360" s="12" t="s">
        <v>23</v>
      </c>
      <c r="H1360" s="12" t="s">
        <v>64</v>
      </c>
      <c r="I1360" s="14">
        <v>45194</v>
      </c>
      <c r="J1360" s="12" t="s">
        <v>1860</v>
      </c>
    </row>
    <row r="1361" spans="1:10" s="15" customFormat="1" x14ac:dyDescent="0.15">
      <c r="A1361" s="11">
        <v>45204</v>
      </c>
      <c r="B1361" s="12" t="s">
        <v>83</v>
      </c>
      <c r="C1361" s="12" t="s">
        <v>83</v>
      </c>
      <c r="D1361" s="13" t="str">
        <f>HYPERLINK("https://www.marklines.com/en/global/2709","Volvo Trucks, Tuve (Göteborg) Plant")</f>
        <v>Volvo Trucks, Tuve (Göteborg) Plant</v>
      </c>
      <c r="E1361" s="12" t="s">
        <v>140</v>
      </c>
      <c r="F1361" s="12" t="s">
        <v>17</v>
      </c>
      <c r="G1361" s="12" t="s">
        <v>50</v>
      </c>
      <c r="H1361" s="12"/>
      <c r="I1361" s="14">
        <v>45204</v>
      </c>
      <c r="J1361" s="12" t="s">
        <v>170</v>
      </c>
    </row>
    <row r="1362" spans="1:10" s="15" customFormat="1" x14ac:dyDescent="0.15">
      <c r="A1362" s="11">
        <v>45204</v>
      </c>
      <c r="B1362" s="12" t="s">
        <v>33</v>
      </c>
      <c r="C1362" s="12" t="s">
        <v>48</v>
      </c>
      <c r="D1362" s="13" t="str">
        <f>HYPERLINK("https://www.marklines.com/en/global/625","MAN Truck &amp; Bus (S.A.) (Pty) Ltd., Pinetown Plant")</f>
        <v>MAN Truck &amp; Bus (S.A.) (Pty) Ltd., Pinetown Plant</v>
      </c>
      <c r="E1362" s="12" t="s">
        <v>171</v>
      </c>
      <c r="F1362" s="12" t="s">
        <v>69</v>
      </c>
      <c r="G1362" s="12" t="s">
        <v>70</v>
      </c>
      <c r="H1362" s="12"/>
      <c r="I1362" s="14">
        <v>45203</v>
      </c>
      <c r="J1362" s="12" t="s">
        <v>172</v>
      </c>
    </row>
    <row r="1363" spans="1:10" s="15" customFormat="1" x14ac:dyDescent="0.15">
      <c r="A1363" s="11">
        <v>45204</v>
      </c>
      <c r="B1363" s="12" t="s">
        <v>33</v>
      </c>
      <c r="C1363" s="12" t="s">
        <v>48</v>
      </c>
      <c r="D1363" s="13" t="str">
        <f>HYPERLINK("https://www.marklines.com/en/global/627","MAN Bus &amp; Coach (Pty) Ltd, Olifantsfontein Plant")</f>
        <v>MAN Bus &amp; Coach (Pty) Ltd, Olifantsfontein Plant</v>
      </c>
      <c r="E1363" s="12" t="s">
        <v>173</v>
      </c>
      <c r="F1363" s="12" t="s">
        <v>69</v>
      </c>
      <c r="G1363" s="12" t="s">
        <v>70</v>
      </c>
      <c r="H1363" s="12"/>
      <c r="I1363" s="14">
        <v>45203</v>
      </c>
      <c r="J1363" s="12" t="s">
        <v>172</v>
      </c>
    </row>
    <row r="1364" spans="1:10" s="15" customFormat="1" x14ac:dyDescent="0.15">
      <c r="A1364" s="11">
        <v>45204</v>
      </c>
      <c r="B1364" s="12" t="s">
        <v>33</v>
      </c>
      <c r="C1364" s="12" t="s">
        <v>48</v>
      </c>
      <c r="D1364" s="13" t="str">
        <f>HYPERLINK("https://www.marklines.com/en/global/1679","MAN Bus Sp. z o.o. Starachowice Plant")</f>
        <v>MAN Bus Sp. z o.o. Starachowice Plant</v>
      </c>
      <c r="E1364" s="12" t="s">
        <v>139</v>
      </c>
      <c r="F1364" s="12" t="s">
        <v>18</v>
      </c>
      <c r="G1364" s="12" t="s">
        <v>30</v>
      </c>
      <c r="H1364" s="12"/>
      <c r="I1364" s="14">
        <v>45203</v>
      </c>
      <c r="J1364" s="12" t="s">
        <v>172</v>
      </c>
    </row>
    <row r="1365" spans="1:10" s="15" customFormat="1" x14ac:dyDescent="0.15">
      <c r="A1365" s="11">
        <v>45204</v>
      </c>
      <c r="B1365" s="12" t="s">
        <v>52</v>
      </c>
      <c r="C1365" s="12" t="s">
        <v>53</v>
      </c>
      <c r="D1365" s="13" t="str">
        <f>HYPERLINK("https://www.marklines.com/en/global/675","AvtoVAZ, Togliatti Plant")</f>
        <v>AvtoVAZ, Togliatti Plant</v>
      </c>
      <c r="E1365" s="12" t="s">
        <v>54</v>
      </c>
      <c r="F1365" s="12" t="s">
        <v>18</v>
      </c>
      <c r="G1365" s="12" t="s">
        <v>14</v>
      </c>
      <c r="H1365" s="12"/>
      <c r="I1365" s="14">
        <v>45203</v>
      </c>
      <c r="J1365" s="12" t="s">
        <v>174</v>
      </c>
    </row>
    <row r="1366" spans="1:10" s="15" customFormat="1" x14ac:dyDescent="0.15">
      <c r="A1366" s="11">
        <v>45204</v>
      </c>
      <c r="B1366" s="12" t="s">
        <v>52</v>
      </c>
      <c r="C1366" s="12" t="s">
        <v>53</v>
      </c>
      <c r="D1366" s="13" t="str">
        <f>HYPERLINK("https://www.marklines.com/en/global/729","LLC ""LADA Izhevsk"", LADA Izhevsk Automotive Plant (formerly OJSC Izh-Avto, Izhevsk Automobilny Zavod) ")</f>
        <v xml:space="preserve">LLC "LADA Izhevsk", LADA Izhevsk Automotive Plant (formerly OJSC Izh-Avto, Izhevsk Automobilny Zavod) </v>
      </c>
      <c r="E1366" s="12" t="s">
        <v>105</v>
      </c>
      <c r="F1366" s="12" t="s">
        <v>18</v>
      </c>
      <c r="G1366" s="12" t="s">
        <v>14</v>
      </c>
      <c r="H1366" s="12"/>
      <c r="I1366" s="14">
        <v>45203</v>
      </c>
      <c r="J1366" s="12" t="s">
        <v>174</v>
      </c>
    </row>
    <row r="1367" spans="1:10" s="15" customFormat="1" x14ac:dyDescent="0.15">
      <c r="A1367" s="11">
        <v>45204</v>
      </c>
      <c r="B1367" s="12" t="s">
        <v>22</v>
      </c>
      <c r="C1367" s="12" t="s">
        <v>22</v>
      </c>
      <c r="D1367" s="13" t="str">
        <f>HYPERLINK("https://www.marklines.com/en/global/3233","Toyota Motor Manufacturing, Kentucky,  Inc. (TMMK), Georgetown Plant")</f>
        <v>Toyota Motor Manufacturing, Kentucky,  Inc. (TMMK), Georgetown Plant</v>
      </c>
      <c r="E1367" s="12" t="s">
        <v>89</v>
      </c>
      <c r="F1367" s="12" t="s">
        <v>16</v>
      </c>
      <c r="G1367" s="12" t="s">
        <v>11</v>
      </c>
      <c r="H1367" s="12" t="s">
        <v>90</v>
      </c>
      <c r="I1367" s="14">
        <v>45203</v>
      </c>
      <c r="J1367" s="12" t="s">
        <v>175</v>
      </c>
    </row>
    <row r="1368" spans="1:10" s="15" customFormat="1" x14ac:dyDescent="0.15">
      <c r="A1368" s="11">
        <v>45204</v>
      </c>
      <c r="B1368" s="12" t="s">
        <v>33</v>
      </c>
      <c r="C1368" s="12" t="s">
        <v>80</v>
      </c>
      <c r="D1368" s="13" t="str">
        <f>HYPERLINK("https://www.marklines.com/en/global/1743","Škoda Auto, Vrchlabí Plant")</f>
        <v>Škoda Auto, Vrchlabí Plant</v>
      </c>
      <c r="E1368" s="12" t="s">
        <v>176</v>
      </c>
      <c r="F1368" s="12" t="s">
        <v>18</v>
      </c>
      <c r="G1368" s="12" t="s">
        <v>81</v>
      </c>
      <c r="H1368" s="12"/>
      <c r="I1368" s="14">
        <v>45202</v>
      </c>
      <c r="J1368" s="12" t="s">
        <v>177</v>
      </c>
    </row>
    <row r="1369" spans="1:10" s="15" customFormat="1" x14ac:dyDescent="0.15">
      <c r="A1369" s="11">
        <v>45204</v>
      </c>
      <c r="B1369" s="12" t="s">
        <v>65</v>
      </c>
      <c r="C1369" s="12" t="s">
        <v>66</v>
      </c>
      <c r="D1369" s="13" t="str">
        <f>HYPERLINK("https://www.marklines.com/en/global/1325","Stellantis, FCA Italy, Melfi Plant")</f>
        <v>Stellantis, FCA Italy, Melfi Plant</v>
      </c>
      <c r="E1369" s="12" t="s">
        <v>78</v>
      </c>
      <c r="F1369" s="12" t="s">
        <v>17</v>
      </c>
      <c r="G1369" s="12" t="s">
        <v>46</v>
      </c>
      <c r="H1369" s="12"/>
      <c r="I1369" s="14">
        <v>45202</v>
      </c>
      <c r="J1369" s="12" t="s">
        <v>178</v>
      </c>
    </row>
    <row r="1370" spans="1:10" s="15" customFormat="1" x14ac:dyDescent="0.15">
      <c r="A1370" s="11">
        <v>45204</v>
      </c>
      <c r="B1370" s="12" t="s">
        <v>45</v>
      </c>
      <c r="C1370" s="12" t="s">
        <v>120</v>
      </c>
      <c r="D1370" s="13" t="str">
        <f>HYPERLINK("https://www.marklines.com/en/global/1325","Stellantis, FCA Italy, Melfi Plant")</f>
        <v>Stellantis, FCA Italy, Melfi Plant</v>
      </c>
      <c r="E1370" s="12" t="s">
        <v>78</v>
      </c>
      <c r="F1370" s="12" t="s">
        <v>17</v>
      </c>
      <c r="G1370" s="12" t="s">
        <v>46</v>
      </c>
      <c r="H1370" s="12"/>
      <c r="I1370" s="14">
        <v>45202</v>
      </c>
      <c r="J1370" s="12" t="s">
        <v>178</v>
      </c>
    </row>
    <row r="1371" spans="1:10" s="15" customFormat="1" x14ac:dyDescent="0.15">
      <c r="A1371" s="11">
        <v>45204</v>
      </c>
      <c r="B1371" s="12" t="s">
        <v>45</v>
      </c>
      <c r="C1371" s="12" t="s">
        <v>179</v>
      </c>
      <c r="D1371" s="13" t="str">
        <f>HYPERLINK("https://www.marklines.com/en/global/1325","Stellantis, FCA Italy, Melfi Plant")</f>
        <v>Stellantis, FCA Italy, Melfi Plant</v>
      </c>
      <c r="E1371" s="12" t="s">
        <v>78</v>
      </c>
      <c r="F1371" s="12" t="s">
        <v>17</v>
      </c>
      <c r="G1371" s="12" t="s">
        <v>46</v>
      </c>
      <c r="H1371" s="12"/>
      <c r="I1371" s="14">
        <v>45202</v>
      </c>
      <c r="J1371" s="12" t="s">
        <v>178</v>
      </c>
    </row>
    <row r="1372" spans="1:10" s="15" customFormat="1" x14ac:dyDescent="0.15">
      <c r="A1372" s="11">
        <v>45204</v>
      </c>
      <c r="B1372" s="12" t="s">
        <v>45</v>
      </c>
      <c r="C1372" s="12" t="s">
        <v>49</v>
      </c>
      <c r="D1372" s="13" t="str">
        <f>HYPERLINK("https://www.marklines.com/en/global/1325","Stellantis, FCA Italy, Melfi Plant")</f>
        <v>Stellantis, FCA Italy, Melfi Plant</v>
      </c>
      <c r="E1372" s="12" t="s">
        <v>78</v>
      </c>
      <c r="F1372" s="12" t="s">
        <v>17</v>
      </c>
      <c r="G1372" s="12" t="s">
        <v>46</v>
      </c>
      <c r="H1372" s="12"/>
      <c r="I1372" s="14">
        <v>45202</v>
      </c>
      <c r="J1372" s="12" t="s">
        <v>178</v>
      </c>
    </row>
    <row r="1373" spans="1:10" s="15" customFormat="1" x14ac:dyDescent="0.15">
      <c r="A1373" s="11">
        <v>45204</v>
      </c>
      <c r="B1373" s="12" t="s">
        <v>45</v>
      </c>
      <c r="C1373" s="12" t="s">
        <v>119</v>
      </c>
      <c r="D1373" s="13" t="str">
        <f>HYPERLINK("https://www.marklines.com/en/global/1325","Stellantis, FCA Italy, Melfi Plant")</f>
        <v>Stellantis, FCA Italy, Melfi Plant</v>
      </c>
      <c r="E1373" s="12" t="s">
        <v>78</v>
      </c>
      <c r="F1373" s="12" t="s">
        <v>17</v>
      </c>
      <c r="G1373" s="12" t="s">
        <v>46</v>
      </c>
      <c r="H1373" s="12"/>
      <c r="I1373" s="14">
        <v>45202</v>
      </c>
      <c r="J1373" s="12" t="s">
        <v>178</v>
      </c>
    </row>
    <row r="1374" spans="1:10" s="15" customFormat="1" x14ac:dyDescent="0.15">
      <c r="A1374" s="11">
        <v>45204</v>
      </c>
      <c r="B1374" s="12" t="s">
        <v>117</v>
      </c>
      <c r="C1374" s="12" t="s">
        <v>118</v>
      </c>
      <c r="D1374" s="13" t="str">
        <f>HYPERLINK("https://www.marklines.com/en/global/9509","DFSK Motor Co., Ltd., Chongqing Branch")</f>
        <v>DFSK Motor Co., Ltd., Chongqing Branch</v>
      </c>
      <c r="E1374" s="12" t="s">
        <v>180</v>
      </c>
      <c r="F1374" s="12" t="s">
        <v>20</v>
      </c>
      <c r="G1374" s="12" t="s">
        <v>27</v>
      </c>
      <c r="H1374" s="12" t="s">
        <v>29</v>
      </c>
      <c r="I1374" s="14">
        <v>45197</v>
      </c>
      <c r="J1374" s="12" t="s">
        <v>181</v>
      </c>
    </row>
    <row r="1375" spans="1:10" s="15" customFormat="1" x14ac:dyDescent="0.15">
      <c r="A1375" s="11">
        <v>45203</v>
      </c>
      <c r="B1375" s="12" t="s">
        <v>43</v>
      </c>
      <c r="C1375" s="12" t="s">
        <v>43</v>
      </c>
      <c r="D1375" s="13" t="str">
        <f>HYPERLINK("https://www.marklines.com/en/global/9592","Hyundai Nishat Motor (Private) Limited ")</f>
        <v xml:space="preserve">Hyundai Nishat Motor (Private) Limited </v>
      </c>
      <c r="E1375" s="12" t="s">
        <v>182</v>
      </c>
      <c r="F1375" s="12" t="s">
        <v>25</v>
      </c>
      <c r="G1375" s="12" t="s">
        <v>82</v>
      </c>
      <c r="H1375" s="12"/>
      <c r="I1375" s="14">
        <v>45202</v>
      </c>
      <c r="J1375" s="12" t="s">
        <v>183</v>
      </c>
    </row>
    <row r="1376" spans="1:10" s="15" customFormat="1" x14ac:dyDescent="0.15">
      <c r="A1376" s="11">
        <v>45203</v>
      </c>
      <c r="B1376" s="12" t="s">
        <v>41</v>
      </c>
      <c r="C1376" s="12" t="s">
        <v>42</v>
      </c>
      <c r="D1376" s="13" t="str">
        <f>HYPERLINK("https://www.marklines.com/en/global/273","(Inchcape-Indomobil owned) PT Mercedes-Benz Indonesia, Bogor plant")</f>
        <v>(Inchcape-Indomobil owned) PT Mercedes-Benz Indonesia, Bogor plant</v>
      </c>
      <c r="E1376" s="12" t="s">
        <v>184</v>
      </c>
      <c r="F1376" s="12" t="s">
        <v>34</v>
      </c>
      <c r="G1376" s="12" t="s">
        <v>87</v>
      </c>
      <c r="H1376" s="12"/>
      <c r="I1376" s="14">
        <v>45201</v>
      </c>
      <c r="J1376" s="12" t="s">
        <v>185</v>
      </c>
    </row>
    <row r="1377" spans="1:10" s="15" customFormat="1" x14ac:dyDescent="0.15">
      <c r="A1377" s="11">
        <v>45203</v>
      </c>
      <c r="B1377" s="12" t="s">
        <v>28</v>
      </c>
      <c r="C1377" s="12" t="s">
        <v>96</v>
      </c>
      <c r="D1377" s="13" t="str">
        <f>HYPERLINK("https://www.marklines.com/en/global/273","(Inchcape-Indomobil owned) PT Mercedes-Benz Indonesia, Bogor plant")</f>
        <v>(Inchcape-Indomobil owned) PT Mercedes-Benz Indonesia, Bogor plant</v>
      </c>
      <c r="E1377" s="12" t="s">
        <v>184</v>
      </c>
      <c r="F1377" s="12" t="s">
        <v>34</v>
      </c>
      <c r="G1377" s="12" t="s">
        <v>87</v>
      </c>
      <c r="H1377" s="12"/>
      <c r="I1377" s="14">
        <v>45201</v>
      </c>
      <c r="J1377" s="12" t="s">
        <v>185</v>
      </c>
    </row>
    <row r="1378" spans="1:10" s="15" customFormat="1" x14ac:dyDescent="0.15">
      <c r="A1378" s="11">
        <v>45203</v>
      </c>
      <c r="B1378" s="12" t="s">
        <v>12</v>
      </c>
      <c r="C1378" s="12" t="s">
        <v>19</v>
      </c>
      <c r="D1378" s="13" t="str">
        <f>HYPERLINK("https://www.marklines.com/en/global/1161","former General Motors India, Talegaon Plant")</f>
        <v>former General Motors India, Talegaon Plant</v>
      </c>
      <c r="E1378" s="12" t="s">
        <v>124</v>
      </c>
      <c r="F1378" s="12" t="s">
        <v>25</v>
      </c>
      <c r="G1378" s="12" t="s">
        <v>26</v>
      </c>
      <c r="H1378" s="12" t="s">
        <v>113</v>
      </c>
      <c r="I1378" s="14">
        <v>45201</v>
      </c>
      <c r="J1378" s="12" t="s">
        <v>186</v>
      </c>
    </row>
    <row r="1379" spans="1:10" s="15" customFormat="1" x14ac:dyDescent="0.15">
      <c r="A1379" s="11">
        <v>45203</v>
      </c>
      <c r="B1379" s="12" t="s">
        <v>24</v>
      </c>
      <c r="C1379" s="12" t="s">
        <v>24</v>
      </c>
      <c r="D1379" s="13" t="str">
        <f>HYPERLINK("https://www.marklines.com/en/global/2569","Ford Motor, Michigan Assembly Plant")</f>
        <v>Ford Motor, Michigan Assembly Plant</v>
      </c>
      <c r="E1379" s="12" t="s">
        <v>137</v>
      </c>
      <c r="F1379" s="12" t="s">
        <v>16</v>
      </c>
      <c r="G1379" s="12" t="s">
        <v>11</v>
      </c>
      <c r="H1379" s="12" t="s">
        <v>40</v>
      </c>
      <c r="I1379" s="14">
        <v>45201</v>
      </c>
      <c r="J1379" s="12" t="s">
        <v>187</v>
      </c>
    </row>
    <row r="1380" spans="1:10" s="15" customFormat="1" x14ac:dyDescent="0.15">
      <c r="A1380" s="11">
        <v>45203</v>
      </c>
      <c r="B1380" s="12" t="s">
        <v>24</v>
      </c>
      <c r="C1380" s="12" t="s">
        <v>24</v>
      </c>
      <c r="D1380" s="13" t="str">
        <f>HYPERLINK("https://www.marklines.com/en/global/2587","Ford Motor, Lima Engine Plant")</f>
        <v>Ford Motor, Lima Engine Plant</v>
      </c>
      <c r="E1380" s="12" t="s">
        <v>156</v>
      </c>
      <c r="F1380" s="12" t="s">
        <v>16</v>
      </c>
      <c r="G1380" s="12" t="s">
        <v>11</v>
      </c>
      <c r="H1380" s="12" t="s">
        <v>101</v>
      </c>
      <c r="I1380" s="14">
        <v>45201</v>
      </c>
      <c r="J1380" s="12" t="s">
        <v>187</v>
      </c>
    </row>
    <row r="1381" spans="1:10" s="15" customFormat="1" x14ac:dyDescent="0.15">
      <c r="A1381" s="11">
        <v>45203</v>
      </c>
      <c r="B1381" s="12" t="s">
        <v>24</v>
      </c>
      <c r="C1381" s="12" t="s">
        <v>24</v>
      </c>
      <c r="D1381" s="13" t="str">
        <f>HYPERLINK("https://www.marklines.com/en/global/2597","Ford Motor, Chicago Stamping Plant")</f>
        <v>Ford Motor, Chicago Stamping Plant</v>
      </c>
      <c r="E1381" s="12" t="s">
        <v>157</v>
      </c>
      <c r="F1381" s="12" t="s">
        <v>16</v>
      </c>
      <c r="G1381" s="12" t="s">
        <v>11</v>
      </c>
      <c r="H1381" s="12" t="s">
        <v>39</v>
      </c>
      <c r="I1381" s="14">
        <v>45201</v>
      </c>
      <c r="J1381" s="12" t="s">
        <v>187</v>
      </c>
    </row>
    <row r="1382" spans="1:10" s="15" customFormat="1" x14ac:dyDescent="0.15">
      <c r="A1382" s="11">
        <v>45203</v>
      </c>
      <c r="B1382" s="12" t="s">
        <v>24</v>
      </c>
      <c r="C1382" s="12" t="s">
        <v>24</v>
      </c>
      <c r="D1382" s="13" t="str">
        <f>HYPERLINK("https://www.marklines.com/en/global/2595","Ford Motor, Chicago Assembly Plant")</f>
        <v>Ford Motor, Chicago Assembly Plant</v>
      </c>
      <c r="E1382" s="12" t="s">
        <v>141</v>
      </c>
      <c r="F1382" s="12" t="s">
        <v>16</v>
      </c>
      <c r="G1382" s="12" t="s">
        <v>11</v>
      </c>
      <c r="H1382" s="12" t="s">
        <v>39</v>
      </c>
      <c r="I1382" s="14">
        <v>45201</v>
      </c>
      <c r="J1382" s="12" t="s">
        <v>187</v>
      </c>
    </row>
    <row r="1383" spans="1:10" s="15" customFormat="1" x14ac:dyDescent="0.15">
      <c r="A1383" s="11">
        <v>45203</v>
      </c>
      <c r="B1383" s="12" t="s">
        <v>24</v>
      </c>
      <c r="C1383" s="12" t="s">
        <v>122</v>
      </c>
      <c r="D1383" s="13" t="str">
        <f>HYPERLINK("https://www.marklines.com/en/global/2595","Ford Motor, Chicago Assembly Plant")</f>
        <v>Ford Motor, Chicago Assembly Plant</v>
      </c>
      <c r="E1383" s="12" t="s">
        <v>141</v>
      </c>
      <c r="F1383" s="12" t="s">
        <v>16</v>
      </c>
      <c r="G1383" s="12" t="s">
        <v>11</v>
      </c>
      <c r="H1383" s="12" t="s">
        <v>39</v>
      </c>
      <c r="I1383" s="14">
        <v>45201</v>
      </c>
      <c r="J1383" s="12" t="s">
        <v>187</v>
      </c>
    </row>
    <row r="1384" spans="1:10" s="15" customFormat="1" x14ac:dyDescent="0.15">
      <c r="A1384" s="11">
        <v>45203</v>
      </c>
      <c r="B1384" s="12" t="s">
        <v>33</v>
      </c>
      <c r="C1384" s="12" t="s">
        <v>44</v>
      </c>
      <c r="D1384" s="13" t="str">
        <f>HYPERLINK("https://www.marklines.com/en/global/1771","Volkswagen Slovakia, Bratislava Plant")</f>
        <v>Volkswagen Slovakia, Bratislava Plant</v>
      </c>
      <c r="E1384" s="12" t="s">
        <v>109</v>
      </c>
      <c r="F1384" s="12" t="s">
        <v>18</v>
      </c>
      <c r="G1384" s="12" t="s">
        <v>55</v>
      </c>
      <c r="H1384" s="12"/>
      <c r="I1384" s="14">
        <v>45198</v>
      </c>
      <c r="J1384" s="12" t="s">
        <v>188</v>
      </c>
    </row>
    <row r="1385" spans="1:10" s="15" customFormat="1" x14ac:dyDescent="0.15">
      <c r="A1385" s="11">
        <v>45203</v>
      </c>
      <c r="B1385" s="12" t="s">
        <v>33</v>
      </c>
      <c r="C1385" s="12" t="s">
        <v>63</v>
      </c>
      <c r="D1385" s="13" t="str">
        <f>HYPERLINK("https://www.marklines.com/en/global/1771","Volkswagen Slovakia, Bratislava Plant")</f>
        <v>Volkswagen Slovakia, Bratislava Plant</v>
      </c>
      <c r="E1385" s="12" t="s">
        <v>109</v>
      </c>
      <c r="F1385" s="12" t="s">
        <v>18</v>
      </c>
      <c r="G1385" s="12" t="s">
        <v>55</v>
      </c>
      <c r="H1385" s="12"/>
      <c r="I1385" s="14">
        <v>45198</v>
      </c>
      <c r="J1385" s="12" t="s">
        <v>188</v>
      </c>
    </row>
    <row r="1386" spans="1:10" s="15" customFormat="1" x14ac:dyDescent="0.15">
      <c r="A1386" s="11">
        <v>45203</v>
      </c>
      <c r="B1386" s="12" t="s">
        <v>33</v>
      </c>
      <c r="C1386" s="12" t="s">
        <v>80</v>
      </c>
      <c r="D1386" s="13" t="str">
        <f>HYPERLINK("https://www.marklines.com/en/global/1771","Volkswagen Slovakia, Bratislava Plant")</f>
        <v>Volkswagen Slovakia, Bratislava Plant</v>
      </c>
      <c r="E1386" s="12" t="s">
        <v>109</v>
      </c>
      <c r="F1386" s="12" t="s">
        <v>18</v>
      </c>
      <c r="G1386" s="12" t="s">
        <v>55</v>
      </c>
      <c r="H1386" s="12"/>
      <c r="I1386" s="14">
        <v>45198</v>
      </c>
      <c r="J1386" s="12" t="s">
        <v>188</v>
      </c>
    </row>
    <row r="1387" spans="1:10" s="15" customFormat="1" x14ac:dyDescent="0.15">
      <c r="A1387" s="11">
        <v>45203</v>
      </c>
      <c r="B1387" s="12" t="s">
        <v>33</v>
      </c>
      <c r="C1387" s="12" t="s">
        <v>131</v>
      </c>
      <c r="D1387" s="13" t="str">
        <f>HYPERLINK("https://www.marklines.com/en/global/1771","Volkswagen Slovakia, Bratislava Plant")</f>
        <v>Volkswagen Slovakia, Bratislava Plant</v>
      </c>
      <c r="E1387" s="12" t="s">
        <v>109</v>
      </c>
      <c r="F1387" s="12" t="s">
        <v>18</v>
      </c>
      <c r="G1387" s="12" t="s">
        <v>55</v>
      </c>
      <c r="H1387" s="12"/>
      <c r="I1387" s="14">
        <v>45198</v>
      </c>
      <c r="J1387" s="12" t="s">
        <v>188</v>
      </c>
    </row>
    <row r="1388" spans="1:10" s="15" customFormat="1" x14ac:dyDescent="0.15">
      <c r="A1388" s="11">
        <v>45203</v>
      </c>
      <c r="B1388" s="12" t="s">
        <v>33</v>
      </c>
      <c r="C1388" s="12" t="s">
        <v>44</v>
      </c>
      <c r="D1388" s="13" t="str">
        <f>HYPERLINK("https://www.marklines.com/en/global/2165","Volkswagen Osnabrück GmbH, Osnabrück Plant")</f>
        <v>Volkswagen Osnabrück GmbH, Osnabrück Plant</v>
      </c>
      <c r="E1388" s="12" t="s">
        <v>136</v>
      </c>
      <c r="F1388" s="12" t="s">
        <v>17</v>
      </c>
      <c r="G1388" s="12" t="s">
        <v>21</v>
      </c>
      <c r="H1388" s="12"/>
      <c r="I1388" s="14">
        <v>45198</v>
      </c>
      <c r="J1388" s="12" t="s">
        <v>189</v>
      </c>
    </row>
    <row r="1389" spans="1:10" s="15" customFormat="1" x14ac:dyDescent="0.15">
      <c r="A1389" s="11">
        <v>45203</v>
      </c>
      <c r="B1389" s="12" t="s">
        <v>33</v>
      </c>
      <c r="C1389" s="12" t="s">
        <v>44</v>
      </c>
      <c r="D1389" s="13" t="str">
        <f>HYPERLINK("https://www.marklines.com/en/global/10547","Volkswagen AG, Warmenau Plant (tentative name)")</f>
        <v>Volkswagen AG, Warmenau Plant (tentative name)</v>
      </c>
      <c r="E1389" s="12" t="s">
        <v>190</v>
      </c>
      <c r="F1389" s="12" t="s">
        <v>17</v>
      </c>
      <c r="G1389" s="12" t="s">
        <v>21</v>
      </c>
      <c r="H1389" s="12"/>
      <c r="I1389" s="14">
        <v>45198</v>
      </c>
      <c r="J1389" s="12" t="s">
        <v>189</v>
      </c>
    </row>
    <row r="1390" spans="1:10" s="15" customFormat="1" x14ac:dyDescent="0.15">
      <c r="A1390" s="11">
        <v>45203</v>
      </c>
      <c r="B1390" s="12" t="s">
        <v>33</v>
      </c>
      <c r="C1390" s="12" t="s">
        <v>44</v>
      </c>
      <c r="D1390" s="13" t="str">
        <f>HYPERLINK("https://www.marklines.com/en/global/2277","Volkswagen Sachsen GmbH, Zwickau/Mosel Plant")</f>
        <v>Volkswagen Sachsen GmbH, Zwickau/Mosel Plant</v>
      </c>
      <c r="E1390" s="12" t="s">
        <v>135</v>
      </c>
      <c r="F1390" s="12" t="s">
        <v>17</v>
      </c>
      <c r="G1390" s="12" t="s">
        <v>21</v>
      </c>
      <c r="H1390" s="12"/>
      <c r="I1390" s="14">
        <v>45198</v>
      </c>
      <c r="J1390" s="12" t="s">
        <v>189</v>
      </c>
    </row>
    <row r="1391" spans="1:10" s="15" customFormat="1" x14ac:dyDescent="0.15">
      <c r="A1391" s="11">
        <v>45203</v>
      </c>
      <c r="B1391" s="12" t="s">
        <v>33</v>
      </c>
      <c r="C1391" s="12" t="s">
        <v>44</v>
      </c>
      <c r="D1391" s="13" t="str">
        <f>HYPERLINK("https://www.marklines.com/en/global/2261","Volkswagen AG, Wolfsburg Plant")</f>
        <v>Volkswagen AG, Wolfsburg Plant</v>
      </c>
      <c r="E1391" s="12" t="s">
        <v>133</v>
      </c>
      <c r="F1391" s="12" t="s">
        <v>17</v>
      </c>
      <c r="G1391" s="12" t="s">
        <v>21</v>
      </c>
      <c r="H1391" s="12"/>
      <c r="I1391" s="14">
        <v>45198</v>
      </c>
      <c r="J1391" s="12" t="s">
        <v>189</v>
      </c>
    </row>
    <row r="1392" spans="1:10" s="15" customFormat="1" x14ac:dyDescent="0.15">
      <c r="A1392" s="11">
        <v>45202</v>
      </c>
      <c r="B1392" s="12" t="s">
        <v>13</v>
      </c>
      <c r="C1392" s="12" t="s">
        <v>93</v>
      </c>
      <c r="D1392" s="13" t="str">
        <f>HYPERLINK("https://www.marklines.com/en/global/799","OAO UAZ (Ulyanovsky Avtomobilny Zavod), Ulyanovsk Plant")</f>
        <v>OAO UAZ (Ulyanovsky Avtomobilny Zavod), Ulyanovsk Plant</v>
      </c>
      <c r="E1392" s="12" t="s">
        <v>95</v>
      </c>
      <c r="F1392" s="12" t="s">
        <v>18</v>
      </c>
      <c r="G1392" s="12" t="s">
        <v>14</v>
      </c>
      <c r="H1392" s="12"/>
      <c r="I1392" s="14">
        <v>45202</v>
      </c>
      <c r="J1392" s="12" t="s">
        <v>191</v>
      </c>
    </row>
    <row r="1393" spans="1:10" s="15" customFormat="1" x14ac:dyDescent="0.15">
      <c r="A1393" s="11">
        <v>45202</v>
      </c>
      <c r="B1393" s="12" t="s">
        <v>13</v>
      </c>
      <c r="C1393" s="12" t="s">
        <v>93</v>
      </c>
      <c r="D1393" s="13" t="str">
        <f>HYPERLINK("https://www.marklines.com/en/global/10409","Zavolzhsky Motor Plant (ZMZ), Sollers Group")</f>
        <v>Zavolzhsky Motor Plant (ZMZ), Sollers Group</v>
      </c>
      <c r="E1393" s="12" t="s">
        <v>128</v>
      </c>
      <c r="F1393" s="12" t="s">
        <v>18</v>
      </c>
      <c r="G1393" s="12" t="s">
        <v>14</v>
      </c>
      <c r="H1393" s="12"/>
      <c r="I1393" s="14">
        <v>45202</v>
      </c>
      <c r="J1393" s="12" t="s">
        <v>191</v>
      </c>
    </row>
    <row r="1394" spans="1:10" s="15" customFormat="1" x14ac:dyDescent="0.15">
      <c r="A1394" s="11">
        <v>45202</v>
      </c>
      <c r="B1394" s="12" t="s">
        <v>13</v>
      </c>
      <c r="C1394" s="12" t="s">
        <v>93</v>
      </c>
      <c r="D1394" s="13" t="str">
        <f>HYPERLINK("https://www.marklines.com/en/global/687","Sollers-Yelabuga OOO, Yelabuga Plant")</f>
        <v>Sollers-Yelabuga OOO, Yelabuga Plant</v>
      </c>
      <c r="E1394" s="12" t="s">
        <v>94</v>
      </c>
      <c r="F1394" s="12" t="s">
        <v>18</v>
      </c>
      <c r="G1394" s="12" t="s">
        <v>14</v>
      </c>
      <c r="H1394" s="12"/>
      <c r="I1394" s="14">
        <v>45202</v>
      </c>
      <c r="J1394" s="12" t="s">
        <v>191</v>
      </c>
    </row>
    <row r="1395" spans="1:10" s="15" customFormat="1" x14ac:dyDescent="0.15">
      <c r="A1395" s="11">
        <v>45202</v>
      </c>
      <c r="B1395" s="12" t="s">
        <v>83</v>
      </c>
      <c r="C1395" s="12" t="s">
        <v>84</v>
      </c>
      <c r="D1395" s="13" t="str">
        <f>HYPERLINK("https://www.marklines.com/en/global/3291","Mack Trucks, Inc., Macungie Plant")</f>
        <v>Mack Trucks, Inc., Macungie Plant</v>
      </c>
      <c r="E1395" s="12" t="s">
        <v>192</v>
      </c>
      <c r="F1395" s="12" t="s">
        <v>16</v>
      </c>
      <c r="G1395" s="12" t="s">
        <v>11</v>
      </c>
      <c r="H1395" s="12" t="s">
        <v>193</v>
      </c>
      <c r="I1395" s="14">
        <v>45202</v>
      </c>
      <c r="J1395" s="12" t="s">
        <v>194</v>
      </c>
    </row>
    <row r="1396" spans="1:10" s="15" customFormat="1" x14ac:dyDescent="0.15">
      <c r="A1396" s="11">
        <v>45202</v>
      </c>
      <c r="B1396" s="12" t="s">
        <v>83</v>
      </c>
      <c r="C1396" s="12" t="s">
        <v>84</v>
      </c>
      <c r="D1396" s="13" t="str">
        <f>HYPERLINK("https://www.marklines.com/en/global/10303","Mack Trucks Roanoke Valley Operations (RVO)")</f>
        <v>Mack Trucks Roanoke Valley Operations (RVO)</v>
      </c>
      <c r="E1396" s="12" t="s">
        <v>85</v>
      </c>
      <c r="F1396" s="12" t="s">
        <v>16</v>
      </c>
      <c r="G1396" s="12" t="s">
        <v>11</v>
      </c>
      <c r="H1396" s="12" t="s">
        <v>86</v>
      </c>
      <c r="I1396" s="14">
        <v>45202</v>
      </c>
      <c r="J1396" s="12" t="s">
        <v>194</v>
      </c>
    </row>
    <row r="1397" spans="1:10" s="15" customFormat="1" x14ac:dyDescent="0.15">
      <c r="A1397" s="11">
        <v>45202</v>
      </c>
      <c r="B1397" s="12" t="s">
        <v>28</v>
      </c>
      <c r="C1397" s="12" t="s">
        <v>96</v>
      </c>
      <c r="D1397" s="13" t="str">
        <f>HYPERLINK("https://www.marklines.com/en/global/103","Mercedes-Benz Molsheim S.A.S., Molsheim Plant")</f>
        <v>Mercedes-Benz Molsheim S.A.S., Molsheim Plant</v>
      </c>
      <c r="E1397" s="12" t="s">
        <v>195</v>
      </c>
      <c r="F1397" s="12" t="s">
        <v>17</v>
      </c>
      <c r="G1397" s="12" t="s">
        <v>32</v>
      </c>
      <c r="H1397" s="12"/>
      <c r="I1397" s="14">
        <v>45201</v>
      </c>
      <c r="J1397" s="12" t="s">
        <v>196</v>
      </c>
    </row>
    <row r="1398" spans="1:10" s="15" customFormat="1" x14ac:dyDescent="0.15">
      <c r="A1398" s="11">
        <v>45202</v>
      </c>
      <c r="B1398" s="12" t="s">
        <v>28</v>
      </c>
      <c r="C1398" s="12" t="s">
        <v>96</v>
      </c>
      <c r="D1398" s="13" t="str">
        <f>HYPERLINK("https://www.marklines.com/en/global/2243","Daimler Truck AG, Wörth Plant")</f>
        <v>Daimler Truck AG, Wörth Plant</v>
      </c>
      <c r="E1398" s="12" t="s">
        <v>97</v>
      </c>
      <c r="F1398" s="12" t="s">
        <v>17</v>
      </c>
      <c r="G1398" s="12" t="s">
        <v>21</v>
      </c>
      <c r="H1398" s="12"/>
      <c r="I1398" s="14">
        <v>45201</v>
      </c>
      <c r="J1398" s="12" t="s">
        <v>196</v>
      </c>
    </row>
    <row r="1399" spans="1:10" s="15" customFormat="1" x14ac:dyDescent="0.15">
      <c r="A1399" s="11">
        <v>45202</v>
      </c>
      <c r="B1399" s="12" t="s">
        <v>37</v>
      </c>
      <c r="C1399" s="12" t="s">
        <v>37</v>
      </c>
      <c r="D1399" s="13" t="str">
        <f>HYPERLINK("https://www.marklines.com/en/global/3153","Rivian, Normal Plant (former Mitsubishi Motors North America, Normal Plant)")</f>
        <v>Rivian, Normal Plant (former Mitsubishi Motors North America, Normal Plant)</v>
      </c>
      <c r="E1399" s="12" t="s">
        <v>38</v>
      </c>
      <c r="F1399" s="12" t="s">
        <v>16</v>
      </c>
      <c r="G1399" s="12" t="s">
        <v>11</v>
      </c>
      <c r="H1399" s="12" t="s">
        <v>39</v>
      </c>
      <c r="I1399" s="14">
        <v>45201</v>
      </c>
      <c r="J1399" s="12" t="s">
        <v>197</v>
      </c>
    </row>
    <row r="1400" spans="1:10" s="15" customFormat="1" x14ac:dyDescent="0.15">
      <c r="A1400" s="11">
        <v>45202</v>
      </c>
      <c r="B1400" s="12" t="s">
        <v>31</v>
      </c>
      <c r="C1400" s="12" t="s">
        <v>31</v>
      </c>
      <c r="D1400" s="13" t="str">
        <f>HYPERLINK("https://www.marklines.com/en/global/2213","BMW AG, Wackersdorf Plant")</f>
        <v>BMW AG, Wackersdorf Plant</v>
      </c>
      <c r="E1400" s="12" t="s">
        <v>116</v>
      </c>
      <c r="F1400" s="12" t="s">
        <v>17</v>
      </c>
      <c r="G1400" s="12" t="s">
        <v>21</v>
      </c>
      <c r="H1400" s="12"/>
      <c r="I1400" s="14">
        <v>45198</v>
      </c>
      <c r="J1400" s="12" t="s">
        <v>198</v>
      </c>
    </row>
    <row r="1401" spans="1:10" s="15" customFormat="1" x14ac:dyDescent="0.15">
      <c r="A1401" s="11">
        <v>45202</v>
      </c>
      <c r="B1401" s="12" t="s">
        <v>13</v>
      </c>
      <c r="C1401" s="12" t="s">
        <v>13</v>
      </c>
      <c r="D1401" s="13" t="str">
        <f>HYPERLINK("https://www.marklines.com/en/global/757","JSC Moscow Automobile Plant Moskvich, Moscow Plant (former CJSC Renault Russia)")</f>
        <v>JSC Moscow Automobile Plant Moskvich, Moscow Plant (former CJSC Renault Russia)</v>
      </c>
      <c r="E1401" s="12" t="s">
        <v>102</v>
      </c>
      <c r="F1401" s="12" t="s">
        <v>18</v>
      </c>
      <c r="G1401" s="12" t="s">
        <v>14</v>
      </c>
      <c r="H1401" s="12"/>
      <c r="I1401" s="14">
        <v>45198</v>
      </c>
      <c r="J1401" s="12" t="s">
        <v>199</v>
      </c>
    </row>
    <row r="1402" spans="1:10" s="15" customFormat="1" x14ac:dyDescent="0.15">
      <c r="A1402" s="11">
        <v>45202</v>
      </c>
      <c r="B1402" s="12" t="s">
        <v>111</v>
      </c>
      <c r="C1402" s="12" t="s">
        <v>112</v>
      </c>
      <c r="D1402" s="13" t="str">
        <f>HYPERLINK("https://www.marklines.com/en/global/647","Tata Automobile Corporation SA (PTY) Ltd., Rosslyn Plant")</f>
        <v>Tata Automobile Corporation SA (PTY) Ltd., Rosslyn Plant</v>
      </c>
      <c r="E1402" s="12" t="s">
        <v>200</v>
      </c>
      <c r="F1402" s="12" t="s">
        <v>69</v>
      </c>
      <c r="G1402" s="12" t="s">
        <v>70</v>
      </c>
      <c r="H1402" s="12"/>
      <c r="I1402" s="14">
        <v>45198</v>
      </c>
      <c r="J1402" s="12" t="s">
        <v>201</v>
      </c>
    </row>
    <row r="1403" spans="1:10" s="15" customFormat="1" x14ac:dyDescent="0.15">
      <c r="A1403" s="11">
        <v>45202</v>
      </c>
      <c r="B1403" s="12" t="s">
        <v>98</v>
      </c>
      <c r="C1403" s="12" t="s">
        <v>99</v>
      </c>
      <c r="D1403" s="13" t="str">
        <f>HYPERLINK("https://www.marklines.com/en/global/9547","VinFast Trading and Production LLC, Hai Phong Plant")</f>
        <v>VinFast Trading and Production LLC, Hai Phong Plant</v>
      </c>
      <c r="E1403" s="12" t="s">
        <v>202</v>
      </c>
      <c r="F1403" s="12" t="s">
        <v>34</v>
      </c>
      <c r="G1403" s="12" t="s">
        <v>110</v>
      </c>
      <c r="H1403" s="12"/>
      <c r="I1403" s="14">
        <v>45198</v>
      </c>
      <c r="J1403" s="12" t="s">
        <v>203</v>
      </c>
    </row>
    <row r="1404" spans="1:10" s="15" customFormat="1" x14ac:dyDescent="0.15">
      <c r="A1404" s="11">
        <v>45202</v>
      </c>
      <c r="B1404" s="12" t="s">
        <v>36</v>
      </c>
      <c r="C1404" s="12" t="s">
        <v>68</v>
      </c>
      <c r="D1404" s="13" t="str">
        <f>HYPERLINK("https://www.marklines.com/en/global/1995","Great Wall Motor (Thailand), Rayong Plant (formerly General Motors (Thailand), Rayong Plant)")</f>
        <v>Great Wall Motor (Thailand), Rayong Plant (formerly General Motors (Thailand), Rayong Plant)</v>
      </c>
      <c r="E1404" s="12" t="s">
        <v>74</v>
      </c>
      <c r="F1404" s="12" t="s">
        <v>34</v>
      </c>
      <c r="G1404" s="12" t="s">
        <v>71</v>
      </c>
      <c r="H1404" s="12" t="s">
        <v>72</v>
      </c>
      <c r="I1404" s="14">
        <v>45197</v>
      </c>
      <c r="J1404" s="12" t="s">
        <v>204</v>
      </c>
    </row>
    <row r="1405" spans="1:10" s="15" customFormat="1" x14ac:dyDescent="0.15">
      <c r="A1405" s="11">
        <v>45202</v>
      </c>
      <c r="B1405" s="12" t="s">
        <v>33</v>
      </c>
      <c r="C1405" s="12" t="s">
        <v>44</v>
      </c>
      <c r="D1405" s="13" t="str">
        <f>HYPERLINK("https://www.marklines.com/en/global/911","Volkswagen Mexico, Puebla Plant")</f>
        <v>Volkswagen Mexico, Puebla Plant</v>
      </c>
      <c r="E1405" s="12" t="s">
        <v>129</v>
      </c>
      <c r="F1405" s="12" t="s">
        <v>16</v>
      </c>
      <c r="G1405" s="12" t="s">
        <v>91</v>
      </c>
      <c r="H1405" s="12"/>
      <c r="I1405" s="14">
        <v>45197</v>
      </c>
      <c r="J1405" s="12" t="s">
        <v>205</v>
      </c>
    </row>
    <row r="1406" spans="1:10" s="15" customFormat="1" x14ac:dyDescent="0.15">
      <c r="A1406" s="11">
        <v>45202</v>
      </c>
      <c r="B1406" s="12" t="s">
        <v>33</v>
      </c>
      <c r="C1406" s="12" t="s">
        <v>44</v>
      </c>
      <c r="D1406" s="13" t="str">
        <f>HYPERLINK("https://www.marklines.com/en/global/913","Volkswagen Mexico, Silao Plant")</f>
        <v>Volkswagen Mexico, Silao Plant</v>
      </c>
      <c r="E1406" s="12" t="s">
        <v>206</v>
      </c>
      <c r="F1406" s="12" t="s">
        <v>16</v>
      </c>
      <c r="G1406" s="12" t="s">
        <v>91</v>
      </c>
      <c r="H1406" s="12"/>
      <c r="I1406" s="14">
        <v>45197</v>
      </c>
      <c r="J1406" s="12" t="s">
        <v>205</v>
      </c>
    </row>
    <row r="1407" spans="1:10" s="15" customFormat="1" x14ac:dyDescent="0.15">
      <c r="A1407" s="11">
        <v>45202</v>
      </c>
      <c r="B1407" s="12" t="s">
        <v>33</v>
      </c>
      <c r="C1407" s="12" t="s">
        <v>63</v>
      </c>
      <c r="D1407" s="13" t="str">
        <f>HYPERLINK("https://www.marklines.com/en/global/8739","Audi Mexico S.A. de C.V., San José Chiapa Plant")</f>
        <v>Audi Mexico S.A. de C.V., San José Chiapa Plant</v>
      </c>
      <c r="E1407" s="12" t="s">
        <v>207</v>
      </c>
      <c r="F1407" s="12" t="s">
        <v>16</v>
      </c>
      <c r="G1407" s="12" t="s">
        <v>91</v>
      </c>
      <c r="H1407" s="12"/>
      <c r="I1407" s="14">
        <v>45197</v>
      </c>
      <c r="J1407" s="12" t="s">
        <v>205</v>
      </c>
    </row>
    <row r="1408" spans="1:10" s="15" customFormat="1" x14ac:dyDescent="0.15">
      <c r="A1408" s="11">
        <v>45202</v>
      </c>
      <c r="B1408" s="12" t="s">
        <v>77</v>
      </c>
      <c r="C1408" s="12" t="s">
        <v>77</v>
      </c>
      <c r="D1408" s="13" t="str">
        <f>HYPERLINK("https://www.marklines.com/en/global/1809","Magna Steyr Fahrzeugtechnik AG &amp; Co KG, Graz Plant")</f>
        <v>Magna Steyr Fahrzeugtechnik AG &amp; Co KG, Graz Plant</v>
      </c>
      <c r="E1408" s="12" t="s">
        <v>57</v>
      </c>
      <c r="F1408" s="12" t="s">
        <v>17</v>
      </c>
      <c r="G1408" s="12" t="s">
        <v>58</v>
      </c>
      <c r="H1408" s="12"/>
      <c r="I1408" s="14">
        <v>45195</v>
      </c>
      <c r="J1408" s="12" t="s">
        <v>208</v>
      </c>
    </row>
    <row r="1409" spans="1:10" s="15" customFormat="1" x14ac:dyDescent="0.15">
      <c r="A1409" s="11">
        <v>45201</v>
      </c>
      <c r="B1409" s="12" t="s">
        <v>13</v>
      </c>
      <c r="C1409" s="12" t="s">
        <v>209</v>
      </c>
      <c r="D1409" s="13" t="str">
        <f>HYPERLINK("https://www.marklines.com/en/global/10442","EDISON MOTORS Co., Ltd., Hamyang Plant")</f>
        <v>EDISON MOTORS Co., Ltd., Hamyang Plant</v>
      </c>
      <c r="E1409" s="12" t="s">
        <v>210</v>
      </c>
      <c r="F1409" s="12" t="s">
        <v>20</v>
      </c>
      <c r="G1409" s="12" t="s">
        <v>79</v>
      </c>
      <c r="H1409" s="12"/>
      <c r="I1409" s="14">
        <v>45195</v>
      </c>
      <c r="J1409" s="12" t="s">
        <v>211</v>
      </c>
    </row>
    <row r="1410" spans="1:10" s="15" customFormat="1" x14ac:dyDescent="0.15">
      <c r="A1410" s="11">
        <v>45201</v>
      </c>
      <c r="B1410" s="12" t="s">
        <v>114</v>
      </c>
      <c r="C1410" s="12" t="s">
        <v>114</v>
      </c>
      <c r="D1410" s="13" t="str">
        <f>HYPERLINK("https://www.marklines.com/en/global/529","Subaru, Gunma Main Plant (Gunma Plant)")</f>
        <v>Subaru, Gunma Main Plant (Gunma Plant)</v>
      </c>
      <c r="E1410" s="12" t="s">
        <v>138</v>
      </c>
      <c r="F1410" s="12" t="s">
        <v>20</v>
      </c>
      <c r="G1410" s="12" t="s">
        <v>23</v>
      </c>
      <c r="H1410" s="12" t="s">
        <v>127</v>
      </c>
      <c r="I1410" s="14">
        <v>45191</v>
      </c>
      <c r="J1410" s="12" t="s">
        <v>212</v>
      </c>
    </row>
    <row r="1411" spans="1:10" s="15" customFormat="1" x14ac:dyDescent="0.15">
      <c r="A1411" s="11">
        <v>45201</v>
      </c>
      <c r="B1411" s="12" t="s">
        <v>22</v>
      </c>
      <c r="C1411" s="12" t="s">
        <v>22</v>
      </c>
      <c r="D1411" s="13" t="str">
        <f>HYPERLINK("https://www.marklines.com/en/global/381","Toyota Motor, Tahara Plant")</f>
        <v>Toyota Motor, Tahara Plant</v>
      </c>
      <c r="E1411" s="12" t="s">
        <v>125</v>
      </c>
      <c r="F1411" s="12" t="s">
        <v>20</v>
      </c>
      <c r="G1411" s="12" t="s">
        <v>23</v>
      </c>
      <c r="H1411" s="12" t="s">
        <v>61</v>
      </c>
      <c r="I1411" s="14">
        <v>45189</v>
      </c>
      <c r="J1411" s="12" t="s">
        <v>213</v>
      </c>
    </row>
    <row r="1412" spans="1:10" s="15" customFormat="1" x14ac:dyDescent="0.15">
      <c r="A1412" s="11">
        <v>45201</v>
      </c>
      <c r="B1412" s="12" t="s">
        <v>56</v>
      </c>
      <c r="C1412" s="12" t="s">
        <v>56</v>
      </c>
      <c r="D1412" s="13" t="str">
        <f>HYPERLINK("https://www.marklines.com/en/global/10403","AESC Japan Ltd., Zama plant")</f>
        <v>AESC Japan Ltd., Zama plant</v>
      </c>
      <c r="E1412" s="12" t="s">
        <v>214</v>
      </c>
      <c r="F1412" s="12" t="s">
        <v>20</v>
      </c>
      <c r="G1412" s="12" t="s">
        <v>23</v>
      </c>
      <c r="H1412" s="12" t="s">
        <v>64</v>
      </c>
      <c r="I1412" s="14">
        <v>45189</v>
      </c>
      <c r="J1412" s="12" t="s">
        <v>215</v>
      </c>
    </row>
    <row r="1413" spans="1:10" s="15" customFormat="1" x14ac:dyDescent="0.15">
      <c r="A1413" s="11">
        <v>45201</v>
      </c>
      <c r="B1413" s="12" t="s">
        <v>56</v>
      </c>
      <c r="C1413" s="12" t="s">
        <v>56</v>
      </c>
      <c r="D1413" s="13" t="str">
        <f>HYPERLINK("https://www.marklines.com/en/global/55","Yulon Motor, Sanyi Plant")</f>
        <v>Yulon Motor, Sanyi Plant</v>
      </c>
      <c r="E1413" s="12" t="s">
        <v>123</v>
      </c>
      <c r="F1413" s="12" t="s">
        <v>20</v>
      </c>
      <c r="G1413" s="12" t="s">
        <v>115</v>
      </c>
      <c r="H1413" s="12"/>
      <c r="I1413" s="14">
        <v>45188</v>
      </c>
      <c r="J1413" s="12" t="s">
        <v>216</v>
      </c>
    </row>
    <row r="1414" spans="1:10" x14ac:dyDescent="0.15">
      <c r="A1414" s="7"/>
      <c r="B1414" s="8"/>
      <c r="C1414" s="8"/>
      <c r="D1414" s="9"/>
      <c r="E1414" s="8"/>
      <c r="F1414" s="8"/>
      <c r="G1414" s="8"/>
      <c r="H1414" s="8"/>
      <c r="I1414" s="10"/>
      <c r="J1414" s="8"/>
    </row>
    <row r="1415" spans="1:10" x14ac:dyDescent="0.15">
      <c r="A1415" s="7"/>
      <c r="B1415" s="8"/>
      <c r="C1415" s="8"/>
      <c r="D1415" s="9"/>
      <c r="E1415" s="8"/>
      <c r="F1415" s="8"/>
      <c r="G1415" s="8"/>
      <c r="H1415" s="8"/>
      <c r="I1415" s="10"/>
      <c r="J1415" s="8"/>
    </row>
    <row r="1416" spans="1:10" x14ac:dyDescent="0.15">
      <c r="A1416" s="7"/>
      <c r="B1416" s="8"/>
      <c r="C1416" s="8"/>
      <c r="D1416" s="9"/>
      <c r="E1416" s="8"/>
      <c r="F1416" s="8"/>
      <c r="G1416" s="8"/>
      <c r="H1416" s="8"/>
      <c r="I1416" s="10"/>
      <c r="J1416" s="8"/>
    </row>
    <row r="1417" spans="1:10" x14ac:dyDescent="0.15">
      <c r="A1417" s="7"/>
      <c r="B1417" s="8"/>
      <c r="C1417" s="8"/>
      <c r="D1417" s="9"/>
      <c r="E1417" s="8"/>
      <c r="F1417" s="8"/>
      <c r="G1417" s="8"/>
      <c r="H1417" s="8"/>
      <c r="I1417" s="10"/>
      <c r="J1417" s="8"/>
    </row>
    <row r="1418" spans="1:10" x14ac:dyDescent="0.15">
      <c r="A1418" s="7"/>
      <c r="B1418" s="8"/>
      <c r="C1418" s="8"/>
      <c r="D1418" s="9"/>
      <c r="E1418" s="8"/>
      <c r="F1418" s="8"/>
      <c r="G1418" s="8"/>
      <c r="H1418" s="8"/>
      <c r="I1418" s="10"/>
      <c r="J1418" s="8"/>
    </row>
    <row r="1419" spans="1:10" x14ac:dyDescent="0.15">
      <c r="A1419" s="7"/>
      <c r="B1419" s="8"/>
      <c r="C1419" s="8"/>
      <c r="D1419" s="9"/>
      <c r="E1419" s="8"/>
      <c r="F1419" s="8"/>
      <c r="G1419" s="8"/>
      <c r="H1419" s="8"/>
      <c r="I1419" s="10"/>
      <c r="J1419" s="8"/>
    </row>
    <row r="1420" spans="1:10" x14ac:dyDescent="0.15">
      <c r="A1420" s="7"/>
      <c r="B1420" s="8"/>
      <c r="C1420" s="8"/>
      <c r="D1420" s="9"/>
      <c r="E1420" s="8"/>
      <c r="F1420" s="8"/>
      <c r="G1420" s="8"/>
      <c r="H1420" s="8"/>
      <c r="I1420" s="10"/>
      <c r="J1420" s="8"/>
    </row>
    <row r="1421" spans="1:10" x14ac:dyDescent="0.15">
      <c r="A1421" s="7"/>
      <c r="B1421" s="8"/>
      <c r="C1421" s="8"/>
      <c r="D1421" s="9"/>
      <c r="E1421" s="8"/>
      <c r="F1421" s="8"/>
      <c r="G1421" s="8"/>
      <c r="H1421" s="8"/>
      <c r="I1421" s="10"/>
      <c r="J1421" s="8"/>
    </row>
    <row r="1422" spans="1:10" x14ac:dyDescent="0.15">
      <c r="A1422" s="7"/>
      <c r="B1422" s="8"/>
      <c r="C1422" s="8"/>
      <c r="D1422" s="9"/>
      <c r="E1422" s="8"/>
      <c r="F1422" s="8"/>
      <c r="G1422" s="8"/>
      <c r="H1422" s="8"/>
      <c r="I1422" s="10"/>
      <c r="J1422" s="8"/>
    </row>
    <row r="1423" spans="1:10" x14ac:dyDescent="0.15">
      <c r="A1423" s="7"/>
      <c r="B1423" s="8"/>
      <c r="C1423" s="8"/>
      <c r="D1423" s="9"/>
      <c r="E1423" s="8"/>
      <c r="F1423" s="8"/>
      <c r="G1423" s="8"/>
      <c r="H1423" s="8"/>
      <c r="I1423" s="10"/>
      <c r="J1423" s="8"/>
    </row>
    <row r="1424" spans="1:10" x14ac:dyDescent="0.15">
      <c r="A1424" s="7"/>
      <c r="B1424" s="8"/>
      <c r="C1424" s="8"/>
      <c r="D1424" s="9"/>
      <c r="E1424" s="8"/>
      <c r="F1424" s="8"/>
      <c r="G1424" s="8"/>
      <c r="H1424" s="8"/>
      <c r="I1424" s="10"/>
      <c r="J1424" s="8"/>
    </row>
    <row r="1425" spans="1:10" x14ac:dyDescent="0.15">
      <c r="A1425" s="7"/>
      <c r="B1425" s="8"/>
      <c r="C1425" s="8"/>
      <c r="D1425" s="9"/>
      <c r="E1425" s="8"/>
      <c r="F1425" s="8"/>
      <c r="G1425" s="8"/>
      <c r="H1425" s="8"/>
      <c r="I1425" s="10"/>
      <c r="J1425" s="8"/>
    </row>
    <row r="1426" spans="1:10" x14ac:dyDescent="0.15">
      <c r="A1426" s="7"/>
      <c r="B1426" s="8"/>
      <c r="C1426" s="8"/>
      <c r="D1426" s="9"/>
      <c r="E1426" s="8"/>
      <c r="F1426" s="8"/>
      <c r="G1426" s="8"/>
      <c r="H1426" s="8"/>
      <c r="I1426" s="10"/>
      <c r="J1426" s="8"/>
    </row>
    <row r="1427" spans="1:10" x14ac:dyDescent="0.15">
      <c r="A1427" s="7"/>
      <c r="B1427" s="8"/>
      <c r="C1427" s="8"/>
      <c r="D1427" s="9"/>
      <c r="E1427" s="8"/>
      <c r="F1427" s="8"/>
      <c r="G1427" s="8"/>
      <c r="H1427" s="8"/>
      <c r="I1427" s="10"/>
      <c r="J1427" s="8"/>
    </row>
    <row r="1428" spans="1:10" x14ac:dyDescent="0.15">
      <c r="A1428" s="7"/>
      <c r="B1428" s="8"/>
      <c r="C1428" s="8"/>
      <c r="D1428" s="9"/>
      <c r="E1428" s="8"/>
      <c r="F1428" s="8"/>
      <c r="G1428" s="8"/>
      <c r="H1428" s="8"/>
      <c r="I1428" s="10"/>
      <c r="J1428" s="8"/>
    </row>
    <row r="1429" spans="1:10" x14ac:dyDescent="0.15">
      <c r="A1429" s="7"/>
      <c r="B1429" s="8"/>
      <c r="C1429" s="8"/>
      <c r="D1429" s="9"/>
      <c r="E1429" s="8"/>
      <c r="F1429" s="8"/>
      <c r="G1429" s="8"/>
      <c r="H1429" s="8"/>
      <c r="I1429" s="10"/>
      <c r="J1429" s="8"/>
    </row>
    <row r="1430" spans="1:10" x14ac:dyDescent="0.15">
      <c r="A1430" s="7"/>
      <c r="B1430" s="8"/>
      <c r="C1430" s="8"/>
      <c r="D1430" s="9"/>
      <c r="E1430" s="8"/>
      <c r="F1430" s="8"/>
      <c r="G1430" s="8"/>
      <c r="H1430" s="8"/>
      <c r="I1430" s="10"/>
      <c r="J1430" s="8"/>
    </row>
    <row r="1431" spans="1:10" x14ac:dyDescent="0.15">
      <c r="A1431" s="7"/>
      <c r="B1431" s="8"/>
      <c r="C1431" s="8"/>
      <c r="D1431" s="9"/>
      <c r="E1431" s="8"/>
      <c r="F1431" s="8"/>
      <c r="G1431" s="8"/>
      <c r="H1431" s="8"/>
      <c r="I1431" s="10"/>
      <c r="J1431" s="8"/>
    </row>
    <row r="1432" spans="1:10" x14ac:dyDescent="0.15">
      <c r="A1432" s="7"/>
      <c r="B1432" s="8"/>
      <c r="C1432" s="8"/>
      <c r="D1432" s="9"/>
      <c r="E1432" s="8"/>
      <c r="F1432" s="8"/>
      <c r="G1432" s="8"/>
      <c r="H1432" s="8"/>
      <c r="I1432" s="10"/>
      <c r="J1432" s="8"/>
    </row>
    <row r="1433" spans="1:10" x14ac:dyDescent="0.15">
      <c r="A1433" s="7"/>
      <c r="B1433" s="8"/>
      <c r="C1433" s="8"/>
      <c r="D1433" s="9"/>
      <c r="E1433" s="8"/>
      <c r="F1433" s="8"/>
      <c r="G1433" s="8"/>
      <c r="H1433" s="8"/>
      <c r="I1433" s="10"/>
      <c r="J1433" s="8"/>
    </row>
    <row r="1434" spans="1:10" x14ac:dyDescent="0.15">
      <c r="A1434" s="7"/>
      <c r="B1434" s="8"/>
      <c r="C1434" s="8"/>
      <c r="D1434" s="9"/>
      <c r="E1434" s="8"/>
      <c r="F1434" s="8"/>
      <c r="G1434" s="8"/>
      <c r="H1434" s="8"/>
      <c r="I1434" s="10"/>
      <c r="J1434" s="8"/>
    </row>
    <row r="1435" spans="1:10" x14ac:dyDescent="0.15">
      <c r="A1435" s="7"/>
      <c r="B1435" s="8"/>
      <c r="C1435" s="8"/>
      <c r="D1435" s="9"/>
      <c r="E1435" s="8"/>
      <c r="F1435" s="8"/>
      <c r="G1435" s="8"/>
      <c r="H1435" s="8"/>
      <c r="I1435" s="10"/>
      <c r="J1435" s="8"/>
    </row>
    <row r="1436" spans="1:10" x14ac:dyDescent="0.15">
      <c r="A1436" s="7"/>
      <c r="B1436" s="8"/>
      <c r="C1436" s="8"/>
      <c r="D1436" s="9"/>
      <c r="E1436" s="8"/>
      <c r="F1436" s="8"/>
      <c r="G1436" s="8"/>
      <c r="H1436" s="8"/>
      <c r="I1436" s="10"/>
      <c r="J1436" s="8"/>
    </row>
    <row r="1437" spans="1:10" x14ac:dyDescent="0.15">
      <c r="A1437" s="7"/>
      <c r="B1437" s="8"/>
      <c r="C1437" s="8"/>
      <c r="D1437" s="9"/>
      <c r="E1437" s="8"/>
      <c r="F1437" s="8"/>
      <c r="G1437" s="8"/>
      <c r="H1437" s="8"/>
      <c r="I1437" s="10"/>
      <c r="J1437" s="8"/>
    </row>
    <row r="1438" spans="1:10" x14ac:dyDescent="0.15">
      <c r="A1438" s="7"/>
      <c r="B1438" s="8"/>
      <c r="C1438" s="8"/>
      <c r="D1438" s="9"/>
      <c r="E1438" s="8"/>
      <c r="F1438" s="8"/>
      <c r="G1438" s="8"/>
      <c r="H1438" s="8"/>
      <c r="I1438" s="10"/>
      <c r="J1438" s="8"/>
    </row>
    <row r="1439" spans="1:10" x14ac:dyDescent="0.15">
      <c r="A1439" s="7"/>
      <c r="B1439" s="8"/>
      <c r="C1439" s="8"/>
      <c r="D1439" s="9"/>
      <c r="E1439" s="8"/>
      <c r="F1439" s="8"/>
      <c r="G1439" s="8"/>
      <c r="H1439" s="8"/>
      <c r="I1439" s="10"/>
      <c r="J1439" s="8"/>
    </row>
    <row r="1440" spans="1:10" x14ac:dyDescent="0.15">
      <c r="A1440" s="7"/>
      <c r="B1440" s="8"/>
      <c r="C1440" s="8"/>
      <c r="D1440" s="9"/>
      <c r="E1440" s="8"/>
      <c r="F1440" s="8"/>
      <c r="G1440" s="8"/>
      <c r="H1440" s="8"/>
      <c r="I1440" s="10"/>
      <c r="J1440" s="8"/>
    </row>
    <row r="1441" spans="1:10" x14ac:dyDescent="0.15">
      <c r="A1441" s="7"/>
      <c r="B1441" s="8"/>
      <c r="C1441" s="8"/>
      <c r="D1441" s="9"/>
      <c r="E1441" s="8"/>
      <c r="F1441" s="8"/>
      <c r="G1441" s="8"/>
      <c r="H1441" s="8"/>
      <c r="I1441" s="10"/>
      <c r="J1441" s="8"/>
    </row>
    <row r="1442" spans="1:10" x14ac:dyDescent="0.15">
      <c r="A1442" s="7"/>
      <c r="B1442" s="8"/>
      <c r="C1442" s="8"/>
      <c r="D1442" s="9"/>
      <c r="E1442" s="8"/>
      <c r="F1442" s="8"/>
      <c r="G1442" s="8"/>
      <c r="H1442" s="8"/>
      <c r="I1442" s="10"/>
      <c r="J1442" s="8"/>
    </row>
    <row r="1443" spans="1:10" x14ac:dyDescent="0.15">
      <c r="A1443" s="7"/>
      <c r="B1443" s="8"/>
      <c r="C1443" s="8"/>
      <c r="D1443" s="9"/>
      <c r="E1443" s="8"/>
      <c r="F1443" s="8"/>
      <c r="G1443" s="8"/>
      <c r="H1443" s="8"/>
      <c r="I1443" s="10"/>
      <c r="J1443" s="8"/>
    </row>
    <row r="1444" spans="1:10" x14ac:dyDescent="0.15">
      <c r="A1444" s="7"/>
      <c r="B1444" s="8"/>
      <c r="C1444" s="8"/>
      <c r="D1444" s="9"/>
      <c r="E1444" s="8"/>
      <c r="F1444" s="8"/>
      <c r="G1444" s="8"/>
      <c r="H1444" s="8"/>
      <c r="I1444" s="10"/>
      <c r="J1444" s="8"/>
    </row>
    <row r="1445" spans="1:10" x14ac:dyDescent="0.15">
      <c r="A1445" s="7"/>
      <c r="B1445" s="8"/>
      <c r="C1445" s="8"/>
      <c r="D1445" s="9"/>
      <c r="E1445" s="8"/>
      <c r="F1445" s="8"/>
      <c r="G1445" s="8"/>
      <c r="H1445" s="8"/>
      <c r="I1445" s="10"/>
      <c r="J1445" s="8"/>
    </row>
    <row r="1446" spans="1:10" x14ac:dyDescent="0.15">
      <c r="A1446" s="7"/>
      <c r="B1446" s="8"/>
      <c r="C1446" s="8"/>
      <c r="D1446" s="9"/>
      <c r="E1446" s="8"/>
      <c r="F1446" s="8"/>
      <c r="G1446" s="8"/>
      <c r="H1446" s="8"/>
      <c r="I1446" s="10"/>
      <c r="J1446" s="8"/>
    </row>
    <row r="1447" spans="1:10" x14ac:dyDescent="0.15">
      <c r="A1447" s="7"/>
      <c r="B1447" s="8"/>
      <c r="C1447" s="8"/>
      <c r="D1447" s="9"/>
      <c r="E1447" s="8"/>
      <c r="F1447" s="8"/>
      <c r="G1447" s="8"/>
      <c r="H1447" s="8"/>
      <c r="I1447" s="10"/>
      <c r="J1447" s="8"/>
    </row>
    <row r="1448" spans="1:10" x14ac:dyDescent="0.15">
      <c r="A1448" s="7"/>
      <c r="B1448" s="8"/>
      <c r="C1448" s="8"/>
      <c r="D1448" s="9"/>
      <c r="E1448" s="8"/>
      <c r="F1448" s="8"/>
      <c r="G1448" s="8"/>
      <c r="H1448" s="8"/>
      <c r="I1448" s="10"/>
      <c r="J1448" s="8"/>
    </row>
    <row r="1449" spans="1:10" x14ac:dyDescent="0.15">
      <c r="A1449" s="7"/>
      <c r="B1449" s="8"/>
      <c r="C1449" s="8"/>
      <c r="D1449" s="9"/>
      <c r="E1449" s="8"/>
      <c r="F1449" s="8"/>
      <c r="G1449" s="8"/>
      <c r="H1449" s="8"/>
      <c r="I1449" s="10"/>
      <c r="J1449" s="8"/>
    </row>
    <row r="1450" spans="1:10" x14ac:dyDescent="0.15">
      <c r="A1450" s="7"/>
      <c r="B1450" s="8"/>
      <c r="C1450" s="8"/>
      <c r="D1450" s="9"/>
      <c r="E1450" s="8"/>
      <c r="F1450" s="8"/>
      <c r="G1450" s="8"/>
      <c r="H1450" s="8"/>
      <c r="I1450" s="10"/>
      <c r="J1450" s="8"/>
    </row>
    <row r="1451" spans="1:10" x14ac:dyDescent="0.15">
      <c r="A1451" s="7"/>
      <c r="B1451" s="8"/>
      <c r="C1451" s="8"/>
      <c r="D1451" s="9"/>
      <c r="E1451" s="8"/>
      <c r="F1451" s="8"/>
      <c r="G1451" s="8"/>
      <c r="H1451" s="8"/>
      <c r="I1451" s="10"/>
      <c r="J1451" s="8"/>
    </row>
    <row r="1452" spans="1:10" x14ac:dyDescent="0.15">
      <c r="A1452" s="7"/>
      <c r="B1452" s="8"/>
      <c r="C1452" s="8"/>
      <c r="D1452" s="9"/>
      <c r="E1452" s="8"/>
      <c r="F1452" s="8"/>
      <c r="G1452" s="8"/>
      <c r="H1452" s="8"/>
      <c r="I1452" s="10"/>
      <c r="J1452" s="8"/>
    </row>
    <row r="1453" spans="1:10" x14ac:dyDescent="0.15">
      <c r="A1453" s="7"/>
      <c r="B1453" s="8"/>
      <c r="C1453" s="8"/>
      <c r="D1453" s="9"/>
      <c r="E1453" s="8"/>
      <c r="F1453" s="8"/>
      <c r="G1453" s="8"/>
      <c r="H1453" s="8"/>
      <c r="I1453" s="10"/>
      <c r="J1453" s="8"/>
    </row>
    <row r="1454" spans="1:10" x14ac:dyDescent="0.15">
      <c r="A1454" s="7"/>
      <c r="B1454" s="8"/>
      <c r="C1454" s="8"/>
      <c r="D1454" s="9"/>
      <c r="E1454" s="8"/>
      <c r="F1454" s="8"/>
      <c r="G1454" s="8"/>
      <c r="H1454" s="8"/>
      <c r="I1454" s="10"/>
      <c r="J1454" s="8"/>
    </row>
    <row r="1455" spans="1:10" x14ac:dyDescent="0.15">
      <c r="A1455" s="7"/>
      <c r="B1455" s="8"/>
      <c r="C1455" s="8"/>
      <c r="D1455" s="9"/>
      <c r="E1455" s="8"/>
      <c r="F1455" s="8"/>
      <c r="G1455" s="8"/>
      <c r="H1455" s="8"/>
      <c r="I1455" s="10"/>
      <c r="J1455" s="8"/>
    </row>
    <row r="1456" spans="1:10" x14ac:dyDescent="0.15">
      <c r="A1456" s="7"/>
      <c r="B1456" s="8"/>
      <c r="C1456" s="8"/>
      <c r="D1456" s="9"/>
      <c r="E1456" s="8"/>
      <c r="F1456" s="8"/>
      <c r="G1456" s="8"/>
      <c r="H1456" s="8"/>
      <c r="I1456" s="10"/>
      <c r="J1456" s="8"/>
    </row>
    <row r="1457" spans="1:10" x14ac:dyDescent="0.15">
      <c r="A1457" s="7"/>
      <c r="B1457" s="8"/>
      <c r="C1457" s="8"/>
      <c r="D1457" s="9"/>
      <c r="E1457" s="8"/>
      <c r="F1457" s="8"/>
      <c r="G1457" s="8"/>
      <c r="H1457" s="8"/>
      <c r="I1457" s="10"/>
      <c r="J1457" s="8"/>
    </row>
    <row r="1458" spans="1:10" x14ac:dyDescent="0.15">
      <c r="A1458" s="7"/>
      <c r="B1458" s="8"/>
      <c r="C1458" s="8"/>
      <c r="D1458" s="9"/>
      <c r="E1458" s="8"/>
      <c r="F1458" s="8"/>
      <c r="G1458" s="8"/>
      <c r="H1458" s="8"/>
      <c r="I1458" s="10"/>
      <c r="J1458" s="8"/>
    </row>
    <row r="1459" spans="1:10" x14ac:dyDescent="0.15">
      <c r="A1459" s="7"/>
      <c r="B1459" s="8"/>
      <c r="C1459" s="8"/>
      <c r="D1459" s="9"/>
      <c r="E1459" s="8"/>
      <c r="F1459" s="8"/>
      <c r="G1459" s="8"/>
      <c r="H1459" s="8"/>
      <c r="I1459" s="10"/>
      <c r="J1459" s="8"/>
    </row>
    <row r="1460" spans="1:10" x14ac:dyDescent="0.15">
      <c r="A1460" s="7"/>
      <c r="B1460" s="8"/>
      <c r="C1460" s="8"/>
      <c r="D1460" s="9"/>
      <c r="E1460" s="8"/>
      <c r="F1460" s="8"/>
      <c r="G1460" s="8"/>
      <c r="H1460" s="8"/>
      <c r="I1460" s="10"/>
      <c r="J1460" s="8"/>
    </row>
    <row r="1461" spans="1:10" x14ac:dyDescent="0.15">
      <c r="A1461" s="7"/>
      <c r="B1461" s="8"/>
      <c r="C1461" s="8"/>
      <c r="D1461" s="9"/>
      <c r="E1461" s="8"/>
      <c r="F1461" s="8"/>
      <c r="G1461" s="8"/>
      <c r="H1461" s="8"/>
      <c r="I1461" s="10"/>
      <c r="J1461" s="8"/>
    </row>
    <row r="1462" spans="1:10" x14ac:dyDescent="0.15">
      <c r="A1462" s="7"/>
      <c r="B1462" s="8"/>
      <c r="C1462" s="8"/>
      <c r="D1462" s="9"/>
      <c r="E1462" s="8"/>
      <c r="F1462" s="8"/>
      <c r="G1462" s="8"/>
      <c r="H1462" s="8"/>
      <c r="I1462" s="10"/>
      <c r="J1462" s="8"/>
    </row>
    <row r="1463" spans="1:10" x14ac:dyDescent="0.15">
      <c r="A1463" s="7"/>
      <c r="B1463" s="8"/>
      <c r="C1463" s="8"/>
      <c r="D1463" s="9"/>
      <c r="E1463" s="8"/>
      <c r="F1463" s="8"/>
      <c r="G1463" s="8"/>
      <c r="H1463" s="8"/>
      <c r="I1463" s="10"/>
      <c r="J1463" s="8"/>
    </row>
    <row r="1464" spans="1:10" x14ac:dyDescent="0.15">
      <c r="A1464" s="7"/>
      <c r="B1464" s="8"/>
      <c r="C1464" s="8"/>
      <c r="D1464" s="9"/>
      <c r="E1464" s="8"/>
      <c r="F1464" s="8"/>
      <c r="G1464" s="8"/>
      <c r="H1464" s="8"/>
      <c r="I1464" s="10"/>
      <c r="J1464" s="8"/>
    </row>
    <row r="1465" spans="1:10" x14ac:dyDescent="0.15">
      <c r="A1465" s="7"/>
      <c r="B1465" s="8"/>
      <c r="C1465" s="8"/>
      <c r="D1465" s="9"/>
      <c r="E1465" s="8"/>
      <c r="F1465" s="8"/>
      <c r="G1465" s="8"/>
      <c r="H1465" s="8"/>
      <c r="I1465" s="10"/>
      <c r="J1465" s="8"/>
    </row>
    <row r="1466" spans="1:10" x14ac:dyDescent="0.15">
      <c r="A1466" s="7"/>
      <c r="B1466" s="8"/>
      <c r="C1466" s="8"/>
      <c r="D1466" s="9"/>
      <c r="E1466" s="8"/>
      <c r="F1466" s="8"/>
      <c r="G1466" s="8"/>
      <c r="H1466" s="8"/>
      <c r="I1466" s="10"/>
      <c r="J1466" s="8"/>
    </row>
    <row r="1467" spans="1:10" x14ac:dyDescent="0.15">
      <c r="A1467" s="7"/>
      <c r="B1467" s="8"/>
      <c r="C1467" s="8"/>
      <c r="D1467" s="9"/>
      <c r="E1467" s="8"/>
      <c r="F1467" s="8"/>
      <c r="G1467" s="8"/>
      <c r="H1467" s="8"/>
      <c r="I1467" s="10"/>
      <c r="J1467" s="8"/>
    </row>
    <row r="1468" spans="1:10" x14ac:dyDescent="0.15">
      <c r="A1468" s="7"/>
      <c r="B1468" s="8"/>
      <c r="C1468" s="8"/>
      <c r="D1468" s="9"/>
      <c r="E1468" s="8"/>
      <c r="F1468" s="8"/>
      <c r="G1468" s="8"/>
      <c r="H1468" s="8"/>
      <c r="I1468" s="10"/>
      <c r="J1468" s="8"/>
    </row>
    <row r="1469" spans="1:10" x14ac:dyDescent="0.15">
      <c r="A1469" s="7"/>
      <c r="B1469" s="8"/>
      <c r="C1469" s="8"/>
      <c r="D1469" s="9"/>
      <c r="E1469" s="8"/>
      <c r="F1469" s="8"/>
      <c r="G1469" s="8"/>
      <c r="H1469" s="8"/>
      <c r="I1469" s="10"/>
      <c r="J1469" s="8"/>
    </row>
    <row r="1470" spans="1:10" x14ac:dyDescent="0.15">
      <c r="A1470" s="7"/>
      <c r="B1470" s="8"/>
      <c r="C1470" s="8"/>
      <c r="D1470" s="9"/>
      <c r="E1470" s="8"/>
      <c r="F1470" s="8"/>
      <c r="G1470" s="8"/>
      <c r="H1470" s="8"/>
      <c r="I1470" s="10"/>
      <c r="J1470" s="8"/>
    </row>
    <row r="1471" spans="1:10" x14ac:dyDescent="0.15">
      <c r="A1471" s="7"/>
      <c r="B1471" s="8"/>
      <c r="C1471" s="8"/>
      <c r="D1471" s="9"/>
      <c r="E1471" s="8"/>
      <c r="F1471" s="8"/>
      <c r="G1471" s="8"/>
      <c r="H1471" s="8"/>
      <c r="I1471" s="10"/>
      <c r="J1471" s="8"/>
    </row>
    <row r="1472" spans="1:10" x14ac:dyDescent="0.15">
      <c r="A1472" s="7"/>
      <c r="B1472" s="8"/>
      <c r="C1472" s="8"/>
      <c r="D1472" s="9"/>
      <c r="E1472" s="8"/>
      <c r="F1472" s="8"/>
      <c r="G1472" s="8"/>
      <c r="H1472" s="8"/>
      <c r="I1472" s="10"/>
      <c r="J1472" s="8"/>
    </row>
    <row r="1473" spans="1:10" x14ac:dyDescent="0.15">
      <c r="A1473" s="7"/>
      <c r="B1473" s="8"/>
      <c r="C1473" s="8"/>
      <c r="D1473" s="9"/>
      <c r="E1473" s="8"/>
      <c r="F1473" s="8"/>
      <c r="G1473" s="8"/>
      <c r="H1473" s="8"/>
      <c r="I1473" s="10"/>
      <c r="J1473" s="8"/>
    </row>
    <row r="1474" spans="1:10" x14ac:dyDescent="0.15">
      <c r="A1474" s="7"/>
      <c r="B1474" s="8"/>
      <c r="C1474" s="8"/>
      <c r="D1474" s="9"/>
      <c r="E1474" s="8"/>
      <c r="F1474" s="8"/>
      <c r="G1474" s="8"/>
      <c r="H1474" s="8"/>
      <c r="I1474" s="10"/>
      <c r="J1474" s="8"/>
    </row>
    <row r="1475" spans="1:10" x14ac:dyDescent="0.15">
      <c r="A1475" s="7"/>
      <c r="B1475" s="8"/>
      <c r="C1475" s="8"/>
      <c r="D1475" s="9"/>
      <c r="E1475" s="8"/>
      <c r="F1475" s="8"/>
      <c r="G1475" s="8"/>
      <c r="H1475" s="8"/>
      <c r="I1475" s="10"/>
      <c r="J1475" s="8"/>
    </row>
    <row r="1476" spans="1:10" x14ac:dyDescent="0.15">
      <c r="A1476" s="7"/>
      <c r="B1476" s="8"/>
      <c r="C1476" s="8"/>
      <c r="D1476" s="9"/>
      <c r="E1476" s="8"/>
      <c r="F1476" s="8"/>
      <c r="G1476" s="8"/>
      <c r="H1476" s="8"/>
      <c r="I1476" s="10"/>
      <c r="J1476" s="8"/>
    </row>
    <row r="1477" spans="1:10" x14ac:dyDescent="0.15">
      <c r="A1477" s="7"/>
      <c r="B1477" s="8"/>
      <c r="C1477" s="8"/>
      <c r="D1477" s="9"/>
      <c r="E1477" s="8"/>
      <c r="F1477" s="8"/>
      <c r="G1477" s="8"/>
      <c r="H1477" s="8"/>
      <c r="I1477" s="10"/>
      <c r="J1477" s="8"/>
    </row>
    <row r="1478" spans="1:10" x14ac:dyDescent="0.15">
      <c r="A1478" s="7"/>
      <c r="B1478" s="8"/>
      <c r="C1478" s="8"/>
      <c r="D1478" s="9"/>
      <c r="E1478" s="8"/>
      <c r="F1478" s="8"/>
      <c r="G1478" s="8"/>
      <c r="H1478" s="8"/>
      <c r="I1478" s="10"/>
      <c r="J1478" s="8"/>
    </row>
    <row r="1479" spans="1:10" x14ac:dyDescent="0.15">
      <c r="A1479" s="7"/>
      <c r="B1479" s="8"/>
      <c r="C1479" s="8"/>
      <c r="D1479" s="9"/>
      <c r="E1479" s="8"/>
      <c r="F1479" s="8"/>
      <c r="G1479" s="8"/>
      <c r="H1479" s="8"/>
      <c r="I1479" s="10"/>
      <c r="J1479" s="8"/>
    </row>
    <row r="1480" spans="1:10" x14ac:dyDescent="0.15">
      <c r="A1480" s="7"/>
      <c r="B1480" s="8"/>
      <c r="C1480" s="8"/>
      <c r="D1480" s="9"/>
      <c r="E1480" s="8"/>
      <c r="F1480" s="8"/>
      <c r="G1480" s="8"/>
      <c r="H1480" s="8"/>
      <c r="I1480" s="10"/>
      <c r="J1480" s="8"/>
    </row>
    <row r="1481" spans="1:10" x14ac:dyDescent="0.15">
      <c r="A1481" s="7"/>
      <c r="B1481" s="8"/>
      <c r="C1481" s="8"/>
      <c r="D1481" s="9"/>
      <c r="E1481" s="8"/>
      <c r="F1481" s="8"/>
      <c r="G1481" s="8"/>
      <c r="H1481" s="8"/>
      <c r="I1481" s="10"/>
      <c r="J1481" s="8"/>
    </row>
    <row r="1482" spans="1:10" x14ac:dyDescent="0.15">
      <c r="A1482" s="7"/>
      <c r="B1482" s="8"/>
      <c r="C1482" s="8"/>
      <c r="D1482" s="9"/>
      <c r="E1482" s="8"/>
      <c r="F1482" s="8"/>
      <c r="G1482" s="8"/>
      <c r="H1482" s="8"/>
      <c r="I1482" s="10"/>
      <c r="J1482" s="8"/>
    </row>
    <row r="1483" spans="1:10" x14ac:dyDescent="0.15">
      <c r="A1483" s="7"/>
      <c r="B1483" s="8"/>
      <c r="C1483" s="8"/>
      <c r="D1483" s="9"/>
      <c r="E1483" s="8"/>
      <c r="F1483" s="8"/>
      <c r="G1483" s="8"/>
      <c r="H1483" s="8"/>
      <c r="I1483" s="10"/>
      <c r="J1483" s="8"/>
    </row>
    <row r="1484" spans="1:10" x14ac:dyDescent="0.15">
      <c r="A1484" s="7"/>
      <c r="B1484" s="8"/>
      <c r="C1484" s="8"/>
      <c r="D1484" s="9"/>
      <c r="E1484" s="8"/>
      <c r="F1484" s="8"/>
      <c r="G1484" s="8"/>
      <c r="H1484" s="8"/>
      <c r="I1484" s="10"/>
      <c r="J1484" s="8"/>
    </row>
    <row r="1485" spans="1:10" x14ac:dyDescent="0.15">
      <c r="A1485" s="7"/>
      <c r="B1485" s="8"/>
      <c r="C1485" s="8"/>
      <c r="D1485" s="9"/>
      <c r="E1485" s="8"/>
      <c r="F1485" s="8"/>
      <c r="G1485" s="8"/>
      <c r="H1485" s="8"/>
      <c r="I1485" s="10"/>
      <c r="J1485" s="8"/>
    </row>
    <row r="1486" spans="1:10" x14ac:dyDescent="0.15">
      <c r="A1486" s="7"/>
      <c r="B1486" s="8"/>
      <c r="C1486" s="8"/>
      <c r="D1486" s="9"/>
      <c r="E1486" s="8"/>
      <c r="F1486" s="8"/>
      <c r="G1486" s="8"/>
      <c r="H1486" s="8"/>
      <c r="I1486" s="10"/>
      <c r="J1486" s="8"/>
    </row>
    <row r="1487" spans="1:10" x14ac:dyDescent="0.15">
      <c r="A1487" s="7"/>
      <c r="B1487" s="8"/>
      <c r="C1487" s="8"/>
      <c r="D1487" s="9"/>
      <c r="E1487" s="8"/>
      <c r="F1487" s="8"/>
      <c r="G1487" s="8"/>
      <c r="H1487" s="8"/>
      <c r="I1487" s="10"/>
      <c r="J1487" s="8"/>
    </row>
    <row r="1488" spans="1:10" x14ac:dyDescent="0.15">
      <c r="A1488" s="7"/>
      <c r="B1488" s="8"/>
      <c r="C1488" s="8"/>
      <c r="D1488" s="9"/>
      <c r="E1488" s="8"/>
      <c r="F1488" s="8"/>
      <c r="G1488" s="8"/>
      <c r="H1488" s="8"/>
      <c r="I1488" s="10"/>
      <c r="J1488" s="8"/>
    </row>
    <row r="1489" spans="1:10" x14ac:dyDescent="0.15">
      <c r="A1489" s="7"/>
      <c r="B1489" s="8"/>
      <c r="C1489" s="8"/>
      <c r="D1489" s="9"/>
      <c r="E1489" s="8"/>
      <c r="F1489" s="8"/>
      <c r="G1489" s="8"/>
      <c r="H1489" s="8"/>
      <c r="I1489" s="10"/>
      <c r="J1489" s="8"/>
    </row>
    <row r="1490" spans="1:10" x14ac:dyDescent="0.15">
      <c r="A1490" s="7"/>
      <c r="B1490" s="8"/>
      <c r="C1490" s="8"/>
      <c r="D1490" s="9"/>
      <c r="E1490" s="8"/>
      <c r="F1490" s="8"/>
      <c r="G1490" s="8"/>
      <c r="H1490" s="8"/>
      <c r="I1490" s="10"/>
      <c r="J1490" s="8"/>
    </row>
    <row r="1491" spans="1:10" x14ac:dyDescent="0.15">
      <c r="A1491" s="7"/>
      <c r="B1491" s="8"/>
      <c r="C1491" s="8"/>
      <c r="D1491" s="9"/>
      <c r="E1491" s="8"/>
      <c r="F1491" s="8"/>
      <c r="G1491" s="8"/>
      <c r="H1491" s="8"/>
      <c r="I1491" s="10"/>
      <c r="J1491" s="8"/>
    </row>
    <row r="1492" spans="1:10" x14ac:dyDescent="0.15">
      <c r="A1492" s="7"/>
      <c r="B1492" s="8"/>
      <c r="C1492" s="8"/>
      <c r="D1492" s="9"/>
      <c r="E1492" s="8"/>
      <c r="F1492" s="8"/>
      <c r="G1492" s="8"/>
      <c r="H1492" s="8"/>
      <c r="I1492" s="10"/>
      <c r="J1492" s="8"/>
    </row>
    <row r="1493" spans="1:10" x14ac:dyDescent="0.15">
      <c r="A1493" s="7"/>
      <c r="B1493" s="8"/>
      <c r="C1493" s="8"/>
      <c r="D1493" s="9"/>
      <c r="E1493" s="8"/>
      <c r="F1493" s="8"/>
      <c r="G1493" s="8"/>
      <c r="H1493" s="8"/>
      <c r="I1493" s="10"/>
      <c r="J1493" s="8"/>
    </row>
    <row r="1494" spans="1:10" x14ac:dyDescent="0.15">
      <c r="A1494" s="7"/>
      <c r="B1494" s="8"/>
      <c r="C1494" s="8"/>
      <c r="D1494" s="9"/>
      <c r="E1494" s="8"/>
      <c r="F1494" s="8"/>
      <c r="G1494" s="8"/>
      <c r="H1494" s="8"/>
      <c r="I1494" s="10"/>
      <c r="J1494" s="8"/>
    </row>
    <row r="1495" spans="1:10" x14ac:dyDescent="0.15">
      <c r="A1495" s="7"/>
      <c r="B1495" s="8"/>
      <c r="C1495" s="8"/>
      <c r="D1495" s="9"/>
      <c r="E1495" s="8"/>
      <c r="F1495" s="8"/>
      <c r="G1495" s="8"/>
      <c r="H1495" s="8"/>
      <c r="I1495" s="10"/>
      <c r="J1495" s="8"/>
    </row>
    <row r="1496" spans="1:10" x14ac:dyDescent="0.15">
      <c r="A1496" s="7"/>
      <c r="B1496" s="8"/>
      <c r="C1496" s="8"/>
      <c r="D1496" s="9"/>
      <c r="E1496" s="8"/>
      <c r="F1496" s="8"/>
      <c r="G1496" s="8"/>
      <c r="H1496" s="8"/>
      <c r="I1496" s="10"/>
      <c r="J1496" s="8"/>
    </row>
    <row r="1497" spans="1:10" x14ac:dyDescent="0.15">
      <c r="A1497" s="7"/>
      <c r="B1497" s="8"/>
      <c r="C1497" s="8"/>
      <c r="D1497" s="9"/>
      <c r="E1497" s="8"/>
      <c r="F1497" s="8"/>
      <c r="G1497" s="8"/>
      <c r="H1497" s="8"/>
      <c r="I1497" s="10"/>
      <c r="J1497" s="8"/>
    </row>
    <row r="1498" spans="1:10" x14ac:dyDescent="0.15">
      <c r="A1498" s="7"/>
      <c r="B1498" s="8"/>
      <c r="C1498" s="8"/>
      <c r="D1498" s="9"/>
      <c r="E1498" s="8"/>
      <c r="F1498" s="8"/>
      <c r="G1498" s="8"/>
      <c r="H1498" s="8"/>
      <c r="I1498" s="10"/>
      <c r="J1498" s="8"/>
    </row>
    <row r="1499" spans="1:10" x14ac:dyDescent="0.15">
      <c r="A1499" s="7"/>
      <c r="B1499" s="8"/>
      <c r="C1499" s="8"/>
      <c r="D1499" s="9"/>
      <c r="E1499" s="8"/>
      <c r="F1499" s="8"/>
      <c r="G1499" s="8"/>
      <c r="H1499" s="8"/>
      <c r="I1499" s="10"/>
      <c r="J1499" s="8"/>
    </row>
    <row r="1500" spans="1:10" x14ac:dyDescent="0.15">
      <c r="A1500" s="7"/>
      <c r="B1500" s="8"/>
      <c r="C1500" s="8"/>
      <c r="D1500" s="9"/>
      <c r="E1500" s="8"/>
      <c r="F1500" s="8"/>
      <c r="G1500" s="8"/>
      <c r="H1500" s="8"/>
      <c r="I1500" s="10"/>
      <c r="J1500" s="8"/>
    </row>
    <row r="1501" spans="1:10" x14ac:dyDescent="0.15">
      <c r="A1501" s="7"/>
      <c r="B1501" s="8"/>
      <c r="C1501" s="8"/>
      <c r="D1501" s="9"/>
      <c r="E1501" s="8"/>
      <c r="F1501" s="8"/>
      <c r="G1501" s="8"/>
      <c r="H1501" s="8"/>
      <c r="I1501" s="10"/>
      <c r="J1501" s="8"/>
    </row>
    <row r="1502" spans="1:10" x14ac:dyDescent="0.15">
      <c r="A1502" s="7"/>
      <c r="B1502" s="8"/>
      <c r="C1502" s="8"/>
      <c r="D1502" s="9"/>
      <c r="E1502" s="8"/>
      <c r="F1502" s="8"/>
      <c r="G1502" s="8"/>
      <c r="H1502" s="8"/>
      <c r="I1502" s="10"/>
      <c r="J1502" s="8"/>
    </row>
    <row r="1503" spans="1:10" x14ac:dyDescent="0.15">
      <c r="A1503" s="7"/>
      <c r="B1503" s="8"/>
      <c r="C1503" s="8"/>
      <c r="D1503" s="9"/>
      <c r="E1503" s="8"/>
      <c r="F1503" s="8"/>
      <c r="G1503" s="8"/>
      <c r="H1503" s="8"/>
      <c r="I1503" s="10"/>
      <c r="J1503" s="8"/>
    </row>
    <row r="1504" spans="1:10" x14ac:dyDescent="0.15">
      <c r="A1504" s="7"/>
      <c r="B1504" s="8"/>
      <c r="C1504" s="8"/>
      <c r="D1504" s="9"/>
      <c r="E1504" s="8"/>
      <c r="F1504" s="8"/>
      <c r="G1504" s="8"/>
      <c r="H1504" s="8"/>
      <c r="I1504" s="10"/>
      <c r="J1504" s="8"/>
    </row>
    <row r="1505" spans="1:10" x14ac:dyDescent="0.15">
      <c r="A1505" s="7"/>
      <c r="B1505" s="8"/>
      <c r="C1505" s="8"/>
      <c r="D1505" s="9"/>
      <c r="E1505" s="8"/>
      <c r="F1505" s="8"/>
      <c r="G1505" s="8"/>
      <c r="H1505" s="8"/>
      <c r="I1505" s="10"/>
      <c r="J1505" s="8"/>
    </row>
    <row r="1506" spans="1:10" x14ac:dyDescent="0.15">
      <c r="A1506" s="7"/>
      <c r="B1506" s="8"/>
      <c r="C1506" s="8"/>
      <c r="D1506" s="9"/>
      <c r="E1506" s="8"/>
      <c r="F1506" s="8"/>
      <c r="G1506" s="8"/>
      <c r="H1506" s="8"/>
      <c r="I1506" s="10"/>
      <c r="J1506" s="8"/>
    </row>
    <row r="1507" spans="1:10" x14ac:dyDescent="0.15">
      <c r="A1507" s="7"/>
      <c r="B1507" s="8"/>
      <c r="C1507" s="8"/>
      <c r="D1507" s="9"/>
      <c r="E1507" s="8"/>
      <c r="F1507" s="8"/>
      <c r="G1507" s="8"/>
      <c r="H1507" s="8"/>
      <c r="I1507" s="10"/>
      <c r="J1507" s="8"/>
    </row>
    <row r="1508" spans="1:10" x14ac:dyDescent="0.15">
      <c r="A1508" s="7"/>
      <c r="B1508" s="8"/>
      <c r="C1508" s="8"/>
      <c r="D1508" s="9"/>
      <c r="E1508" s="8"/>
      <c r="F1508" s="8"/>
      <c r="G1508" s="8"/>
      <c r="H1508" s="8"/>
      <c r="I1508" s="10"/>
      <c r="J1508" s="8"/>
    </row>
    <row r="1509" spans="1:10" x14ac:dyDescent="0.15">
      <c r="A1509" s="7"/>
      <c r="B1509" s="8"/>
      <c r="C1509" s="8"/>
      <c r="D1509" s="9"/>
      <c r="E1509" s="8"/>
      <c r="F1509" s="8"/>
      <c r="G1509" s="8"/>
      <c r="H1509" s="8"/>
      <c r="I1509" s="10"/>
      <c r="J1509" s="8"/>
    </row>
    <row r="1510" spans="1:10" x14ac:dyDescent="0.15">
      <c r="A1510" s="7"/>
      <c r="B1510" s="8"/>
      <c r="C1510" s="8"/>
      <c r="D1510" s="9"/>
      <c r="E1510" s="8"/>
      <c r="F1510" s="8"/>
      <c r="G1510" s="8"/>
      <c r="H1510" s="8"/>
      <c r="I1510" s="10"/>
      <c r="J1510" s="8"/>
    </row>
    <row r="1511" spans="1:10" x14ac:dyDescent="0.15">
      <c r="A1511" s="7"/>
      <c r="B1511" s="8"/>
      <c r="C1511" s="8"/>
      <c r="D1511" s="9"/>
      <c r="E1511" s="8"/>
      <c r="F1511" s="8"/>
      <c r="G1511" s="8"/>
      <c r="H1511" s="8"/>
      <c r="I1511" s="10"/>
      <c r="J1511" s="8"/>
    </row>
    <row r="1512" spans="1:10" x14ac:dyDescent="0.15">
      <c r="A1512" s="7"/>
      <c r="B1512" s="8"/>
      <c r="C1512" s="8"/>
      <c r="D1512" s="9"/>
      <c r="E1512" s="8"/>
      <c r="F1512" s="8"/>
      <c r="G1512" s="8"/>
      <c r="H1512" s="8"/>
      <c r="I1512" s="10"/>
      <c r="J1512" s="8"/>
    </row>
    <row r="1513" spans="1:10" x14ac:dyDescent="0.15">
      <c r="A1513" s="7"/>
      <c r="B1513" s="8"/>
      <c r="C1513" s="8"/>
      <c r="D1513" s="9"/>
      <c r="E1513" s="8"/>
      <c r="F1513" s="8"/>
      <c r="G1513" s="8"/>
      <c r="H1513" s="8"/>
      <c r="I1513" s="10"/>
      <c r="J1513" s="8"/>
    </row>
    <row r="1514" spans="1:10" x14ac:dyDescent="0.15">
      <c r="A1514" s="7"/>
      <c r="B1514" s="8"/>
      <c r="C1514" s="8"/>
      <c r="D1514" s="9"/>
      <c r="E1514" s="8"/>
      <c r="F1514" s="8"/>
      <c r="G1514" s="8"/>
      <c r="H1514" s="8"/>
      <c r="I1514" s="10"/>
      <c r="J1514" s="8"/>
    </row>
    <row r="1515" spans="1:10" x14ac:dyDescent="0.15">
      <c r="A1515" s="7"/>
      <c r="B1515" s="8"/>
      <c r="C1515" s="8"/>
      <c r="D1515" s="9"/>
      <c r="E1515" s="8"/>
      <c r="F1515" s="8"/>
      <c r="G1515" s="8"/>
      <c r="H1515" s="8"/>
      <c r="I1515" s="10"/>
      <c r="J1515" s="8"/>
    </row>
    <row r="1516" spans="1:10" x14ac:dyDescent="0.15">
      <c r="A1516" s="7"/>
      <c r="B1516" s="8"/>
      <c r="C1516" s="8"/>
      <c r="D1516" s="9"/>
      <c r="E1516" s="8"/>
      <c r="F1516" s="8"/>
      <c r="G1516" s="8"/>
      <c r="H1516" s="8"/>
      <c r="I1516" s="10"/>
      <c r="J1516" s="8"/>
    </row>
    <row r="1517" spans="1:10" x14ac:dyDescent="0.15">
      <c r="A1517" s="7"/>
      <c r="B1517" s="8"/>
      <c r="C1517" s="8"/>
      <c r="D1517" s="9"/>
      <c r="E1517" s="8"/>
      <c r="F1517" s="8"/>
      <c r="G1517" s="8"/>
      <c r="H1517" s="8"/>
      <c r="I1517" s="10"/>
      <c r="J1517" s="8"/>
    </row>
    <row r="1518" spans="1:10" x14ac:dyDescent="0.15">
      <c r="A1518" s="7"/>
      <c r="B1518" s="8"/>
      <c r="C1518" s="8"/>
      <c r="D1518" s="9"/>
      <c r="E1518" s="8"/>
      <c r="F1518" s="8"/>
      <c r="G1518" s="8"/>
      <c r="H1518" s="8"/>
      <c r="I1518" s="10"/>
      <c r="J1518" s="8"/>
    </row>
    <row r="1519" spans="1:10" x14ac:dyDescent="0.15">
      <c r="A1519" s="7"/>
      <c r="B1519" s="8"/>
      <c r="C1519" s="8"/>
      <c r="D1519" s="9"/>
      <c r="E1519" s="8"/>
      <c r="F1519" s="8"/>
      <c r="G1519" s="8"/>
      <c r="H1519" s="8"/>
      <c r="I1519" s="10"/>
      <c r="J1519" s="8"/>
    </row>
    <row r="1520" spans="1:10" x14ac:dyDescent="0.15">
      <c r="A1520" s="7"/>
      <c r="B1520" s="8"/>
      <c r="C1520" s="8"/>
      <c r="D1520" s="9"/>
      <c r="E1520" s="8"/>
      <c r="F1520" s="8"/>
      <c r="G1520" s="8"/>
      <c r="H1520" s="8"/>
      <c r="I1520" s="10"/>
      <c r="J1520" s="8"/>
    </row>
    <row r="1521" spans="1:10" x14ac:dyDescent="0.15">
      <c r="A1521" s="7"/>
      <c r="B1521" s="8"/>
      <c r="C1521" s="8"/>
      <c r="D1521" s="9"/>
      <c r="E1521" s="8"/>
      <c r="F1521" s="8"/>
      <c r="G1521" s="8"/>
      <c r="H1521" s="8"/>
      <c r="I1521" s="10"/>
      <c r="J1521" s="8"/>
    </row>
    <row r="1522" spans="1:10" x14ac:dyDescent="0.15">
      <c r="A1522" s="7"/>
      <c r="B1522" s="8"/>
      <c r="C1522" s="8"/>
      <c r="D1522" s="9"/>
      <c r="E1522" s="8"/>
      <c r="F1522" s="8"/>
      <c r="G1522" s="8"/>
      <c r="H1522" s="8"/>
      <c r="I1522" s="10"/>
      <c r="J1522" s="8"/>
    </row>
    <row r="1523" spans="1:10" x14ac:dyDescent="0.15">
      <c r="A1523" s="7"/>
      <c r="B1523" s="8"/>
      <c r="C1523" s="8"/>
      <c r="D1523" s="9"/>
      <c r="E1523" s="8"/>
      <c r="F1523" s="8"/>
      <c r="G1523" s="8"/>
      <c r="H1523" s="8"/>
      <c r="I1523" s="10"/>
      <c r="J1523" s="8"/>
    </row>
    <row r="1524" spans="1:10" x14ac:dyDescent="0.15">
      <c r="A1524" s="7"/>
      <c r="B1524" s="8"/>
      <c r="C1524" s="8"/>
      <c r="D1524" s="9"/>
      <c r="E1524" s="8"/>
      <c r="F1524" s="8"/>
      <c r="G1524" s="8"/>
      <c r="H1524" s="8"/>
      <c r="I1524" s="10"/>
      <c r="J1524" s="8"/>
    </row>
    <row r="1525" spans="1:10" x14ac:dyDescent="0.15">
      <c r="A1525" s="7"/>
      <c r="B1525" s="8"/>
      <c r="C1525" s="8"/>
      <c r="D1525" s="9"/>
      <c r="E1525" s="8"/>
      <c r="F1525" s="8"/>
      <c r="G1525" s="8"/>
      <c r="H1525" s="8"/>
      <c r="I1525" s="10"/>
      <c r="J1525" s="8"/>
    </row>
    <row r="1526" spans="1:10" x14ac:dyDescent="0.15">
      <c r="A1526" s="7"/>
      <c r="B1526" s="8"/>
      <c r="C1526" s="8"/>
      <c r="D1526" s="9"/>
      <c r="E1526" s="8"/>
      <c r="F1526" s="8"/>
      <c r="G1526" s="8"/>
      <c r="H1526" s="8"/>
      <c r="I1526" s="10"/>
      <c r="J1526" s="8"/>
    </row>
    <row r="1527" spans="1:10" x14ac:dyDescent="0.15">
      <c r="A1527" s="7"/>
      <c r="B1527" s="8"/>
      <c r="C1527" s="8"/>
      <c r="D1527" s="9"/>
      <c r="E1527" s="8"/>
      <c r="F1527" s="8"/>
      <c r="G1527" s="8"/>
      <c r="H1527" s="8"/>
      <c r="I1527" s="10"/>
      <c r="J1527" s="8"/>
    </row>
    <row r="1528" spans="1:10" x14ac:dyDescent="0.15">
      <c r="A1528" s="7"/>
      <c r="B1528" s="8"/>
      <c r="C1528" s="8"/>
      <c r="D1528" s="9"/>
      <c r="E1528" s="8"/>
      <c r="F1528" s="8"/>
      <c r="G1528" s="8"/>
      <c r="H1528" s="8"/>
      <c r="I1528" s="10"/>
      <c r="J1528" s="8"/>
    </row>
    <row r="1529" spans="1:10" x14ac:dyDescent="0.15">
      <c r="A1529" s="7"/>
      <c r="B1529" s="8"/>
      <c r="C1529" s="8"/>
      <c r="D1529" s="9"/>
      <c r="E1529" s="8"/>
      <c r="F1529" s="8"/>
      <c r="G1529" s="8"/>
      <c r="H1529" s="8"/>
      <c r="I1529" s="10"/>
      <c r="J1529" s="8"/>
    </row>
    <row r="1530" spans="1:10" x14ac:dyDescent="0.15">
      <c r="A1530" s="7"/>
      <c r="B1530" s="8"/>
      <c r="C1530" s="8"/>
      <c r="D1530" s="9"/>
      <c r="E1530" s="8"/>
      <c r="F1530" s="8"/>
      <c r="G1530" s="8"/>
      <c r="H1530" s="8"/>
      <c r="I1530" s="10"/>
      <c r="J1530" s="8"/>
    </row>
    <row r="1531" spans="1:10" x14ac:dyDescent="0.15">
      <c r="A1531" s="7"/>
      <c r="B1531" s="8"/>
      <c r="C1531" s="8"/>
      <c r="D1531" s="9"/>
      <c r="E1531" s="8"/>
      <c r="F1531" s="8"/>
      <c r="G1531" s="8"/>
      <c r="H1531" s="8"/>
      <c r="I1531" s="10"/>
      <c r="J1531" s="8"/>
    </row>
    <row r="1532" spans="1:10" x14ac:dyDescent="0.15">
      <c r="A1532" s="7"/>
      <c r="B1532" s="8"/>
      <c r="C1532" s="8"/>
      <c r="D1532" s="9"/>
      <c r="E1532" s="8"/>
      <c r="F1532" s="8"/>
      <c r="G1532" s="8"/>
      <c r="H1532" s="8"/>
      <c r="I1532" s="10"/>
      <c r="J1532" s="8"/>
    </row>
    <row r="1533" spans="1:10" x14ac:dyDescent="0.15">
      <c r="A1533" s="7"/>
      <c r="B1533" s="8"/>
      <c r="C1533" s="8"/>
      <c r="D1533" s="9"/>
      <c r="E1533" s="8"/>
      <c r="F1533" s="8"/>
      <c r="G1533" s="8"/>
      <c r="H1533" s="8"/>
      <c r="I1533" s="10"/>
      <c r="J1533" s="8"/>
    </row>
    <row r="1534" spans="1:10" x14ac:dyDescent="0.15">
      <c r="A1534" s="7"/>
      <c r="B1534" s="8"/>
      <c r="C1534" s="8"/>
      <c r="D1534" s="9"/>
      <c r="E1534" s="8"/>
      <c r="F1534" s="8"/>
      <c r="G1534" s="8"/>
      <c r="H1534" s="8"/>
      <c r="I1534" s="10"/>
      <c r="J1534" s="8"/>
    </row>
    <row r="1535" spans="1:10" x14ac:dyDescent="0.15">
      <c r="A1535" s="7"/>
      <c r="B1535" s="8"/>
      <c r="C1535" s="8"/>
      <c r="D1535" s="9"/>
      <c r="E1535" s="8"/>
      <c r="F1535" s="8"/>
      <c r="G1535" s="8"/>
      <c r="H1535" s="8"/>
      <c r="I1535" s="10"/>
      <c r="J1535" s="8"/>
    </row>
    <row r="1536" spans="1:10" x14ac:dyDescent="0.15">
      <c r="A1536" s="7"/>
      <c r="B1536" s="8"/>
      <c r="C1536" s="8"/>
      <c r="D1536" s="9"/>
      <c r="E1536" s="8"/>
      <c r="F1536" s="8"/>
      <c r="G1536" s="8"/>
      <c r="H1536" s="8"/>
      <c r="I1536" s="10"/>
      <c r="J1536" s="8"/>
    </row>
    <row r="1537" spans="1:10" x14ac:dyDescent="0.15">
      <c r="A1537" s="7"/>
      <c r="B1537" s="8"/>
      <c r="C1537" s="8"/>
      <c r="D1537" s="9"/>
      <c r="E1537" s="8"/>
      <c r="F1537" s="8"/>
      <c r="G1537" s="8"/>
      <c r="H1537" s="8"/>
      <c r="I1537" s="10"/>
      <c r="J1537" s="8"/>
    </row>
    <row r="1538" spans="1:10" x14ac:dyDescent="0.15">
      <c r="A1538" s="7"/>
      <c r="B1538" s="8"/>
      <c r="C1538" s="8"/>
      <c r="D1538" s="9"/>
      <c r="E1538" s="8"/>
      <c r="F1538" s="8"/>
      <c r="G1538" s="8"/>
      <c r="H1538" s="8"/>
      <c r="I1538" s="10"/>
      <c r="J1538" s="8"/>
    </row>
    <row r="1539" spans="1:10" x14ac:dyDescent="0.15">
      <c r="A1539" s="7"/>
      <c r="B1539" s="8"/>
      <c r="C1539" s="8"/>
      <c r="D1539" s="9"/>
      <c r="E1539" s="8"/>
      <c r="F1539" s="8"/>
      <c r="G1539" s="8"/>
      <c r="H1539" s="8"/>
      <c r="I1539" s="10"/>
      <c r="J1539" s="8"/>
    </row>
    <row r="1540" spans="1:10" x14ac:dyDescent="0.15">
      <c r="A1540" s="7"/>
      <c r="B1540" s="8"/>
      <c r="C1540" s="8"/>
      <c r="D1540" s="9"/>
      <c r="E1540" s="8"/>
      <c r="F1540" s="8"/>
      <c r="G1540" s="8"/>
      <c r="H1540" s="8"/>
      <c r="I1540" s="10"/>
      <c r="J1540" s="8"/>
    </row>
    <row r="1541" spans="1:10" x14ac:dyDescent="0.15">
      <c r="A1541" s="7"/>
      <c r="B1541" s="8"/>
      <c r="C1541" s="8"/>
      <c r="D1541" s="9"/>
      <c r="E1541" s="8"/>
      <c r="F1541" s="8"/>
      <c r="G1541" s="8"/>
      <c r="H1541" s="8"/>
      <c r="I1541" s="10"/>
      <c r="J1541" s="8"/>
    </row>
    <row r="1542" spans="1:10" x14ac:dyDescent="0.15">
      <c r="A1542" s="7"/>
      <c r="B1542" s="8"/>
      <c r="C1542" s="8"/>
      <c r="D1542" s="9"/>
      <c r="E1542" s="8"/>
      <c r="F1542" s="8"/>
      <c r="G1542" s="8"/>
      <c r="H1542" s="8"/>
      <c r="I1542" s="10"/>
      <c r="J1542" s="8"/>
    </row>
    <row r="1543" spans="1:10" x14ac:dyDescent="0.15">
      <c r="A1543" s="7"/>
      <c r="B1543" s="8"/>
      <c r="C1543" s="8"/>
      <c r="D1543" s="9"/>
      <c r="E1543" s="8"/>
      <c r="F1543" s="8"/>
      <c r="G1543" s="8"/>
      <c r="H1543" s="8"/>
      <c r="I1543" s="10"/>
      <c r="J1543" s="8"/>
    </row>
    <row r="1544" spans="1:10" x14ac:dyDescent="0.15">
      <c r="A1544" s="7"/>
      <c r="B1544" s="8"/>
      <c r="C1544" s="8"/>
      <c r="D1544" s="9"/>
      <c r="E1544" s="8"/>
      <c r="F1544" s="8"/>
      <c r="G1544" s="8"/>
      <c r="H1544" s="8"/>
      <c r="I1544" s="10"/>
      <c r="J1544" s="8"/>
    </row>
    <row r="1545" spans="1:10" x14ac:dyDescent="0.15">
      <c r="A1545" s="7"/>
      <c r="B1545" s="8"/>
      <c r="C1545" s="8"/>
      <c r="D1545" s="9"/>
      <c r="E1545" s="8"/>
      <c r="F1545" s="8"/>
      <c r="G1545" s="8"/>
      <c r="H1545" s="8"/>
      <c r="I1545" s="10"/>
      <c r="J1545" s="8"/>
    </row>
    <row r="1546" spans="1:10" x14ac:dyDescent="0.15">
      <c r="A1546" s="7"/>
      <c r="B1546" s="8"/>
      <c r="C1546" s="8"/>
      <c r="D1546" s="9"/>
      <c r="E1546" s="8"/>
      <c r="F1546" s="8"/>
      <c r="G1546" s="8"/>
      <c r="H1546" s="8"/>
      <c r="I1546" s="10"/>
      <c r="J1546" s="8"/>
    </row>
    <row r="1547" spans="1:10" x14ac:dyDescent="0.15">
      <c r="A1547" s="7"/>
      <c r="B1547" s="8"/>
      <c r="C1547" s="8"/>
      <c r="D1547" s="9"/>
      <c r="E1547" s="8"/>
      <c r="F1547" s="8"/>
      <c r="G1547" s="8"/>
      <c r="H1547" s="8"/>
      <c r="I1547" s="10"/>
      <c r="J1547" s="8"/>
    </row>
    <row r="1548" spans="1:10" x14ac:dyDescent="0.15">
      <c r="A1548" s="7"/>
      <c r="B1548" s="8"/>
      <c r="C1548" s="8"/>
      <c r="D1548" s="9"/>
      <c r="E1548" s="8"/>
      <c r="F1548" s="8"/>
      <c r="G1548" s="8"/>
      <c r="H1548" s="8"/>
      <c r="I1548" s="10"/>
      <c r="J1548" s="8"/>
    </row>
    <row r="1549" spans="1:10" x14ac:dyDescent="0.15">
      <c r="A1549" s="7"/>
      <c r="B1549" s="8"/>
      <c r="C1549" s="8"/>
      <c r="D1549" s="9"/>
      <c r="E1549" s="8"/>
      <c r="F1549" s="8"/>
      <c r="G1549" s="8"/>
      <c r="H1549" s="8"/>
      <c r="I1549" s="10"/>
      <c r="J1549" s="8"/>
    </row>
    <row r="1550" spans="1:10" x14ac:dyDescent="0.15">
      <c r="A1550" s="7"/>
      <c r="B1550" s="8"/>
      <c r="C1550" s="8"/>
      <c r="D1550" s="9"/>
      <c r="E1550" s="8"/>
      <c r="F1550" s="8"/>
      <c r="G1550" s="8"/>
      <c r="H1550" s="8"/>
      <c r="I1550" s="10"/>
      <c r="J1550" s="8"/>
    </row>
    <row r="1551" spans="1:10" x14ac:dyDescent="0.15">
      <c r="A1551" s="7"/>
      <c r="B1551" s="8"/>
      <c r="C1551" s="8"/>
      <c r="D1551" s="9"/>
      <c r="E1551" s="8"/>
      <c r="F1551" s="8"/>
      <c r="G1551" s="8"/>
      <c r="H1551" s="8"/>
      <c r="I1551" s="10"/>
      <c r="J1551" s="8"/>
    </row>
    <row r="1552" spans="1:10" x14ac:dyDescent="0.15">
      <c r="A1552" s="7"/>
      <c r="B1552" s="8"/>
      <c r="C1552" s="8"/>
      <c r="D1552" s="9"/>
      <c r="E1552" s="8"/>
      <c r="F1552" s="8"/>
      <c r="G1552" s="8"/>
      <c r="H1552" s="8"/>
      <c r="I1552" s="10"/>
      <c r="J1552" s="8"/>
    </row>
    <row r="1553" spans="1:10" x14ac:dyDescent="0.15">
      <c r="A1553" s="7"/>
      <c r="B1553" s="8"/>
      <c r="C1553" s="8"/>
      <c r="D1553" s="9"/>
      <c r="E1553" s="8"/>
      <c r="F1553" s="8"/>
      <c r="G1553" s="8"/>
      <c r="H1553" s="8"/>
      <c r="I1553" s="10"/>
      <c r="J1553" s="8"/>
    </row>
    <row r="1554" spans="1:10" x14ac:dyDescent="0.15">
      <c r="A1554" s="7"/>
      <c r="B1554" s="8"/>
      <c r="C1554" s="8"/>
      <c r="D1554" s="9"/>
      <c r="E1554" s="8"/>
      <c r="F1554" s="8"/>
      <c r="G1554" s="8"/>
      <c r="H1554" s="8"/>
      <c r="I1554" s="10"/>
      <c r="J1554" s="8"/>
    </row>
    <row r="1555" spans="1:10" x14ac:dyDescent="0.15">
      <c r="A1555" s="7"/>
      <c r="B1555" s="8"/>
      <c r="C1555" s="8"/>
      <c r="D1555" s="9"/>
      <c r="E1555" s="8"/>
      <c r="F1555" s="8"/>
      <c r="G1555" s="8"/>
      <c r="H1555" s="8"/>
      <c r="I1555" s="10"/>
      <c r="J1555" s="8"/>
    </row>
    <row r="1556" spans="1:10" x14ac:dyDescent="0.15">
      <c r="A1556" s="7"/>
      <c r="B1556" s="8"/>
      <c r="C1556" s="8"/>
      <c r="D1556" s="9"/>
      <c r="E1556" s="8"/>
      <c r="F1556" s="8"/>
      <c r="G1556" s="8"/>
      <c r="H1556" s="8"/>
      <c r="I1556" s="10"/>
      <c r="J1556" s="8"/>
    </row>
    <row r="1557" spans="1:10" x14ac:dyDescent="0.15">
      <c r="A1557" s="7"/>
      <c r="B1557" s="8"/>
      <c r="C1557" s="8"/>
      <c r="D1557" s="9"/>
      <c r="E1557" s="8"/>
      <c r="F1557" s="8"/>
      <c r="G1557" s="8"/>
      <c r="H1557" s="8"/>
      <c r="I1557" s="10"/>
      <c r="J1557" s="8"/>
    </row>
    <row r="1558" spans="1:10" x14ac:dyDescent="0.15">
      <c r="A1558" s="7"/>
      <c r="B1558" s="8"/>
      <c r="C1558" s="8"/>
      <c r="D1558" s="9"/>
      <c r="E1558" s="8"/>
      <c r="F1558" s="8"/>
      <c r="G1558" s="8"/>
      <c r="H1558" s="8"/>
      <c r="I1558" s="10"/>
      <c r="J1558" s="8"/>
    </row>
    <row r="1559" spans="1:10" x14ac:dyDescent="0.15">
      <c r="A1559" s="7"/>
      <c r="B1559" s="8"/>
      <c r="C1559" s="8"/>
      <c r="D1559" s="9"/>
      <c r="E1559" s="8"/>
      <c r="F1559" s="8"/>
      <c r="G1559" s="8"/>
      <c r="H1559" s="8"/>
      <c r="I1559" s="10"/>
      <c r="J1559" s="8"/>
    </row>
    <row r="1560" spans="1:10" x14ac:dyDescent="0.15">
      <c r="A1560" s="7"/>
      <c r="B1560" s="8"/>
      <c r="C1560" s="8"/>
      <c r="D1560" s="9"/>
      <c r="E1560" s="8"/>
      <c r="F1560" s="8"/>
      <c r="G1560" s="8"/>
      <c r="H1560" s="8"/>
      <c r="I1560" s="10"/>
      <c r="J1560" s="8"/>
    </row>
    <row r="1561" spans="1:10" x14ac:dyDescent="0.15">
      <c r="A1561" s="7"/>
      <c r="B1561" s="8"/>
      <c r="C1561" s="8"/>
      <c r="D1561" s="9"/>
      <c r="E1561" s="8"/>
      <c r="F1561" s="8"/>
      <c r="G1561" s="8"/>
      <c r="H1561" s="8"/>
      <c r="I1561" s="10"/>
      <c r="J1561" s="8"/>
    </row>
    <row r="1562" spans="1:10" x14ac:dyDescent="0.15">
      <c r="A1562" s="7"/>
      <c r="B1562" s="8"/>
      <c r="C1562" s="8"/>
      <c r="D1562" s="9"/>
      <c r="E1562" s="8"/>
      <c r="F1562" s="8"/>
      <c r="G1562" s="8"/>
      <c r="H1562" s="8"/>
      <c r="I1562" s="10"/>
      <c r="J1562" s="8"/>
    </row>
    <row r="1563" spans="1:10" x14ac:dyDescent="0.15">
      <c r="A1563" s="7"/>
      <c r="B1563" s="8"/>
      <c r="C1563" s="8"/>
      <c r="D1563" s="9"/>
      <c r="E1563" s="8"/>
      <c r="F1563" s="8"/>
      <c r="G1563" s="8"/>
      <c r="H1563" s="8"/>
      <c r="I1563" s="10"/>
      <c r="J1563" s="8"/>
    </row>
    <row r="1564" spans="1:10" x14ac:dyDescent="0.15">
      <c r="A1564" s="7"/>
      <c r="B1564" s="8"/>
      <c r="C1564" s="8"/>
      <c r="D1564" s="9"/>
      <c r="E1564" s="8"/>
      <c r="F1564" s="8"/>
      <c r="G1564" s="8"/>
      <c r="H1564" s="8"/>
      <c r="I1564" s="10"/>
      <c r="J1564" s="8"/>
    </row>
    <row r="1565" spans="1:10" x14ac:dyDescent="0.15">
      <c r="A1565" s="7"/>
      <c r="B1565" s="8"/>
      <c r="C1565" s="8"/>
      <c r="D1565" s="9"/>
      <c r="E1565" s="8"/>
      <c r="F1565" s="8"/>
      <c r="G1565" s="8"/>
      <c r="H1565" s="8"/>
      <c r="I1565" s="10"/>
      <c r="J1565" s="8"/>
    </row>
    <row r="1566" spans="1:10" x14ac:dyDescent="0.15">
      <c r="A1566" s="7"/>
      <c r="B1566" s="8"/>
      <c r="C1566" s="8"/>
      <c r="D1566" s="9"/>
      <c r="E1566" s="8"/>
      <c r="F1566" s="8"/>
      <c r="G1566" s="8"/>
      <c r="H1566" s="8"/>
      <c r="I1566" s="10"/>
      <c r="J1566" s="8"/>
    </row>
    <row r="1567" spans="1:10" x14ac:dyDescent="0.15">
      <c r="A1567" s="7"/>
      <c r="B1567" s="8"/>
      <c r="C1567" s="8"/>
      <c r="D1567" s="9"/>
      <c r="E1567" s="8"/>
      <c r="F1567" s="8"/>
      <c r="G1567" s="8"/>
      <c r="H1567" s="8"/>
      <c r="I1567" s="10"/>
      <c r="J1567" s="8"/>
    </row>
    <row r="1568" spans="1:10" x14ac:dyDescent="0.15">
      <c r="A1568" s="7"/>
      <c r="B1568" s="8"/>
      <c r="C1568" s="8"/>
      <c r="D1568" s="9"/>
      <c r="E1568" s="8"/>
      <c r="F1568" s="8"/>
      <c r="G1568" s="8"/>
      <c r="H1568" s="8"/>
      <c r="I1568" s="10"/>
      <c r="J1568" s="8"/>
    </row>
    <row r="1569" spans="1:10" x14ac:dyDescent="0.15">
      <c r="A1569" s="7"/>
      <c r="B1569" s="8"/>
      <c r="C1569" s="8"/>
      <c r="D1569" s="9"/>
      <c r="E1569" s="8"/>
      <c r="F1569" s="8"/>
      <c r="G1569" s="8"/>
      <c r="H1569" s="8"/>
      <c r="I1569" s="10"/>
      <c r="J1569" s="8"/>
    </row>
    <row r="1570" spans="1:10" x14ac:dyDescent="0.15">
      <c r="A1570" s="7"/>
      <c r="B1570" s="8"/>
      <c r="C1570" s="8"/>
      <c r="D1570" s="9"/>
      <c r="E1570" s="8"/>
      <c r="F1570" s="8"/>
      <c r="G1570" s="8"/>
      <c r="H1570" s="8"/>
      <c r="I1570" s="10"/>
      <c r="J1570" s="8"/>
    </row>
    <row r="1571" spans="1:10" x14ac:dyDescent="0.15">
      <c r="A1571" s="7"/>
      <c r="B1571" s="8"/>
      <c r="C1571" s="8"/>
      <c r="D1571" s="9"/>
      <c r="E1571" s="8"/>
      <c r="F1571" s="8"/>
      <c r="G1571" s="8"/>
      <c r="H1571" s="8"/>
      <c r="I1571" s="10"/>
      <c r="J1571" s="8"/>
    </row>
    <row r="1572" spans="1:10" x14ac:dyDescent="0.15">
      <c r="A1572" s="7"/>
      <c r="B1572" s="8"/>
      <c r="C1572" s="8"/>
      <c r="D1572" s="9"/>
      <c r="E1572" s="8"/>
      <c r="F1572" s="8"/>
      <c r="G1572" s="8"/>
      <c r="H1572" s="8"/>
      <c r="I1572" s="10"/>
      <c r="J1572" s="8"/>
    </row>
    <row r="1573" spans="1:10" x14ac:dyDescent="0.15">
      <c r="A1573" s="7"/>
      <c r="B1573" s="8"/>
      <c r="C1573" s="8"/>
      <c r="D1573" s="9"/>
      <c r="E1573" s="8"/>
      <c r="F1573" s="8"/>
      <c r="G1573" s="8"/>
      <c r="H1573" s="8"/>
      <c r="I1573" s="10"/>
      <c r="J1573" s="8"/>
    </row>
    <row r="1574" spans="1:10" x14ac:dyDescent="0.15">
      <c r="A1574" s="7"/>
      <c r="B1574" s="8"/>
      <c r="C1574" s="8"/>
      <c r="D1574" s="9"/>
      <c r="E1574" s="8"/>
      <c r="F1574" s="8"/>
      <c r="G1574" s="8"/>
      <c r="H1574" s="8"/>
      <c r="I1574" s="10"/>
      <c r="J1574" s="8"/>
    </row>
    <row r="1575" spans="1:10" x14ac:dyDescent="0.15">
      <c r="A1575" s="7"/>
      <c r="B1575" s="8"/>
      <c r="C1575" s="8"/>
      <c r="D1575" s="9"/>
      <c r="E1575" s="8"/>
      <c r="F1575" s="8"/>
      <c r="G1575" s="8"/>
      <c r="H1575" s="8"/>
      <c r="I1575" s="10"/>
      <c r="J1575" s="8"/>
    </row>
    <row r="1576" spans="1:10" x14ac:dyDescent="0.15">
      <c r="A1576" s="7"/>
      <c r="B1576" s="8"/>
      <c r="C1576" s="8"/>
      <c r="D1576" s="9"/>
      <c r="E1576" s="8"/>
      <c r="F1576" s="8"/>
      <c r="G1576" s="8"/>
      <c r="H1576" s="8"/>
      <c r="I1576" s="10"/>
      <c r="J1576" s="8"/>
    </row>
    <row r="1577" spans="1:10" x14ac:dyDescent="0.15">
      <c r="A1577" s="7"/>
      <c r="B1577" s="8"/>
      <c r="C1577" s="8"/>
      <c r="D1577" s="9"/>
      <c r="E1577" s="8"/>
      <c r="F1577" s="8"/>
      <c r="G1577" s="8"/>
      <c r="H1577" s="8"/>
      <c r="I1577" s="10"/>
      <c r="J1577" s="8"/>
    </row>
    <row r="1578" spans="1:10" x14ac:dyDescent="0.15">
      <c r="A1578" s="7"/>
      <c r="B1578" s="8"/>
      <c r="C1578" s="8"/>
      <c r="D1578" s="9"/>
      <c r="E1578" s="8"/>
      <c r="F1578" s="8"/>
      <c r="G1578" s="8"/>
      <c r="H1578" s="8"/>
      <c r="I1578" s="10"/>
      <c r="J1578" s="8"/>
    </row>
    <row r="1579" spans="1:10" x14ac:dyDescent="0.15">
      <c r="A1579" s="7"/>
      <c r="B1579" s="8"/>
      <c r="C1579" s="8"/>
      <c r="D1579" s="9"/>
      <c r="E1579" s="8"/>
      <c r="F1579" s="8"/>
      <c r="G1579" s="8"/>
      <c r="H1579" s="8"/>
      <c r="I1579" s="10"/>
      <c r="J1579" s="8"/>
    </row>
    <row r="1580" spans="1:10" x14ac:dyDescent="0.15">
      <c r="A1580" s="7"/>
      <c r="B1580" s="8"/>
      <c r="C1580" s="8"/>
      <c r="D1580" s="9"/>
      <c r="E1580" s="8"/>
      <c r="F1580" s="8"/>
      <c r="G1580" s="8"/>
      <c r="H1580" s="8"/>
      <c r="I1580" s="10"/>
      <c r="J1580" s="8"/>
    </row>
    <row r="1581" spans="1:10" x14ac:dyDescent="0.15">
      <c r="A1581" s="7"/>
      <c r="B1581" s="8"/>
      <c r="C1581" s="8"/>
      <c r="D1581" s="9"/>
      <c r="E1581" s="8"/>
      <c r="F1581" s="8"/>
      <c r="G1581" s="8"/>
      <c r="H1581" s="8"/>
      <c r="I1581" s="10"/>
      <c r="J1581" s="8"/>
    </row>
    <row r="1582" spans="1:10" x14ac:dyDescent="0.15">
      <c r="A1582" s="7"/>
      <c r="B1582" s="8"/>
      <c r="C1582" s="8"/>
      <c r="D1582" s="9"/>
      <c r="E1582" s="8"/>
      <c r="F1582" s="8"/>
      <c r="G1582" s="8"/>
      <c r="H1582" s="8"/>
      <c r="I1582" s="10"/>
      <c r="J1582" s="8"/>
    </row>
    <row r="1583" spans="1:10" x14ac:dyDescent="0.15">
      <c r="A1583" s="7"/>
      <c r="B1583" s="8"/>
      <c r="C1583" s="8"/>
      <c r="D1583" s="9"/>
      <c r="E1583" s="8"/>
      <c r="F1583" s="8"/>
      <c r="G1583" s="8"/>
      <c r="H1583" s="8"/>
      <c r="I1583" s="10"/>
      <c r="J1583" s="8"/>
    </row>
    <row r="1584" spans="1:10" x14ac:dyDescent="0.15">
      <c r="A1584" s="7"/>
      <c r="B1584" s="8"/>
      <c r="C1584" s="8"/>
      <c r="D1584" s="9"/>
      <c r="E1584" s="8"/>
      <c r="F1584" s="8"/>
      <c r="G1584" s="8"/>
      <c r="H1584" s="8"/>
      <c r="I1584" s="10"/>
      <c r="J1584" s="8"/>
    </row>
    <row r="1585" spans="1:10" x14ac:dyDescent="0.15">
      <c r="A1585" s="7"/>
      <c r="B1585" s="8"/>
      <c r="C1585" s="8"/>
      <c r="D1585" s="9"/>
      <c r="E1585" s="8"/>
      <c r="F1585" s="8"/>
      <c r="G1585" s="8"/>
      <c r="H1585" s="8"/>
      <c r="I1585" s="10"/>
      <c r="J1585" s="8"/>
    </row>
    <row r="1586" spans="1:10" x14ac:dyDescent="0.15">
      <c r="A1586" s="7"/>
      <c r="B1586" s="8"/>
      <c r="C1586" s="8"/>
      <c r="D1586" s="9"/>
      <c r="E1586" s="8"/>
      <c r="F1586" s="8"/>
      <c r="G1586" s="8"/>
      <c r="H1586" s="8"/>
      <c r="I1586" s="10"/>
      <c r="J1586" s="8"/>
    </row>
    <row r="1587" spans="1:10" x14ac:dyDescent="0.15">
      <c r="A1587" s="7"/>
      <c r="B1587" s="8"/>
      <c r="C1587" s="8"/>
      <c r="D1587" s="9"/>
      <c r="E1587" s="8"/>
      <c r="F1587" s="8"/>
      <c r="G1587" s="8"/>
      <c r="H1587" s="8"/>
      <c r="I1587" s="10"/>
      <c r="J1587" s="8"/>
    </row>
    <row r="1588" spans="1:10" x14ac:dyDescent="0.15">
      <c r="A1588" s="7"/>
      <c r="B1588" s="8"/>
      <c r="C1588" s="8"/>
      <c r="D1588" s="9"/>
      <c r="E1588" s="8"/>
      <c r="F1588" s="8"/>
      <c r="G1588" s="8"/>
      <c r="H1588" s="8"/>
      <c r="I1588" s="10"/>
      <c r="J1588" s="8"/>
    </row>
    <row r="1589" spans="1:10" x14ac:dyDescent="0.15">
      <c r="A1589" s="7"/>
      <c r="B1589" s="8"/>
      <c r="C1589" s="8"/>
      <c r="D1589" s="9"/>
      <c r="E1589" s="8"/>
      <c r="F1589" s="8"/>
      <c r="G1589" s="8"/>
      <c r="H1589" s="8"/>
      <c r="I1589" s="10"/>
      <c r="J1589" s="8"/>
    </row>
    <row r="1590" spans="1:10" x14ac:dyDescent="0.15">
      <c r="A1590" s="7"/>
      <c r="B1590" s="8"/>
      <c r="C1590" s="8"/>
      <c r="D1590" s="9"/>
      <c r="E1590" s="8"/>
      <c r="F1590" s="8"/>
      <c r="G1590" s="8"/>
      <c r="H1590" s="8"/>
      <c r="I1590" s="10"/>
      <c r="J1590" s="8"/>
    </row>
    <row r="1591" spans="1:10" x14ac:dyDescent="0.15">
      <c r="A1591" s="7"/>
      <c r="B1591" s="8"/>
      <c r="C1591" s="8"/>
      <c r="D1591" s="9"/>
      <c r="E1591" s="8"/>
      <c r="F1591" s="8"/>
      <c r="G1591" s="8"/>
      <c r="H1591" s="8"/>
      <c r="I1591" s="10"/>
      <c r="J1591" s="8"/>
    </row>
    <row r="1592" spans="1:10" x14ac:dyDescent="0.15">
      <c r="A1592" s="7"/>
      <c r="B1592" s="8"/>
      <c r="C1592" s="8"/>
      <c r="D1592" s="9"/>
      <c r="E1592" s="8"/>
      <c r="F1592" s="8"/>
      <c r="G1592" s="8"/>
      <c r="H1592" s="8"/>
      <c r="I1592" s="10"/>
      <c r="J1592" s="8"/>
    </row>
    <row r="1593" spans="1:10" x14ac:dyDescent="0.15">
      <c r="A1593" s="7"/>
      <c r="B1593" s="8"/>
      <c r="C1593" s="8"/>
      <c r="D1593" s="9"/>
      <c r="E1593" s="8"/>
      <c r="F1593" s="8"/>
      <c r="G1593" s="8"/>
      <c r="H1593" s="8"/>
      <c r="I1593" s="10"/>
      <c r="J1593" s="8"/>
    </row>
    <row r="1594" spans="1:10" x14ac:dyDescent="0.15">
      <c r="A1594" s="7"/>
      <c r="B1594" s="8"/>
      <c r="C1594" s="8"/>
      <c r="D1594" s="9"/>
      <c r="E1594" s="8"/>
      <c r="F1594" s="8"/>
      <c r="G1594" s="8"/>
      <c r="H1594" s="8"/>
      <c r="I1594" s="10"/>
      <c r="J1594" s="8"/>
    </row>
    <row r="1595" spans="1:10" x14ac:dyDescent="0.15">
      <c r="A1595" s="7"/>
      <c r="B1595" s="8"/>
      <c r="C1595" s="8"/>
      <c r="D1595" s="9"/>
      <c r="E1595" s="8"/>
      <c r="F1595" s="8"/>
      <c r="G1595" s="8"/>
      <c r="H1595" s="8"/>
      <c r="I1595" s="10"/>
      <c r="J1595" s="8"/>
    </row>
    <row r="1596" spans="1:10" x14ac:dyDescent="0.15">
      <c r="A1596" s="7"/>
      <c r="B1596" s="8"/>
      <c r="C1596" s="8"/>
      <c r="D1596" s="9"/>
      <c r="E1596" s="8"/>
      <c r="F1596" s="8"/>
      <c r="G1596" s="8"/>
      <c r="H1596" s="8"/>
      <c r="I1596" s="10"/>
      <c r="J1596" s="8"/>
    </row>
    <row r="1597" spans="1:10" x14ac:dyDescent="0.15">
      <c r="A1597" s="7"/>
      <c r="B1597" s="8"/>
      <c r="C1597" s="8"/>
      <c r="D1597" s="9"/>
      <c r="E1597" s="8"/>
      <c r="F1597" s="8"/>
      <c r="G1597" s="8"/>
      <c r="H1597" s="8"/>
      <c r="I1597" s="10"/>
      <c r="J1597" s="8"/>
    </row>
    <row r="1598" spans="1:10" x14ac:dyDescent="0.15">
      <c r="A1598" s="7"/>
      <c r="B1598" s="8"/>
      <c r="C1598" s="8"/>
      <c r="D1598" s="9"/>
      <c r="E1598" s="8"/>
      <c r="F1598" s="8"/>
      <c r="G1598" s="8"/>
      <c r="H1598" s="8"/>
      <c r="I1598" s="10"/>
      <c r="J1598" s="8"/>
    </row>
    <row r="1599" spans="1:10" x14ac:dyDescent="0.15">
      <c r="A1599" s="7"/>
      <c r="B1599" s="8"/>
      <c r="C1599" s="8"/>
      <c r="D1599" s="9"/>
      <c r="E1599" s="8"/>
      <c r="F1599" s="8"/>
      <c r="G1599" s="8"/>
      <c r="H1599" s="8"/>
      <c r="I1599" s="10"/>
      <c r="J1599" s="8"/>
    </row>
    <row r="1600" spans="1:10" x14ac:dyDescent="0.15">
      <c r="A1600" s="7"/>
      <c r="B1600" s="8"/>
      <c r="C1600" s="8"/>
      <c r="D1600" s="9"/>
      <c r="E1600" s="8"/>
      <c r="F1600" s="8"/>
      <c r="G1600" s="8"/>
      <c r="H1600" s="8"/>
      <c r="I1600" s="10"/>
      <c r="J1600" s="8"/>
    </row>
    <row r="1601" spans="1:10" x14ac:dyDescent="0.15">
      <c r="A1601" s="7"/>
      <c r="B1601" s="8"/>
      <c r="C1601" s="8"/>
      <c r="D1601" s="9"/>
      <c r="E1601" s="8"/>
      <c r="F1601" s="8"/>
      <c r="G1601" s="8"/>
      <c r="H1601" s="8"/>
      <c r="I1601" s="10"/>
      <c r="J1601" s="8"/>
    </row>
    <row r="1602" spans="1:10" x14ac:dyDescent="0.15">
      <c r="A1602" s="7"/>
      <c r="B1602" s="8"/>
      <c r="C1602" s="8"/>
      <c r="D1602" s="9"/>
      <c r="E1602" s="8"/>
      <c r="F1602" s="8"/>
      <c r="G1602" s="8"/>
      <c r="H1602" s="8"/>
      <c r="I1602" s="10"/>
      <c r="J1602" s="8"/>
    </row>
    <row r="1603" spans="1:10" x14ac:dyDescent="0.15">
      <c r="A1603" s="7"/>
      <c r="B1603" s="8"/>
      <c r="C1603" s="8"/>
      <c r="D1603" s="9"/>
      <c r="E1603" s="8"/>
      <c r="F1603" s="8"/>
      <c r="G1603" s="8"/>
      <c r="H1603" s="8"/>
      <c r="I1603" s="10"/>
      <c r="J1603" s="8"/>
    </row>
    <row r="1604" spans="1:10" x14ac:dyDescent="0.15">
      <c r="A1604" s="7"/>
      <c r="B1604" s="8"/>
      <c r="C1604" s="8"/>
      <c r="D1604" s="9"/>
      <c r="E1604" s="8"/>
      <c r="F1604" s="8"/>
      <c r="G1604" s="8"/>
      <c r="H1604" s="8"/>
      <c r="I1604" s="10"/>
      <c r="J1604" s="8"/>
    </row>
    <row r="1605" spans="1:10" x14ac:dyDescent="0.15">
      <c r="A1605" s="7"/>
      <c r="B1605" s="8"/>
      <c r="C1605" s="8"/>
      <c r="D1605" s="9"/>
      <c r="E1605" s="8"/>
      <c r="F1605" s="8"/>
      <c r="G1605" s="8"/>
      <c r="H1605" s="8"/>
      <c r="I1605" s="10"/>
      <c r="J1605" s="8"/>
    </row>
    <row r="1606" spans="1:10" x14ac:dyDescent="0.15">
      <c r="A1606" s="7"/>
      <c r="B1606" s="8"/>
      <c r="C1606" s="8"/>
      <c r="D1606" s="9"/>
      <c r="E1606" s="8"/>
      <c r="F1606" s="8"/>
      <c r="G1606" s="8"/>
      <c r="H1606" s="8"/>
      <c r="I1606" s="10"/>
      <c r="J1606" s="8"/>
    </row>
    <row r="1607" spans="1:10" x14ac:dyDescent="0.15">
      <c r="A1607" s="7"/>
      <c r="B1607" s="8"/>
      <c r="C1607" s="8"/>
      <c r="D1607" s="9"/>
      <c r="E1607" s="8"/>
      <c r="F1607" s="8"/>
      <c r="G1607" s="8"/>
      <c r="H1607" s="8"/>
      <c r="I1607" s="10"/>
      <c r="J1607" s="8"/>
    </row>
    <row r="1608" spans="1:10" x14ac:dyDescent="0.15">
      <c r="A1608" s="7"/>
      <c r="B1608" s="8"/>
      <c r="C1608" s="8"/>
      <c r="D1608" s="9"/>
      <c r="E1608" s="8"/>
      <c r="F1608" s="8"/>
      <c r="G1608" s="8"/>
      <c r="H1608" s="8"/>
      <c r="I1608" s="10"/>
      <c r="J1608" s="8"/>
    </row>
    <row r="1609" spans="1:10" x14ac:dyDescent="0.15">
      <c r="A1609" s="7"/>
      <c r="B1609" s="8"/>
      <c r="C1609" s="8"/>
      <c r="D1609" s="9"/>
      <c r="E1609" s="8"/>
      <c r="F1609" s="8"/>
      <c r="G1609" s="8"/>
      <c r="H1609" s="8"/>
      <c r="I1609" s="10"/>
      <c r="J1609" s="8"/>
    </row>
    <row r="1610" spans="1:10" x14ac:dyDescent="0.15">
      <c r="A1610" s="7"/>
      <c r="B1610" s="8"/>
      <c r="C1610" s="8"/>
      <c r="D1610" s="9"/>
      <c r="E1610" s="8"/>
      <c r="F1610" s="8"/>
      <c r="G1610" s="8"/>
      <c r="H1610" s="8"/>
      <c r="I1610" s="10"/>
      <c r="J1610" s="8"/>
    </row>
    <row r="1611" spans="1:10" x14ac:dyDescent="0.15">
      <c r="A1611" s="7"/>
      <c r="B1611" s="8"/>
      <c r="C1611" s="8"/>
      <c r="D1611" s="9"/>
      <c r="E1611" s="8"/>
      <c r="F1611" s="8"/>
      <c r="G1611" s="8"/>
      <c r="H1611" s="8"/>
      <c r="I1611" s="10"/>
      <c r="J1611" s="8"/>
    </row>
    <row r="1612" spans="1:10" x14ac:dyDescent="0.15">
      <c r="A1612" s="7"/>
      <c r="B1612" s="8"/>
      <c r="C1612" s="8"/>
      <c r="D1612" s="9"/>
      <c r="E1612" s="8"/>
      <c r="F1612" s="8"/>
      <c r="G1612" s="8"/>
      <c r="H1612" s="8"/>
      <c r="I1612" s="10"/>
      <c r="J1612" s="8"/>
    </row>
    <row r="1613" spans="1:10" x14ac:dyDescent="0.15">
      <c r="A1613" s="7"/>
      <c r="B1613" s="8"/>
      <c r="C1613" s="8"/>
      <c r="D1613" s="9"/>
      <c r="E1613" s="8"/>
      <c r="F1613" s="8"/>
      <c r="G1613" s="8"/>
      <c r="H1613" s="8"/>
      <c r="I1613" s="10"/>
      <c r="J1613" s="8"/>
    </row>
    <row r="1614" spans="1:10" x14ac:dyDescent="0.15">
      <c r="A1614" s="7"/>
      <c r="B1614" s="8"/>
      <c r="C1614" s="8"/>
      <c r="D1614" s="9"/>
      <c r="E1614" s="8"/>
      <c r="F1614" s="8"/>
      <c r="G1614" s="8"/>
      <c r="H1614" s="8"/>
      <c r="I1614" s="10"/>
      <c r="J1614" s="8"/>
    </row>
    <row r="1615" spans="1:10" x14ac:dyDescent="0.15">
      <c r="A1615" s="7"/>
      <c r="B1615" s="8"/>
      <c r="C1615" s="8"/>
      <c r="D1615" s="9"/>
      <c r="E1615" s="8"/>
      <c r="F1615" s="8"/>
      <c r="G1615" s="8"/>
      <c r="H1615" s="8"/>
      <c r="I1615" s="10"/>
      <c r="J1615" s="8"/>
    </row>
    <row r="1616" spans="1:10" x14ac:dyDescent="0.15">
      <c r="A1616" s="7"/>
      <c r="B1616" s="8"/>
      <c r="C1616" s="8"/>
      <c r="D1616" s="9"/>
      <c r="E1616" s="8"/>
      <c r="F1616" s="8"/>
      <c r="G1616" s="8"/>
      <c r="H1616" s="8"/>
      <c r="I1616" s="10"/>
      <c r="J1616" s="8"/>
    </row>
    <row r="1617" spans="1:10" x14ac:dyDescent="0.15">
      <c r="A1617" s="7"/>
      <c r="B1617" s="8"/>
      <c r="C1617" s="8"/>
      <c r="D1617" s="9"/>
      <c r="E1617" s="8"/>
      <c r="F1617" s="8"/>
      <c r="G1617" s="8"/>
      <c r="H1617" s="8"/>
      <c r="I1617" s="10"/>
      <c r="J1617" s="8"/>
    </row>
    <row r="1618" spans="1:10" x14ac:dyDescent="0.15">
      <c r="A1618" s="7"/>
      <c r="B1618" s="8"/>
      <c r="C1618" s="8"/>
      <c r="D1618" s="9"/>
      <c r="E1618" s="8"/>
      <c r="F1618" s="8"/>
      <c r="G1618" s="8"/>
      <c r="H1618" s="8"/>
      <c r="I1618" s="10"/>
      <c r="J1618" s="8"/>
    </row>
    <row r="1619" spans="1:10" x14ac:dyDescent="0.15">
      <c r="A1619" s="7"/>
      <c r="B1619" s="8"/>
      <c r="C1619" s="8"/>
      <c r="D1619" s="9"/>
      <c r="E1619" s="8"/>
      <c r="F1619" s="8"/>
      <c r="G1619" s="8"/>
      <c r="H1619" s="8"/>
      <c r="I1619" s="10"/>
      <c r="J1619" s="8"/>
    </row>
    <row r="1620" spans="1:10" x14ac:dyDescent="0.15">
      <c r="A1620" s="7"/>
      <c r="B1620" s="8"/>
      <c r="C1620" s="8"/>
      <c r="D1620" s="9"/>
      <c r="E1620" s="8"/>
      <c r="F1620" s="8"/>
      <c r="G1620" s="8"/>
      <c r="H1620" s="8"/>
      <c r="I1620" s="10"/>
      <c r="J1620" s="8"/>
    </row>
    <row r="1621" spans="1:10" x14ac:dyDescent="0.15">
      <c r="A1621" s="7"/>
      <c r="B1621" s="8"/>
      <c r="C1621" s="8"/>
      <c r="D1621" s="9"/>
      <c r="E1621" s="8"/>
      <c r="F1621" s="8"/>
      <c r="G1621" s="8"/>
      <c r="H1621" s="8"/>
      <c r="I1621" s="10"/>
      <c r="J1621" s="8"/>
    </row>
    <row r="1622" spans="1:10" x14ac:dyDescent="0.15">
      <c r="A1622" s="7"/>
      <c r="B1622" s="8"/>
      <c r="C1622" s="8"/>
      <c r="D1622" s="9"/>
      <c r="E1622" s="8"/>
      <c r="F1622" s="8"/>
      <c r="G1622" s="8"/>
      <c r="H1622" s="8"/>
      <c r="I1622" s="10"/>
      <c r="J1622" s="8"/>
    </row>
    <row r="1623" spans="1:10" x14ac:dyDescent="0.15">
      <c r="A1623" s="7"/>
      <c r="B1623" s="8"/>
      <c r="C1623" s="8"/>
      <c r="D1623" s="9"/>
      <c r="E1623" s="8"/>
      <c r="F1623" s="8"/>
      <c r="G1623" s="8"/>
      <c r="H1623" s="8"/>
      <c r="I1623" s="10"/>
      <c r="J1623" s="8"/>
    </row>
    <row r="1624" spans="1:10" x14ac:dyDescent="0.15">
      <c r="A1624" s="7"/>
      <c r="B1624" s="8"/>
      <c r="C1624" s="8"/>
      <c r="D1624" s="9"/>
      <c r="E1624" s="8"/>
      <c r="F1624" s="8"/>
      <c r="G1624" s="8"/>
      <c r="H1624" s="8"/>
      <c r="I1624" s="10"/>
      <c r="J1624" s="8"/>
    </row>
    <row r="1625" spans="1:10" x14ac:dyDescent="0.15">
      <c r="A1625" s="7"/>
      <c r="B1625" s="8"/>
      <c r="C1625" s="8"/>
      <c r="D1625" s="9"/>
      <c r="E1625" s="8"/>
      <c r="F1625" s="8"/>
      <c r="G1625" s="8"/>
      <c r="H1625" s="8"/>
      <c r="I1625" s="10"/>
      <c r="J1625" s="8"/>
    </row>
    <row r="1626" spans="1:10" x14ac:dyDescent="0.15">
      <c r="A1626" s="7"/>
      <c r="B1626" s="8"/>
      <c r="C1626" s="8"/>
      <c r="D1626" s="9"/>
      <c r="E1626" s="8"/>
      <c r="F1626" s="8"/>
      <c r="G1626" s="8"/>
      <c r="H1626" s="8"/>
      <c r="I1626" s="10"/>
      <c r="J1626" s="8"/>
    </row>
    <row r="1627" spans="1:10" x14ac:dyDescent="0.15">
      <c r="A1627" s="7"/>
      <c r="B1627" s="8"/>
      <c r="C1627" s="8"/>
      <c r="D1627" s="9"/>
      <c r="E1627" s="8"/>
      <c r="F1627" s="8"/>
      <c r="G1627" s="8"/>
      <c r="H1627" s="8"/>
      <c r="I1627" s="10"/>
      <c r="J1627" s="8"/>
    </row>
    <row r="1628" spans="1:10" x14ac:dyDescent="0.15">
      <c r="A1628" s="7"/>
      <c r="B1628" s="8"/>
      <c r="C1628" s="8"/>
      <c r="D1628" s="9"/>
      <c r="E1628" s="8"/>
      <c r="F1628" s="8"/>
      <c r="G1628" s="8"/>
      <c r="H1628" s="8"/>
      <c r="I1628" s="10"/>
      <c r="J1628" s="8"/>
    </row>
    <row r="1629" spans="1:10" x14ac:dyDescent="0.15">
      <c r="A1629" s="7"/>
      <c r="B1629" s="8"/>
      <c r="C1629" s="8"/>
      <c r="D1629" s="9"/>
      <c r="E1629" s="8"/>
      <c r="F1629" s="8"/>
      <c r="G1629" s="8"/>
      <c r="H1629" s="8"/>
      <c r="I1629" s="10"/>
      <c r="J1629" s="8"/>
    </row>
    <row r="1630" spans="1:10" x14ac:dyDescent="0.15">
      <c r="A1630" s="7"/>
      <c r="B1630" s="8"/>
      <c r="C1630" s="8"/>
      <c r="D1630" s="9"/>
      <c r="E1630" s="8"/>
      <c r="F1630" s="8"/>
      <c r="G1630" s="8"/>
      <c r="H1630" s="8"/>
      <c r="I1630" s="10"/>
      <c r="J1630" s="8"/>
    </row>
    <row r="1631" spans="1:10" x14ac:dyDescent="0.15">
      <c r="A1631" s="7"/>
      <c r="B1631" s="8"/>
      <c r="C1631" s="8"/>
      <c r="D1631" s="9"/>
      <c r="E1631" s="8"/>
      <c r="F1631" s="8"/>
      <c r="G1631" s="8"/>
      <c r="H1631" s="8"/>
      <c r="I1631" s="10"/>
      <c r="J1631" s="8"/>
    </row>
    <row r="1632" spans="1:10" x14ac:dyDescent="0.15">
      <c r="A1632" s="7"/>
      <c r="B1632" s="8"/>
      <c r="C1632" s="8"/>
      <c r="D1632" s="9"/>
      <c r="E1632" s="8"/>
      <c r="F1632" s="8"/>
      <c r="G1632" s="8"/>
      <c r="H1632" s="8"/>
      <c r="I1632" s="10"/>
      <c r="J1632" s="8"/>
    </row>
    <row r="1633" spans="1:10" x14ac:dyDescent="0.15">
      <c r="A1633" s="7"/>
      <c r="B1633" s="8"/>
      <c r="C1633" s="8"/>
      <c r="D1633" s="9"/>
      <c r="E1633" s="8"/>
      <c r="F1633" s="8"/>
      <c r="G1633" s="8"/>
      <c r="H1633" s="8"/>
      <c r="I1633" s="10"/>
      <c r="J1633" s="8"/>
    </row>
    <row r="1634" spans="1:10" x14ac:dyDescent="0.15">
      <c r="A1634" s="7"/>
      <c r="B1634" s="8"/>
      <c r="C1634" s="8"/>
      <c r="D1634" s="9"/>
      <c r="E1634" s="8"/>
      <c r="F1634" s="8"/>
      <c r="G1634" s="8"/>
      <c r="H1634" s="8"/>
      <c r="I1634" s="10"/>
      <c r="J1634" s="8"/>
    </row>
    <row r="1635" spans="1:10" x14ac:dyDescent="0.15">
      <c r="A1635" s="7"/>
      <c r="B1635" s="8"/>
      <c r="C1635" s="8"/>
      <c r="D1635" s="9"/>
      <c r="E1635" s="8"/>
      <c r="F1635" s="8"/>
      <c r="G1635" s="8"/>
      <c r="H1635" s="8"/>
      <c r="I1635" s="10"/>
      <c r="J1635" s="8"/>
    </row>
    <row r="1636" spans="1:10" x14ac:dyDescent="0.15">
      <c r="A1636" s="7"/>
      <c r="B1636" s="8"/>
      <c r="C1636" s="8"/>
      <c r="D1636" s="9"/>
      <c r="E1636" s="8"/>
      <c r="F1636" s="8"/>
      <c r="G1636" s="8"/>
      <c r="H1636" s="8"/>
      <c r="I1636" s="10"/>
      <c r="J1636" s="8"/>
    </row>
    <row r="1637" spans="1:10" x14ac:dyDescent="0.15">
      <c r="A1637" s="7"/>
      <c r="B1637" s="8"/>
      <c r="C1637" s="8"/>
      <c r="D1637" s="9"/>
      <c r="E1637" s="8"/>
      <c r="F1637" s="8"/>
      <c r="G1637" s="8"/>
      <c r="H1637" s="8"/>
      <c r="I1637" s="10"/>
      <c r="J1637" s="8"/>
    </row>
    <row r="1638" spans="1:10" x14ac:dyDescent="0.15">
      <c r="A1638" s="7"/>
      <c r="B1638" s="8"/>
      <c r="C1638" s="8"/>
      <c r="D1638" s="9"/>
      <c r="E1638" s="8"/>
      <c r="F1638" s="8"/>
      <c r="G1638" s="8"/>
      <c r="H1638" s="8"/>
      <c r="I1638" s="10"/>
      <c r="J1638" s="8"/>
    </row>
    <row r="1639" spans="1:10" x14ac:dyDescent="0.15">
      <c r="A1639" s="7"/>
      <c r="B1639" s="8"/>
      <c r="C1639" s="8"/>
      <c r="D1639" s="9"/>
      <c r="E1639" s="8"/>
      <c r="F1639" s="8"/>
      <c r="G1639" s="8"/>
      <c r="H1639" s="8"/>
      <c r="I1639" s="10"/>
      <c r="J1639" s="8"/>
    </row>
    <row r="1640" spans="1:10" x14ac:dyDescent="0.15">
      <c r="A1640" s="7"/>
      <c r="B1640" s="8"/>
      <c r="C1640" s="8"/>
      <c r="D1640" s="9"/>
      <c r="E1640" s="8"/>
      <c r="F1640" s="8"/>
      <c r="G1640" s="8"/>
      <c r="H1640" s="8"/>
      <c r="I1640" s="10"/>
      <c r="J1640" s="8"/>
    </row>
    <row r="1641" spans="1:10" x14ac:dyDescent="0.15">
      <c r="A1641" s="7"/>
      <c r="B1641" s="8"/>
      <c r="C1641" s="8"/>
      <c r="D1641" s="9"/>
      <c r="E1641" s="8"/>
      <c r="F1641" s="8"/>
      <c r="G1641" s="8"/>
      <c r="H1641" s="8"/>
      <c r="I1641" s="10"/>
      <c r="J1641" s="8"/>
    </row>
    <row r="1642" spans="1:10" x14ac:dyDescent="0.15">
      <c r="A1642" s="7"/>
      <c r="B1642" s="8"/>
      <c r="C1642" s="8"/>
      <c r="D1642" s="9"/>
      <c r="E1642" s="8"/>
      <c r="F1642" s="8"/>
      <c r="G1642" s="8"/>
      <c r="H1642" s="8"/>
      <c r="I1642" s="10"/>
      <c r="J1642" s="8"/>
    </row>
    <row r="1643" spans="1:10" x14ac:dyDescent="0.15">
      <c r="A1643" s="7"/>
      <c r="B1643" s="8"/>
      <c r="C1643" s="8"/>
      <c r="D1643" s="9"/>
      <c r="E1643" s="8"/>
      <c r="F1643" s="8"/>
      <c r="G1643" s="8"/>
      <c r="H1643" s="8"/>
      <c r="I1643" s="10"/>
      <c r="J1643" s="8"/>
    </row>
    <row r="1644" spans="1:10" x14ac:dyDescent="0.15">
      <c r="A1644" s="7"/>
      <c r="B1644" s="8"/>
      <c r="C1644" s="8"/>
      <c r="D1644" s="9"/>
      <c r="E1644" s="8"/>
      <c r="F1644" s="8"/>
      <c r="G1644" s="8"/>
      <c r="H1644" s="8"/>
      <c r="I1644" s="10"/>
      <c r="J1644" s="8"/>
    </row>
    <row r="1645" spans="1:10" x14ac:dyDescent="0.15">
      <c r="A1645" s="7"/>
      <c r="B1645" s="8"/>
      <c r="C1645" s="8"/>
      <c r="D1645" s="9"/>
      <c r="E1645" s="8"/>
      <c r="F1645" s="8"/>
      <c r="G1645" s="8"/>
      <c r="H1645" s="8"/>
      <c r="I1645" s="10"/>
      <c r="J1645" s="8"/>
    </row>
    <row r="1646" spans="1:10" x14ac:dyDescent="0.15">
      <c r="A1646" s="7"/>
      <c r="B1646" s="8"/>
      <c r="C1646" s="8"/>
      <c r="D1646" s="9"/>
      <c r="E1646" s="8"/>
      <c r="F1646" s="8"/>
      <c r="G1646" s="8"/>
      <c r="H1646" s="8"/>
      <c r="I1646" s="10"/>
      <c r="J1646" s="8"/>
    </row>
    <row r="1647" spans="1:10" x14ac:dyDescent="0.15">
      <c r="A1647" s="7"/>
      <c r="B1647" s="8"/>
      <c r="C1647" s="8"/>
      <c r="D1647" s="9"/>
      <c r="E1647" s="8"/>
      <c r="F1647" s="8"/>
      <c r="G1647" s="8"/>
      <c r="H1647" s="8"/>
      <c r="I1647" s="10"/>
      <c r="J1647" s="8"/>
    </row>
    <row r="1648" spans="1:10" x14ac:dyDescent="0.15">
      <c r="A1648" s="7"/>
      <c r="B1648" s="8"/>
      <c r="C1648" s="8"/>
      <c r="D1648" s="9"/>
      <c r="E1648" s="8"/>
      <c r="F1648" s="8"/>
      <c r="G1648" s="8"/>
      <c r="H1648" s="8"/>
      <c r="I1648" s="10"/>
      <c r="J1648" s="8"/>
    </row>
    <row r="1649" spans="1:10" x14ac:dyDescent="0.15">
      <c r="A1649" s="7"/>
      <c r="B1649" s="8"/>
      <c r="C1649" s="8"/>
      <c r="D1649" s="9"/>
      <c r="E1649" s="8"/>
      <c r="F1649" s="8"/>
      <c r="G1649" s="8"/>
      <c r="H1649" s="8"/>
      <c r="I1649" s="10"/>
      <c r="J1649" s="8"/>
    </row>
    <row r="1650" spans="1:10" x14ac:dyDescent="0.15">
      <c r="A1650" s="7"/>
      <c r="B1650" s="8"/>
      <c r="C1650" s="8"/>
      <c r="D1650" s="9"/>
      <c r="E1650" s="8"/>
      <c r="F1650" s="8"/>
      <c r="G1650" s="8"/>
      <c r="H1650" s="8"/>
      <c r="I1650" s="10"/>
      <c r="J1650" s="8"/>
    </row>
    <row r="1651" spans="1:10" x14ac:dyDescent="0.15">
      <c r="A1651" s="7"/>
      <c r="B1651" s="8"/>
      <c r="C1651" s="8"/>
      <c r="D1651" s="9"/>
      <c r="E1651" s="8"/>
      <c r="F1651" s="8"/>
      <c r="G1651" s="8"/>
      <c r="H1651" s="8"/>
      <c r="I1651" s="10"/>
      <c r="J1651" s="8"/>
    </row>
    <row r="1652" spans="1:10" x14ac:dyDescent="0.15">
      <c r="A1652" s="7"/>
      <c r="B1652" s="8"/>
      <c r="C1652" s="8"/>
      <c r="D1652" s="9"/>
      <c r="E1652" s="8"/>
      <c r="F1652" s="8"/>
      <c r="G1652" s="8"/>
      <c r="H1652" s="8"/>
      <c r="I1652" s="10"/>
      <c r="J1652" s="8"/>
    </row>
    <row r="1653" spans="1:10" x14ac:dyDescent="0.15">
      <c r="A1653" s="7"/>
      <c r="B1653" s="8"/>
      <c r="C1653" s="8"/>
      <c r="D1653" s="9"/>
      <c r="E1653" s="8"/>
      <c r="F1653" s="8"/>
      <c r="G1653" s="8"/>
      <c r="H1653" s="8"/>
      <c r="I1653" s="10"/>
      <c r="J1653" s="8"/>
    </row>
    <row r="1654" spans="1:10" x14ac:dyDescent="0.15">
      <c r="A1654" s="7"/>
      <c r="B1654" s="8"/>
      <c r="C1654" s="8"/>
      <c r="D1654" s="9"/>
      <c r="E1654" s="8"/>
      <c r="F1654" s="8"/>
      <c r="G1654" s="8"/>
      <c r="H1654" s="8"/>
      <c r="I1654" s="10"/>
      <c r="J1654" s="8"/>
    </row>
    <row r="1655" spans="1:10" x14ac:dyDescent="0.15">
      <c r="A1655" s="7"/>
      <c r="B1655" s="8"/>
      <c r="C1655" s="8"/>
      <c r="D1655" s="9"/>
      <c r="E1655" s="8"/>
      <c r="F1655" s="8"/>
      <c r="G1655" s="8"/>
      <c r="H1655" s="8"/>
      <c r="I1655" s="10"/>
      <c r="J1655" s="8"/>
    </row>
    <row r="1656" spans="1:10" x14ac:dyDescent="0.15">
      <c r="A1656" s="7"/>
      <c r="B1656" s="8"/>
      <c r="C1656" s="8"/>
      <c r="D1656" s="9"/>
      <c r="E1656" s="8"/>
      <c r="F1656" s="8"/>
      <c r="G1656" s="8"/>
      <c r="H1656" s="8"/>
      <c r="I1656" s="10"/>
      <c r="J1656" s="8"/>
    </row>
    <row r="1657" spans="1:10" x14ac:dyDescent="0.15">
      <c r="A1657" s="7"/>
      <c r="B1657" s="8"/>
      <c r="C1657" s="8"/>
      <c r="D1657" s="9"/>
      <c r="E1657" s="8"/>
      <c r="F1657" s="8"/>
      <c r="G1657" s="8"/>
      <c r="H1657" s="8"/>
      <c r="I1657" s="10"/>
      <c r="J1657" s="8"/>
    </row>
    <row r="1658" spans="1:10" x14ac:dyDescent="0.15">
      <c r="A1658" s="7"/>
      <c r="B1658" s="8"/>
      <c r="C1658" s="8"/>
      <c r="D1658" s="9"/>
      <c r="E1658" s="8"/>
      <c r="F1658" s="8"/>
      <c r="G1658" s="8"/>
      <c r="H1658" s="8"/>
      <c r="I1658" s="10"/>
      <c r="J1658" s="8"/>
    </row>
    <row r="1659" spans="1:10" x14ac:dyDescent="0.15">
      <c r="A1659" s="7"/>
      <c r="B1659" s="8"/>
      <c r="C1659" s="8"/>
      <c r="D1659" s="9"/>
      <c r="E1659" s="8"/>
      <c r="F1659" s="8"/>
      <c r="G1659" s="8"/>
      <c r="H1659" s="8"/>
      <c r="I1659" s="10"/>
      <c r="J1659" s="8"/>
    </row>
    <row r="1660" spans="1:10" x14ac:dyDescent="0.15">
      <c r="A1660" s="7"/>
      <c r="B1660" s="8"/>
      <c r="C1660" s="8"/>
      <c r="D1660" s="9"/>
      <c r="E1660" s="8"/>
      <c r="F1660" s="8"/>
      <c r="G1660" s="8"/>
      <c r="H1660" s="8"/>
      <c r="I1660" s="10"/>
      <c r="J1660" s="8"/>
    </row>
    <row r="1661" spans="1:10" x14ac:dyDescent="0.15">
      <c r="A1661" s="7"/>
      <c r="B1661" s="8"/>
      <c r="C1661" s="8"/>
      <c r="D1661" s="9"/>
      <c r="E1661" s="8"/>
      <c r="F1661" s="8"/>
      <c r="G1661" s="8"/>
      <c r="H1661" s="8"/>
      <c r="I1661" s="10"/>
      <c r="J1661" s="8"/>
    </row>
    <row r="1662" spans="1:10" x14ac:dyDescent="0.15">
      <c r="A1662" s="7"/>
      <c r="B1662" s="8"/>
      <c r="C1662" s="8"/>
      <c r="D1662" s="9"/>
      <c r="E1662" s="8"/>
      <c r="F1662" s="8"/>
      <c r="G1662" s="8"/>
      <c r="H1662" s="8"/>
      <c r="I1662" s="10"/>
      <c r="J1662" s="8"/>
    </row>
    <row r="1663" spans="1:10" x14ac:dyDescent="0.15">
      <c r="A1663" s="7"/>
      <c r="B1663" s="8"/>
      <c r="C1663" s="8"/>
      <c r="D1663" s="9"/>
      <c r="E1663" s="8"/>
      <c r="F1663" s="8"/>
      <c r="G1663" s="8"/>
      <c r="H1663" s="8"/>
      <c r="I1663" s="10"/>
      <c r="J1663" s="8"/>
    </row>
    <row r="1664" spans="1:10" x14ac:dyDescent="0.15">
      <c r="A1664" s="7"/>
      <c r="B1664" s="8"/>
      <c r="C1664" s="8"/>
      <c r="D1664" s="9"/>
      <c r="E1664" s="8"/>
      <c r="F1664" s="8"/>
      <c r="G1664" s="8"/>
      <c r="H1664" s="8"/>
      <c r="I1664" s="10"/>
      <c r="J1664" s="8"/>
    </row>
    <row r="1665" spans="1:10" x14ac:dyDescent="0.15">
      <c r="A1665" s="7"/>
      <c r="B1665" s="8"/>
      <c r="C1665" s="8"/>
      <c r="D1665" s="9"/>
      <c r="E1665" s="8"/>
      <c r="F1665" s="8"/>
      <c r="G1665" s="8"/>
      <c r="H1665" s="8"/>
      <c r="I1665" s="10"/>
      <c r="J1665" s="8"/>
    </row>
    <row r="1666" spans="1:10" x14ac:dyDescent="0.15">
      <c r="A1666" s="7"/>
      <c r="B1666" s="8"/>
      <c r="C1666" s="8"/>
      <c r="D1666" s="9"/>
      <c r="E1666" s="8"/>
      <c r="F1666" s="8"/>
      <c r="G1666" s="8"/>
      <c r="H1666" s="8"/>
      <c r="I1666" s="10"/>
      <c r="J1666" s="8"/>
    </row>
    <row r="1667" spans="1:10" x14ac:dyDescent="0.15">
      <c r="A1667" s="7"/>
      <c r="B1667" s="8"/>
      <c r="C1667" s="8"/>
      <c r="D1667" s="9"/>
      <c r="E1667" s="8"/>
      <c r="F1667" s="8"/>
      <c r="G1667" s="8"/>
      <c r="H1667" s="8"/>
      <c r="I1667" s="10"/>
      <c r="J1667" s="8"/>
    </row>
    <row r="1668" spans="1:10" x14ac:dyDescent="0.15">
      <c r="A1668" s="7"/>
      <c r="B1668" s="8"/>
      <c r="C1668" s="8"/>
      <c r="D1668" s="9"/>
      <c r="E1668" s="8"/>
      <c r="F1668" s="8"/>
      <c r="G1668" s="8"/>
      <c r="H1668" s="8"/>
      <c r="I1668" s="10"/>
      <c r="J1668" s="8"/>
    </row>
    <row r="1669" spans="1:10" x14ac:dyDescent="0.15">
      <c r="A1669" s="7"/>
      <c r="B1669" s="8"/>
      <c r="C1669" s="8"/>
      <c r="D1669" s="9"/>
      <c r="E1669" s="8"/>
      <c r="F1669" s="8"/>
      <c r="G1669" s="8"/>
      <c r="H1669" s="8"/>
      <c r="I1669" s="10"/>
      <c r="J1669" s="8"/>
    </row>
    <row r="1670" spans="1:10" x14ac:dyDescent="0.15">
      <c r="A1670" s="7"/>
      <c r="B1670" s="8"/>
      <c r="C1670" s="8"/>
      <c r="D1670" s="9"/>
      <c r="E1670" s="8"/>
      <c r="F1670" s="8"/>
      <c r="G1670" s="8"/>
      <c r="H1670" s="8"/>
      <c r="I1670" s="10"/>
      <c r="J1670" s="8"/>
    </row>
    <row r="1671" spans="1:10" x14ac:dyDescent="0.15">
      <c r="A1671" s="7"/>
      <c r="B1671" s="8"/>
      <c r="C1671" s="8"/>
      <c r="D1671" s="9"/>
      <c r="E1671" s="8"/>
      <c r="F1671" s="8"/>
      <c r="G1671" s="8"/>
      <c r="H1671" s="8"/>
      <c r="I1671" s="10"/>
      <c r="J1671" s="8"/>
    </row>
    <row r="1672" spans="1:10" x14ac:dyDescent="0.15">
      <c r="A1672" s="7"/>
      <c r="B1672" s="8"/>
      <c r="C1672" s="8"/>
      <c r="D1672" s="9"/>
      <c r="E1672" s="8"/>
      <c r="F1672" s="8"/>
      <c r="G1672" s="8"/>
      <c r="H1672" s="8"/>
      <c r="I1672" s="10"/>
      <c r="J1672" s="8"/>
    </row>
    <row r="1673" spans="1:10" x14ac:dyDescent="0.15">
      <c r="A1673" s="7"/>
      <c r="B1673" s="8"/>
      <c r="C1673" s="8"/>
      <c r="D1673" s="9"/>
      <c r="E1673" s="8"/>
      <c r="F1673" s="8"/>
      <c r="G1673" s="8"/>
      <c r="H1673" s="8"/>
      <c r="I1673" s="10"/>
      <c r="J1673" s="8"/>
    </row>
    <row r="1674" spans="1:10" x14ac:dyDescent="0.15">
      <c r="A1674" s="7"/>
      <c r="B1674" s="8"/>
      <c r="C1674" s="8"/>
      <c r="D1674" s="9"/>
      <c r="E1674" s="8"/>
      <c r="F1674" s="8"/>
      <c r="G1674" s="8"/>
      <c r="H1674" s="8"/>
      <c r="I1674" s="10"/>
      <c r="J1674" s="8"/>
    </row>
    <row r="1675" spans="1:10" x14ac:dyDescent="0.15">
      <c r="A1675" s="7"/>
      <c r="B1675" s="8"/>
      <c r="C1675" s="8"/>
      <c r="D1675" s="9"/>
      <c r="E1675" s="8"/>
      <c r="F1675" s="8"/>
      <c r="G1675" s="8"/>
      <c r="H1675" s="8"/>
      <c r="I1675" s="10"/>
      <c r="J1675" s="8"/>
    </row>
    <row r="1676" spans="1:10" x14ac:dyDescent="0.15">
      <c r="A1676" s="7"/>
      <c r="B1676" s="8"/>
      <c r="C1676" s="8"/>
      <c r="D1676" s="9"/>
      <c r="E1676" s="8"/>
      <c r="F1676" s="8"/>
      <c r="G1676" s="8"/>
      <c r="H1676" s="8"/>
      <c r="I1676" s="10"/>
      <c r="J1676" s="8"/>
    </row>
    <row r="1677" spans="1:10" x14ac:dyDescent="0.15">
      <c r="A1677" s="7"/>
      <c r="B1677" s="8"/>
      <c r="C1677" s="8"/>
      <c r="D1677" s="9"/>
      <c r="E1677" s="8"/>
      <c r="F1677" s="8"/>
      <c r="G1677" s="8"/>
      <c r="H1677" s="8"/>
      <c r="I1677" s="10"/>
      <c r="J1677" s="8"/>
    </row>
    <row r="1678" spans="1:10" x14ac:dyDescent="0.15">
      <c r="A1678" s="7"/>
      <c r="B1678" s="8"/>
      <c r="C1678" s="8"/>
      <c r="D1678" s="9"/>
      <c r="E1678" s="8"/>
      <c r="F1678" s="8"/>
      <c r="G1678" s="8"/>
      <c r="H1678" s="8"/>
      <c r="I1678" s="10"/>
      <c r="J1678" s="8"/>
    </row>
    <row r="1679" spans="1:10" x14ac:dyDescent="0.15">
      <c r="A1679" s="7"/>
      <c r="B1679" s="8"/>
      <c r="C1679" s="8"/>
      <c r="D1679" s="9"/>
      <c r="E1679" s="8"/>
      <c r="F1679" s="8"/>
      <c r="G1679" s="8"/>
      <c r="H1679" s="8"/>
      <c r="I1679" s="10"/>
      <c r="J1679" s="8"/>
    </row>
    <row r="1680" spans="1:10" x14ac:dyDescent="0.15">
      <c r="A1680" s="7"/>
      <c r="B1680" s="8"/>
      <c r="C1680" s="8"/>
      <c r="D1680" s="9"/>
      <c r="E1680" s="8"/>
      <c r="F1680" s="8"/>
      <c r="G1680" s="8"/>
      <c r="H1680" s="8"/>
      <c r="I1680" s="10"/>
      <c r="J1680" s="8"/>
    </row>
    <row r="1681" spans="1:10" x14ac:dyDescent="0.15">
      <c r="A1681" s="7"/>
      <c r="B1681" s="8"/>
      <c r="C1681" s="8"/>
      <c r="D1681" s="9"/>
      <c r="E1681" s="8"/>
      <c r="F1681" s="8"/>
      <c r="G1681" s="8"/>
      <c r="H1681" s="8"/>
      <c r="I1681" s="10"/>
      <c r="J1681" s="8"/>
    </row>
    <row r="1682" spans="1:10" x14ac:dyDescent="0.15">
      <c r="A1682" s="7"/>
      <c r="B1682" s="8"/>
      <c r="C1682" s="8"/>
      <c r="D1682" s="9"/>
      <c r="E1682" s="8"/>
      <c r="F1682" s="8"/>
      <c r="G1682" s="8"/>
      <c r="H1682" s="8"/>
      <c r="I1682" s="10"/>
      <c r="J1682" s="8"/>
    </row>
    <row r="1683" spans="1:10" x14ac:dyDescent="0.15">
      <c r="A1683" s="7"/>
      <c r="B1683" s="8"/>
      <c r="C1683" s="8"/>
      <c r="D1683" s="9"/>
      <c r="E1683" s="8"/>
      <c r="F1683" s="8"/>
      <c r="G1683" s="8"/>
      <c r="H1683" s="8"/>
      <c r="I1683" s="10"/>
      <c r="J1683" s="8"/>
    </row>
    <row r="1684" spans="1:10" x14ac:dyDescent="0.15">
      <c r="A1684" s="7"/>
      <c r="B1684" s="8"/>
      <c r="C1684" s="8"/>
      <c r="D1684" s="9"/>
      <c r="E1684" s="8"/>
      <c r="F1684" s="8"/>
      <c r="G1684" s="8"/>
      <c r="H1684" s="8"/>
      <c r="I1684" s="10"/>
      <c r="J1684" s="8"/>
    </row>
    <row r="1685" spans="1:10" x14ac:dyDescent="0.15">
      <c r="A1685" s="7"/>
      <c r="B1685" s="8"/>
      <c r="C1685" s="8"/>
      <c r="D1685" s="9"/>
      <c r="E1685" s="8"/>
      <c r="F1685" s="8"/>
      <c r="G1685" s="8"/>
      <c r="H1685" s="8"/>
      <c r="I1685" s="10"/>
      <c r="J1685" s="8"/>
    </row>
    <row r="1686" spans="1:10" x14ac:dyDescent="0.15">
      <c r="A1686" s="7"/>
      <c r="B1686" s="8"/>
      <c r="C1686" s="8"/>
      <c r="D1686" s="9"/>
      <c r="E1686" s="8"/>
      <c r="F1686" s="8"/>
      <c r="G1686" s="8"/>
      <c r="H1686" s="8"/>
      <c r="I1686" s="10"/>
      <c r="J1686" s="8"/>
    </row>
    <row r="1687" spans="1:10" x14ac:dyDescent="0.15">
      <c r="A1687" s="7"/>
      <c r="B1687" s="8"/>
      <c r="C1687" s="8"/>
      <c r="D1687" s="9"/>
      <c r="E1687" s="8"/>
      <c r="F1687" s="8"/>
      <c r="G1687" s="8"/>
      <c r="H1687" s="8"/>
      <c r="I1687" s="10"/>
      <c r="J1687" s="8"/>
    </row>
    <row r="1688" spans="1:10" x14ac:dyDescent="0.15">
      <c r="A1688" s="7"/>
      <c r="B1688" s="8"/>
      <c r="C1688" s="8"/>
      <c r="D1688" s="9"/>
      <c r="E1688" s="8"/>
      <c r="F1688" s="8"/>
      <c r="G1688" s="8"/>
      <c r="H1688" s="8"/>
      <c r="I1688" s="10"/>
      <c r="J1688" s="8"/>
    </row>
    <row r="1689" spans="1:10" x14ac:dyDescent="0.15">
      <c r="A1689" s="7"/>
      <c r="B1689" s="8"/>
      <c r="C1689" s="8"/>
      <c r="D1689" s="9"/>
      <c r="E1689" s="8"/>
      <c r="F1689" s="8"/>
      <c r="G1689" s="8"/>
      <c r="H1689" s="8"/>
      <c r="I1689" s="10"/>
      <c r="J1689" s="8"/>
    </row>
    <row r="1690" spans="1:10" x14ac:dyDescent="0.15">
      <c r="A1690" s="7"/>
      <c r="B1690" s="8"/>
      <c r="C1690" s="8"/>
      <c r="D1690" s="9"/>
      <c r="E1690" s="8"/>
      <c r="F1690" s="8"/>
      <c r="G1690" s="8"/>
      <c r="H1690" s="8"/>
      <c r="I1690" s="10"/>
      <c r="J1690" s="8"/>
    </row>
    <row r="1691" spans="1:10" x14ac:dyDescent="0.15">
      <c r="A1691" s="7"/>
      <c r="B1691" s="8"/>
      <c r="C1691" s="8"/>
      <c r="D1691" s="9"/>
      <c r="E1691" s="8"/>
      <c r="F1691" s="8"/>
      <c r="G1691" s="8"/>
      <c r="H1691" s="8"/>
      <c r="I1691" s="10"/>
      <c r="J1691" s="8"/>
    </row>
    <row r="1692" spans="1:10" x14ac:dyDescent="0.15">
      <c r="A1692" s="7"/>
      <c r="B1692" s="8"/>
      <c r="C1692" s="8"/>
      <c r="D1692" s="9"/>
      <c r="E1692" s="8"/>
      <c r="F1692" s="8"/>
      <c r="G1692" s="8"/>
      <c r="H1692" s="8"/>
      <c r="I1692" s="10"/>
      <c r="J1692" s="8"/>
    </row>
    <row r="1693" spans="1:10" x14ac:dyDescent="0.15">
      <c r="A1693" s="7"/>
      <c r="B1693" s="8"/>
      <c r="C1693" s="8"/>
      <c r="D1693" s="9"/>
      <c r="E1693" s="8"/>
      <c r="F1693" s="8"/>
      <c r="G1693" s="8"/>
      <c r="H1693" s="8"/>
      <c r="I1693" s="10"/>
      <c r="J1693" s="8"/>
    </row>
    <row r="1694" spans="1:10" x14ac:dyDescent="0.15">
      <c r="A1694" s="7"/>
      <c r="B1694" s="8"/>
      <c r="C1694" s="8"/>
      <c r="D1694" s="9"/>
      <c r="E1694" s="8"/>
      <c r="F1694" s="8"/>
      <c r="G1694" s="8"/>
      <c r="H1694" s="8"/>
      <c r="I1694" s="10"/>
      <c r="J1694" s="8"/>
    </row>
    <row r="1695" spans="1:10" x14ac:dyDescent="0.15">
      <c r="A1695" s="7"/>
      <c r="B1695" s="8"/>
      <c r="C1695" s="8"/>
      <c r="D1695" s="9"/>
      <c r="E1695" s="8"/>
      <c r="F1695" s="8"/>
      <c r="G1695" s="8"/>
      <c r="H1695" s="8"/>
      <c r="I1695" s="10"/>
      <c r="J1695" s="8"/>
    </row>
    <row r="1696" spans="1:10" x14ac:dyDescent="0.15">
      <c r="A1696" s="7"/>
      <c r="B1696" s="8"/>
      <c r="C1696" s="8"/>
      <c r="D1696" s="9"/>
      <c r="E1696" s="8"/>
      <c r="F1696" s="8"/>
      <c r="G1696" s="8"/>
      <c r="H1696" s="8"/>
      <c r="I1696" s="10"/>
      <c r="J1696" s="8"/>
    </row>
    <row r="1697" spans="1:10" x14ac:dyDescent="0.15">
      <c r="A1697" s="7"/>
      <c r="B1697" s="8"/>
      <c r="C1697" s="8"/>
      <c r="D1697" s="9"/>
      <c r="E1697" s="8"/>
      <c r="F1697" s="8"/>
      <c r="G1697" s="8"/>
      <c r="H1697" s="8"/>
      <c r="I1697" s="10"/>
      <c r="J1697" s="8"/>
    </row>
    <row r="1698" spans="1:10" x14ac:dyDescent="0.15">
      <c r="A1698" s="7"/>
      <c r="B1698" s="8"/>
      <c r="C1698" s="8"/>
      <c r="D1698" s="9"/>
      <c r="E1698" s="8"/>
      <c r="F1698" s="8"/>
      <c r="G1698" s="8"/>
      <c r="H1698" s="8"/>
      <c r="I1698" s="10"/>
      <c r="J1698" s="8"/>
    </row>
    <row r="1699" spans="1:10" x14ac:dyDescent="0.15">
      <c r="A1699" s="7"/>
      <c r="B1699" s="8"/>
      <c r="C1699" s="8"/>
      <c r="D1699" s="9"/>
      <c r="E1699" s="8"/>
      <c r="F1699" s="8"/>
      <c r="G1699" s="8"/>
      <c r="H1699" s="8"/>
      <c r="I1699" s="10"/>
      <c r="J1699" s="8"/>
    </row>
    <row r="1700" spans="1:10" x14ac:dyDescent="0.15">
      <c r="A1700" s="7"/>
      <c r="B1700" s="8"/>
      <c r="C1700" s="8"/>
      <c r="D1700" s="9"/>
      <c r="E1700" s="8"/>
      <c r="F1700" s="8"/>
      <c r="G1700" s="8"/>
      <c r="H1700" s="8"/>
      <c r="I1700" s="10"/>
      <c r="J1700" s="8"/>
    </row>
    <row r="1701" spans="1:10" x14ac:dyDescent="0.15">
      <c r="A1701" s="7"/>
      <c r="B1701" s="8"/>
      <c r="C1701" s="8"/>
      <c r="D1701" s="9"/>
      <c r="E1701" s="8"/>
      <c r="F1701" s="8"/>
      <c r="G1701" s="8"/>
      <c r="H1701" s="8"/>
      <c r="I1701" s="10"/>
      <c r="J1701" s="8"/>
    </row>
    <row r="1702" spans="1:10" x14ac:dyDescent="0.15">
      <c r="A1702" s="7"/>
      <c r="B1702" s="8"/>
      <c r="C1702" s="8"/>
      <c r="D1702" s="9"/>
      <c r="E1702" s="8"/>
      <c r="F1702" s="8"/>
      <c r="G1702" s="8"/>
      <c r="H1702" s="8"/>
      <c r="I1702" s="10"/>
      <c r="J1702" s="8"/>
    </row>
    <row r="1703" spans="1:10" x14ac:dyDescent="0.15">
      <c r="A1703" s="7"/>
      <c r="B1703" s="8"/>
      <c r="C1703" s="8"/>
      <c r="D1703" s="9"/>
      <c r="E1703" s="8"/>
      <c r="F1703" s="8"/>
      <c r="G1703" s="8"/>
      <c r="H1703" s="8"/>
      <c r="I1703" s="10"/>
      <c r="J1703" s="8"/>
    </row>
    <row r="1704" spans="1:10" x14ac:dyDescent="0.15">
      <c r="A1704" s="7"/>
      <c r="B1704" s="8"/>
      <c r="C1704" s="8"/>
      <c r="D1704" s="9"/>
      <c r="E1704" s="8"/>
      <c r="F1704" s="8"/>
      <c r="G1704" s="8"/>
      <c r="H1704" s="8"/>
      <c r="I1704" s="10"/>
      <c r="J1704" s="8"/>
    </row>
    <row r="1705" spans="1:10" x14ac:dyDescent="0.15">
      <c r="A1705" s="7"/>
      <c r="B1705" s="8"/>
      <c r="C1705" s="8"/>
      <c r="D1705" s="9"/>
      <c r="E1705" s="8"/>
      <c r="F1705" s="8"/>
      <c r="G1705" s="8"/>
      <c r="H1705" s="8"/>
      <c r="I1705" s="10"/>
      <c r="J1705" s="8"/>
    </row>
    <row r="1706" spans="1:10" x14ac:dyDescent="0.15">
      <c r="A1706" s="7"/>
      <c r="B1706" s="8"/>
      <c r="C1706" s="8"/>
      <c r="D1706" s="9"/>
      <c r="E1706" s="8"/>
      <c r="F1706" s="8"/>
      <c r="G1706" s="8"/>
      <c r="H1706" s="8"/>
      <c r="I1706" s="10"/>
      <c r="J1706" s="8"/>
    </row>
    <row r="1707" spans="1:10" x14ac:dyDescent="0.15">
      <c r="A1707" s="7"/>
      <c r="B1707" s="8"/>
      <c r="C1707" s="8"/>
      <c r="D1707" s="9"/>
      <c r="E1707" s="8"/>
      <c r="F1707" s="8"/>
      <c r="G1707" s="8"/>
      <c r="H1707" s="8"/>
      <c r="I1707" s="10"/>
      <c r="J1707" s="8"/>
    </row>
    <row r="1708" spans="1:10" x14ac:dyDescent="0.15">
      <c r="A1708" s="7"/>
      <c r="B1708" s="8"/>
      <c r="C1708" s="8"/>
      <c r="D1708" s="9"/>
      <c r="E1708" s="8"/>
      <c r="F1708" s="8"/>
      <c r="G1708" s="8"/>
      <c r="H1708" s="8"/>
      <c r="I1708" s="10"/>
      <c r="J1708" s="8"/>
    </row>
    <row r="1709" spans="1:10" x14ac:dyDescent="0.15">
      <c r="A1709" s="7"/>
      <c r="B1709" s="8"/>
      <c r="C1709" s="8"/>
      <c r="D1709" s="9"/>
      <c r="E1709" s="8"/>
      <c r="F1709" s="8"/>
      <c r="G1709" s="8"/>
      <c r="H1709" s="8"/>
      <c r="I1709" s="10"/>
      <c r="J1709" s="8"/>
    </row>
    <row r="1710" spans="1:10" x14ac:dyDescent="0.15">
      <c r="A1710" s="7"/>
      <c r="B1710" s="8"/>
      <c r="C1710" s="8"/>
      <c r="D1710" s="9"/>
      <c r="E1710" s="8"/>
      <c r="F1710" s="8"/>
      <c r="G1710" s="8"/>
      <c r="H1710" s="8"/>
      <c r="I1710" s="10"/>
      <c r="J1710" s="8"/>
    </row>
    <row r="1711" spans="1:10" x14ac:dyDescent="0.15">
      <c r="A1711" s="7"/>
      <c r="B1711" s="8"/>
      <c r="C1711" s="8"/>
      <c r="D1711" s="9"/>
      <c r="E1711" s="8"/>
      <c r="F1711" s="8"/>
      <c r="G1711" s="8"/>
      <c r="H1711" s="8"/>
      <c r="I1711" s="10"/>
      <c r="J1711" s="8"/>
    </row>
    <row r="1712" spans="1:10" x14ac:dyDescent="0.15">
      <c r="A1712" s="7"/>
      <c r="B1712" s="8"/>
      <c r="C1712" s="8"/>
      <c r="D1712" s="9"/>
      <c r="E1712" s="8"/>
      <c r="F1712" s="8"/>
      <c r="G1712" s="8"/>
      <c r="H1712" s="8"/>
      <c r="I1712" s="10"/>
      <c r="J1712" s="8"/>
    </row>
    <row r="1713" spans="1:10" x14ac:dyDescent="0.15">
      <c r="A1713" s="7"/>
      <c r="B1713" s="8"/>
      <c r="C1713" s="8"/>
      <c r="D1713" s="9"/>
      <c r="E1713" s="8"/>
      <c r="F1713" s="8"/>
      <c r="G1713" s="8"/>
      <c r="H1713" s="8"/>
      <c r="I1713" s="10"/>
      <c r="J1713" s="8"/>
    </row>
    <row r="1714" spans="1:10" x14ac:dyDescent="0.15">
      <c r="A1714" s="7"/>
      <c r="B1714" s="8"/>
      <c r="C1714" s="8"/>
      <c r="D1714" s="9"/>
      <c r="E1714" s="8"/>
      <c r="F1714" s="8"/>
      <c r="G1714" s="8"/>
      <c r="H1714" s="8"/>
      <c r="I1714" s="10"/>
      <c r="J1714" s="8"/>
    </row>
    <row r="1715" spans="1:10" x14ac:dyDescent="0.15">
      <c r="A1715" s="7"/>
      <c r="B1715" s="8"/>
      <c r="C1715" s="8"/>
      <c r="D1715" s="9"/>
      <c r="E1715" s="8"/>
      <c r="F1715" s="8"/>
      <c r="G1715" s="8"/>
      <c r="H1715" s="8"/>
      <c r="I1715" s="10"/>
      <c r="J1715" s="8"/>
    </row>
    <row r="1716" spans="1:10" x14ac:dyDescent="0.15">
      <c r="A1716" s="7"/>
      <c r="B1716" s="8"/>
      <c r="C1716" s="8"/>
      <c r="D1716" s="9"/>
      <c r="E1716" s="8"/>
      <c r="F1716" s="8"/>
      <c r="G1716" s="8"/>
      <c r="H1716" s="8"/>
      <c r="I1716" s="10"/>
      <c r="J1716" s="8"/>
    </row>
    <row r="1717" spans="1:10" x14ac:dyDescent="0.15">
      <c r="A1717" s="7"/>
      <c r="B1717" s="8"/>
      <c r="C1717" s="8"/>
      <c r="D1717" s="9"/>
      <c r="E1717" s="8"/>
      <c r="F1717" s="8"/>
      <c r="G1717" s="8"/>
      <c r="H1717" s="8"/>
      <c r="I1717" s="10"/>
      <c r="J1717" s="8"/>
    </row>
    <row r="1718" spans="1:10" x14ac:dyDescent="0.15">
      <c r="A1718" s="7"/>
      <c r="B1718" s="8"/>
      <c r="C1718" s="8"/>
      <c r="D1718" s="9"/>
      <c r="E1718" s="8"/>
      <c r="F1718" s="8"/>
      <c r="G1718" s="8"/>
      <c r="H1718" s="8"/>
      <c r="I1718" s="10"/>
      <c r="J1718" s="8"/>
    </row>
    <row r="1719" spans="1:10" x14ac:dyDescent="0.15">
      <c r="A1719" s="7"/>
      <c r="B1719" s="8"/>
      <c r="C1719" s="8"/>
      <c r="D1719" s="9"/>
      <c r="E1719" s="8"/>
      <c r="F1719" s="8"/>
      <c r="G1719" s="8"/>
      <c r="H1719" s="8"/>
      <c r="I1719" s="10"/>
      <c r="J1719" s="8"/>
    </row>
    <row r="1720" spans="1:10" x14ac:dyDescent="0.15">
      <c r="A1720" s="7"/>
      <c r="B1720" s="8"/>
      <c r="C1720" s="8"/>
      <c r="D1720" s="9"/>
      <c r="E1720" s="8"/>
      <c r="F1720" s="8"/>
      <c r="G1720" s="8"/>
      <c r="H1720" s="8"/>
      <c r="I1720" s="10"/>
      <c r="J1720" s="8"/>
    </row>
    <row r="1721" spans="1:10" x14ac:dyDescent="0.15">
      <c r="A1721" s="7"/>
      <c r="B1721" s="8"/>
      <c r="C1721" s="8"/>
      <c r="D1721" s="9"/>
      <c r="E1721" s="8"/>
      <c r="F1721" s="8"/>
      <c r="G1721" s="8"/>
      <c r="H1721" s="8"/>
      <c r="I1721" s="10"/>
      <c r="J1721" s="8"/>
    </row>
    <row r="1722" spans="1:10" x14ac:dyDescent="0.15">
      <c r="A1722" s="7"/>
      <c r="B1722" s="8"/>
      <c r="C1722" s="8"/>
      <c r="D1722" s="9"/>
      <c r="E1722" s="8"/>
      <c r="F1722" s="8"/>
      <c r="G1722" s="8"/>
      <c r="H1722" s="8"/>
      <c r="I1722" s="10"/>
      <c r="J1722" s="8"/>
    </row>
    <row r="1723" spans="1:10" x14ac:dyDescent="0.15">
      <c r="A1723" s="7"/>
      <c r="B1723" s="8"/>
      <c r="C1723" s="8"/>
      <c r="D1723" s="9"/>
      <c r="E1723" s="8"/>
      <c r="F1723" s="8"/>
      <c r="G1723" s="8"/>
      <c r="H1723" s="8"/>
      <c r="I1723" s="10"/>
      <c r="J1723" s="8"/>
    </row>
    <row r="1724" spans="1:10" x14ac:dyDescent="0.15">
      <c r="A1724" s="7"/>
      <c r="B1724" s="8"/>
      <c r="C1724" s="8"/>
      <c r="D1724" s="9"/>
      <c r="E1724" s="8"/>
      <c r="F1724" s="8"/>
      <c r="G1724" s="8"/>
      <c r="H1724" s="8"/>
      <c r="I1724" s="10"/>
      <c r="J1724" s="8"/>
    </row>
    <row r="1725" spans="1:10" x14ac:dyDescent="0.15">
      <c r="A1725" s="7"/>
      <c r="B1725" s="8"/>
      <c r="C1725" s="8"/>
      <c r="D1725" s="9"/>
      <c r="E1725" s="8"/>
      <c r="F1725" s="8"/>
      <c r="G1725" s="8"/>
      <c r="H1725" s="8"/>
      <c r="I1725" s="10"/>
      <c r="J1725" s="8"/>
    </row>
    <row r="1726" spans="1:10" x14ac:dyDescent="0.15">
      <c r="A1726" s="7"/>
      <c r="B1726" s="8"/>
      <c r="C1726" s="8"/>
      <c r="D1726" s="9"/>
      <c r="E1726" s="8"/>
      <c r="F1726" s="8"/>
      <c r="G1726" s="8"/>
      <c r="H1726" s="8"/>
      <c r="I1726" s="10"/>
      <c r="J1726" s="8"/>
    </row>
    <row r="1727" spans="1:10" x14ac:dyDescent="0.15">
      <c r="A1727" s="7"/>
      <c r="B1727" s="8"/>
      <c r="C1727" s="8"/>
      <c r="D1727" s="9"/>
      <c r="E1727" s="8"/>
      <c r="F1727" s="8"/>
      <c r="G1727" s="8"/>
      <c r="H1727" s="8"/>
      <c r="I1727" s="10"/>
      <c r="J1727" s="8"/>
    </row>
    <row r="1728" spans="1:10" x14ac:dyDescent="0.15">
      <c r="A1728" s="7"/>
      <c r="B1728" s="8"/>
      <c r="C1728" s="8"/>
      <c r="D1728" s="9"/>
      <c r="E1728" s="8"/>
      <c r="F1728" s="8"/>
      <c r="G1728" s="8"/>
      <c r="H1728" s="8"/>
      <c r="I1728" s="10"/>
      <c r="J1728" s="8"/>
    </row>
    <row r="1729" spans="1:10" x14ac:dyDescent="0.15">
      <c r="A1729" s="7"/>
      <c r="B1729" s="8"/>
      <c r="C1729" s="8"/>
      <c r="D1729" s="9"/>
      <c r="E1729" s="8"/>
      <c r="F1729" s="8"/>
      <c r="G1729" s="8"/>
      <c r="H1729" s="8"/>
      <c r="I1729" s="10"/>
      <c r="J1729" s="8"/>
    </row>
    <row r="1730" spans="1:10" x14ac:dyDescent="0.15">
      <c r="A1730" s="7"/>
      <c r="B1730" s="8"/>
      <c r="C1730" s="8"/>
      <c r="D1730" s="9"/>
      <c r="E1730" s="8"/>
      <c r="F1730" s="8"/>
      <c r="G1730" s="8"/>
      <c r="H1730" s="8"/>
      <c r="I1730" s="10"/>
      <c r="J1730" s="8"/>
    </row>
    <row r="1731" spans="1:10" x14ac:dyDescent="0.15">
      <c r="A1731" s="7"/>
      <c r="B1731" s="8"/>
      <c r="C1731" s="8"/>
      <c r="D1731" s="9"/>
      <c r="E1731" s="8"/>
      <c r="F1731" s="8"/>
      <c r="G1731" s="8"/>
      <c r="H1731" s="8"/>
      <c r="I1731" s="10"/>
      <c r="J1731" s="8"/>
    </row>
    <row r="1732" spans="1:10" x14ac:dyDescent="0.15">
      <c r="A1732" s="7"/>
      <c r="B1732" s="8"/>
      <c r="C1732" s="8"/>
      <c r="D1732" s="9"/>
      <c r="E1732" s="8"/>
      <c r="F1732" s="8"/>
      <c r="G1732" s="8"/>
      <c r="H1732" s="8"/>
      <c r="I1732" s="10"/>
      <c r="J1732" s="8"/>
    </row>
    <row r="1733" spans="1:10" x14ac:dyDescent="0.15">
      <c r="A1733" s="7"/>
      <c r="B1733" s="8"/>
      <c r="C1733" s="8"/>
      <c r="D1733" s="9"/>
      <c r="E1733" s="8"/>
      <c r="F1733" s="8"/>
      <c r="G1733" s="8"/>
      <c r="H1733" s="8"/>
      <c r="I1733" s="10"/>
      <c r="J1733" s="8"/>
    </row>
    <row r="1734" spans="1:10" x14ac:dyDescent="0.15">
      <c r="A1734" s="7"/>
      <c r="B1734" s="8"/>
      <c r="C1734" s="8"/>
      <c r="D1734" s="9"/>
      <c r="E1734" s="8"/>
      <c r="F1734" s="8"/>
      <c r="G1734" s="8"/>
      <c r="H1734" s="8"/>
      <c r="I1734" s="10"/>
      <c r="J1734" s="8"/>
    </row>
    <row r="1735" spans="1:10" x14ac:dyDescent="0.15">
      <c r="A1735" s="7"/>
      <c r="B1735" s="8"/>
      <c r="C1735" s="8"/>
      <c r="D1735" s="9"/>
      <c r="E1735" s="8"/>
      <c r="F1735" s="8"/>
      <c r="G1735" s="8"/>
      <c r="H1735" s="8"/>
      <c r="I1735" s="10"/>
      <c r="J1735" s="8"/>
    </row>
    <row r="1736" spans="1:10" x14ac:dyDescent="0.15">
      <c r="A1736" s="7"/>
      <c r="B1736" s="8"/>
      <c r="C1736" s="8"/>
      <c r="D1736" s="9"/>
      <c r="E1736" s="8"/>
      <c r="F1736" s="8"/>
      <c r="G1736" s="8"/>
      <c r="H1736" s="8"/>
      <c r="I1736" s="10"/>
      <c r="J1736" s="8"/>
    </row>
    <row r="1737" spans="1:10" x14ac:dyDescent="0.15">
      <c r="A1737" s="7"/>
      <c r="B1737" s="8"/>
      <c r="C1737" s="8"/>
      <c r="D1737" s="9"/>
      <c r="E1737" s="8"/>
      <c r="F1737" s="8"/>
      <c r="G1737" s="8"/>
      <c r="H1737" s="8"/>
      <c r="I1737" s="10"/>
      <c r="J1737" s="8"/>
    </row>
    <row r="1738" spans="1:10" x14ac:dyDescent="0.15">
      <c r="A1738" s="7"/>
      <c r="B1738" s="8"/>
      <c r="C1738" s="8"/>
      <c r="D1738" s="9"/>
      <c r="E1738" s="8"/>
      <c r="F1738" s="8"/>
      <c r="G1738" s="8"/>
      <c r="H1738" s="8"/>
      <c r="I1738" s="10"/>
      <c r="J1738" s="8"/>
    </row>
    <row r="1739" spans="1:10" x14ac:dyDescent="0.15">
      <c r="A1739" s="7"/>
      <c r="B1739" s="8"/>
      <c r="C1739" s="8"/>
      <c r="D1739" s="9"/>
      <c r="E1739" s="8"/>
      <c r="F1739" s="8"/>
      <c r="G1739" s="8"/>
      <c r="H1739" s="8"/>
      <c r="I1739" s="10"/>
      <c r="J1739" s="8"/>
    </row>
    <row r="1740" spans="1:10" x14ac:dyDescent="0.15">
      <c r="A1740" s="7"/>
      <c r="B1740" s="8"/>
      <c r="C1740" s="8"/>
      <c r="D1740" s="9"/>
      <c r="E1740" s="8"/>
      <c r="F1740" s="8"/>
      <c r="G1740" s="8"/>
      <c r="H1740" s="8"/>
      <c r="I1740" s="10"/>
      <c r="J1740" s="8"/>
    </row>
    <row r="1741" spans="1:10" x14ac:dyDescent="0.15">
      <c r="A1741" s="7"/>
      <c r="B1741" s="8"/>
      <c r="C1741" s="8"/>
      <c r="D1741" s="9"/>
      <c r="E1741" s="8"/>
      <c r="F1741" s="8"/>
      <c r="G1741" s="8"/>
      <c r="H1741" s="8"/>
      <c r="I1741" s="10"/>
      <c r="J1741" s="8"/>
    </row>
    <row r="1742" spans="1:10" x14ac:dyDescent="0.15">
      <c r="A1742" s="7"/>
      <c r="B1742" s="8"/>
      <c r="C1742" s="8"/>
      <c r="D1742" s="9"/>
      <c r="E1742" s="8"/>
      <c r="F1742" s="8"/>
      <c r="G1742" s="8"/>
      <c r="H1742" s="8"/>
      <c r="I1742" s="10"/>
      <c r="J1742" s="8"/>
    </row>
    <row r="1743" spans="1:10" x14ac:dyDescent="0.15">
      <c r="A1743" s="7"/>
      <c r="B1743" s="8"/>
      <c r="C1743" s="8"/>
      <c r="D1743" s="9"/>
      <c r="E1743" s="8"/>
      <c r="F1743" s="8"/>
      <c r="G1743" s="8"/>
      <c r="H1743" s="8"/>
      <c r="I1743" s="10"/>
      <c r="J1743" s="8"/>
    </row>
    <row r="1744" spans="1:10" x14ac:dyDescent="0.15">
      <c r="A1744" s="7"/>
      <c r="B1744" s="8"/>
      <c r="C1744" s="8"/>
      <c r="D1744" s="9"/>
      <c r="E1744" s="8"/>
      <c r="F1744" s="8"/>
      <c r="G1744" s="8"/>
      <c r="H1744" s="8"/>
      <c r="I1744" s="10"/>
      <c r="J1744" s="8"/>
    </row>
    <row r="1745" spans="1:10" x14ac:dyDescent="0.15">
      <c r="A1745" s="7"/>
      <c r="B1745" s="8"/>
      <c r="C1745" s="8"/>
      <c r="D1745" s="9"/>
      <c r="E1745" s="8"/>
      <c r="F1745" s="8"/>
      <c r="G1745" s="8"/>
      <c r="H1745" s="8"/>
      <c r="I1745" s="10"/>
      <c r="J1745" s="8"/>
    </row>
    <row r="1746" spans="1:10" x14ac:dyDescent="0.15">
      <c r="A1746" s="7"/>
      <c r="B1746" s="8"/>
      <c r="C1746" s="8"/>
      <c r="D1746" s="9"/>
      <c r="E1746" s="8"/>
      <c r="F1746" s="8"/>
      <c r="G1746" s="8"/>
      <c r="H1746" s="8"/>
      <c r="I1746" s="10"/>
      <c r="J1746" s="8"/>
    </row>
    <row r="1747" spans="1:10" x14ac:dyDescent="0.15">
      <c r="A1747" s="7"/>
      <c r="B1747" s="8"/>
      <c r="C1747" s="8"/>
      <c r="D1747" s="9"/>
      <c r="E1747" s="8"/>
      <c r="F1747" s="8"/>
      <c r="G1747" s="8"/>
      <c r="H1747" s="8"/>
      <c r="I1747" s="10"/>
      <c r="J1747" s="8"/>
    </row>
    <row r="1748" spans="1:10" x14ac:dyDescent="0.15">
      <c r="A1748" s="7"/>
      <c r="B1748" s="8"/>
      <c r="C1748" s="8"/>
      <c r="D1748" s="9"/>
      <c r="E1748" s="8"/>
      <c r="F1748" s="8"/>
      <c r="G1748" s="8"/>
      <c r="H1748" s="8"/>
      <c r="I1748" s="10"/>
      <c r="J1748" s="8"/>
    </row>
    <row r="1749" spans="1:10" x14ac:dyDescent="0.15">
      <c r="A1749" s="7"/>
      <c r="B1749" s="8"/>
      <c r="C1749" s="8"/>
      <c r="D1749" s="9"/>
      <c r="E1749" s="8"/>
      <c r="F1749" s="8"/>
      <c r="G1749" s="8"/>
      <c r="H1749" s="8"/>
      <c r="I1749" s="10"/>
      <c r="J1749" s="8"/>
    </row>
    <row r="1750" spans="1:10" x14ac:dyDescent="0.15">
      <c r="A1750" s="7"/>
      <c r="B1750" s="8"/>
      <c r="C1750" s="8"/>
      <c r="D1750" s="9"/>
      <c r="E1750" s="8"/>
      <c r="F1750" s="8"/>
      <c r="G1750" s="8"/>
      <c r="H1750" s="8"/>
      <c r="I1750" s="10"/>
      <c r="J1750" s="8"/>
    </row>
    <row r="1751" spans="1:10" x14ac:dyDescent="0.15">
      <c r="A1751" s="7"/>
      <c r="B1751" s="8"/>
      <c r="C1751" s="8"/>
      <c r="D1751" s="9"/>
      <c r="E1751" s="8"/>
      <c r="F1751" s="8"/>
      <c r="G1751" s="8"/>
      <c r="H1751" s="8"/>
      <c r="I1751" s="10"/>
      <c r="J1751" s="8"/>
    </row>
    <row r="1752" spans="1:10" x14ac:dyDescent="0.15">
      <c r="A1752" s="7"/>
      <c r="B1752" s="8"/>
      <c r="C1752" s="8"/>
      <c r="D1752" s="9"/>
      <c r="E1752" s="8"/>
      <c r="F1752" s="8"/>
      <c r="G1752" s="8"/>
      <c r="H1752" s="8"/>
      <c r="I1752" s="10"/>
      <c r="J1752" s="8"/>
    </row>
    <row r="1753" spans="1:10" x14ac:dyDescent="0.15">
      <c r="A1753" s="7"/>
      <c r="B1753" s="8"/>
      <c r="C1753" s="8"/>
      <c r="D1753" s="9"/>
      <c r="E1753" s="8"/>
      <c r="F1753" s="8"/>
      <c r="G1753" s="8"/>
      <c r="H1753" s="8"/>
      <c r="I1753" s="10"/>
      <c r="J1753" s="8"/>
    </row>
    <row r="1754" spans="1:10" x14ac:dyDescent="0.15">
      <c r="A1754" s="7"/>
      <c r="B1754" s="8"/>
      <c r="C1754" s="8"/>
      <c r="D1754" s="9"/>
      <c r="E1754" s="8"/>
      <c r="F1754" s="8"/>
      <c r="G1754" s="8"/>
      <c r="H1754" s="8"/>
      <c r="I1754" s="10"/>
      <c r="J1754" s="8"/>
    </row>
    <row r="1755" spans="1:10" x14ac:dyDescent="0.15">
      <c r="A1755" s="7"/>
      <c r="B1755" s="8"/>
      <c r="C1755" s="8"/>
      <c r="D1755" s="9"/>
      <c r="E1755" s="8"/>
      <c r="F1755" s="8"/>
      <c r="G1755" s="8"/>
      <c r="H1755" s="8"/>
      <c r="I1755" s="10"/>
      <c r="J1755" s="8"/>
    </row>
    <row r="1756" spans="1:10" x14ac:dyDescent="0.15">
      <c r="A1756" s="7"/>
      <c r="B1756" s="8"/>
      <c r="C1756" s="8"/>
      <c r="D1756" s="9"/>
      <c r="E1756" s="8"/>
      <c r="F1756" s="8"/>
      <c r="G1756" s="8"/>
      <c r="H1756" s="8"/>
      <c r="I1756" s="10"/>
      <c r="J1756" s="8"/>
    </row>
    <row r="1757" spans="1:10" x14ac:dyDescent="0.15">
      <c r="A1757" s="7"/>
      <c r="B1757" s="8"/>
      <c r="C1757" s="8"/>
      <c r="D1757" s="9"/>
      <c r="E1757" s="8"/>
      <c r="F1757" s="8"/>
      <c r="G1757" s="8"/>
      <c r="H1757" s="8"/>
      <c r="I1757" s="10"/>
      <c r="J1757" s="8"/>
    </row>
    <row r="1758" spans="1:10" x14ac:dyDescent="0.15">
      <c r="A1758" s="7"/>
      <c r="B1758" s="8"/>
      <c r="C1758" s="8"/>
      <c r="D1758" s="9"/>
      <c r="E1758" s="8"/>
      <c r="F1758" s="8"/>
      <c r="G1758" s="8"/>
      <c r="H1758" s="8"/>
      <c r="I1758" s="10"/>
      <c r="J1758" s="8"/>
    </row>
    <row r="1759" spans="1:10" x14ac:dyDescent="0.15">
      <c r="A1759" s="7"/>
      <c r="B1759" s="8"/>
      <c r="C1759" s="8"/>
      <c r="D1759" s="9"/>
      <c r="E1759" s="8"/>
      <c r="F1759" s="8"/>
      <c r="G1759" s="8"/>
      <c r="H1759" s="8"/>
      <c r="I1759" s="10"/>
      <c r="J1759" s="8"/>
    </row>
    <row r="1760" spans="1:10" x14ac:dyDescent="0.15">
      <c r="A1760" s="7"/>
      <c r="B1760" s="8"/>
      <c r="C1760" s="8"/>
      <c r="D1760" s="9"/>
      <c r="E1760" s="8"/>
      <c r="F1760" s="8"/>
      <c r="G1760" s="8"/>
      <c r="H1760" s="8"/>
      <c r="I1760" s="10"/>
      <c r="J1760" s="8"/>
    </row>
    <row r="1761" spans="1:10" x14ac:dyDescent="0.15">
      <c r="A1761" s="7"/>
      <c r="B1761" s="8"/>
      <c r="C1761" s="8"/>
      <c r="D1761" s="9"/>
      <c r="E1761" s="8"/>
      <c r="F1761" s="8"/>
      <c r="G1761" s="8"/>
      <c r="H1761" s="8"/>
      <c r="I1761" s="10"/>
      <c r="J1761" s="8"/>
    </row>
    <row r="1762" spans="1:10" x14ac:dyDescent="0.15">
      <c r="A1762" s="7"/>
      <c r="B1762" s="8"/>
      <c r="C1762" s="8"/>
      <c r="D1762" s="9"/>
      <c r="E1762" s="8"/>
      <c r="F1762" s="8"/>
      <c r="G1762" s="8"/>
      <c r="H1762" s="8"/>
      <c r="I1762" s="10"/>
      <c r="J1762" s="8"/>
    </row>
    <row r="1763" spans="1:10" x14ac:dyDescent="0.15">
      <c r="A1763" s="7"/>
      <c r="B1763" s="8"/>
      <c r="C1763" s="8"/>
      <c r="D1763" s="9"/>
      <c r="E1763" s="8"/>
      <c r="F1763" s="8"/>
      <c r="G1763" s="8"/>
      <c r="H1763" s="8"/>
      <c r="I1763" s="10"/>
      <c r="J1763" s="8"/>
    </row>
    <row r="1764" spans="1:10" x14ac:dyDescent="0.15">
      <c r="A1764" s="7"/>
      <c r="B1764" s="8"/>
      <c r="C1764" s="8"/>
      <c r="D1764" s="9"/>
      <c r="E1764" s="8"/>
      <c r="F1764" s="8"/>
      <c r="G1764" s="8"/>
      <c r="H1764" s="8"/>
      <c r="I1764" s="10"/>
      <c r="J1764" s="8"/>
    </row>
    <row r="1765" spans="1:10" x14ac:dyDescent="0.15">
      <c r="A1765" s="7"/>
      <c r="B1765" s="8"/>
      <c r="C1765" s="8"/>
      <c r="D1765" s="9"/>
      <c r="E1765" s="8"/>
      <c r="F1765" s="8"/>
      <c r="G1765" s="8"/>
      <c r="H1765" s="8"/>
      <c r="I1765" s="10"/>
      <c r="J1765" s="8"/>
    </row>
    <row r="1766" spans="1:10" x14ac:dyDescent="0.15">
      <c r="A1766" s="7"/>
      <c r="B1766" s="8"/>
      <c r="C1766" s="8"/>
      <c r="D1766" s="9"/>
      <c r="E1766" s="8"/>
      <c r="F1766" s="8"/>
      <c r="G1766" s="8"/>
      <c r="H1766" s="8"/>
      <c r="I1766" s="10"/>
      <c r="J1766" s="8"/>
    </row>
    <row r="1767" spans="1:10" x14ac:dyDescent="0.15">
      <c r="A1767" s="7"/>
      <c r="B1767" s="8"/>
      <c r="C1767" s="8"/>
      <c r="D1767" s="9"/>
      <c r="E1767" s="8"/>
      <c r="F1767" s="8"/>
      <c r="G1767" s="8"/>
      <c r="H1767" s="8"/>
      <c r="I1767" s="10"/>
      <c r="J1767" s="8"/>
    </row>
    <row r="1768" spans="1:10" x14ac:dyDescent="0.15">
      <c r="A1768" s="7"/>
      <c r="B1768" s="8"/>
      <c r="C1768" s="8"/>
      <c r="D1768" s="9"/>
      <c r="E1768" s="8"/>
      <c r="F1768" s="8"/>
      <c r="G1768" s="8"/>
      <c r="H1768" s="8"/>
      <c r="I1768" s="10"/>
      <c r="J1768" s="8"/>
    </row>
    <row r="1769" spans="1:10" x14ac:dyDescent="0.15">
      <c r="A1769" s="7"/>
      <c r="B1769" s="8"/>
      <c r="C1769" s="8"/>
      <c r="D1769" s="9"/>
      <c r="E1769" s="8"/>
      <c r="F1769" s="8"/>
      <c r="G1769" s="8"/>
      <c r="H1769" s="8"/>
      <c r="I1769" s="10"/>
      <c r="J1769" s="8"/>
    </row>
    <row r="1770" spans="1:10" x14ac:dyDescent="0.15">
      <c r="A1770" s="7"/>
      <c r="B1770" s="8"/>
      <c r="C1770" s="8"/>
      <c r="D1770" s="9"/>
      <c r="E1770" s="8"/>
      <c r="F1770" s="8"/>
      <c r="G1770" s="8"/>
      <c r="H1770" s="8"/>
      <c r="I1770" s="10"/>
      <c r="J1770" s="8"/>
    </row>
    <row r="1771" spans="1:10" x14ac:dyDescent="0.15">
      <c r="A1771" s="7"/>
      <c r="B1771" s="8"/>
      <c r="C1771" s="8"/>
      <c r="D1771" s="9"/>
      <c r="E1771" s="8"/>
      <c r="F1771" s="8"/>
      <c r="G1771" s="8"/>
      <c r="H1771" s="8"/>
      <c r="I1771" s="10"/>
      <c r="J1771" s="8"/>
    </row>
    <row r="1772" spans="1:10" x14ac:dyDescent="0.15">
      <c r="A1772" s="7"/>
      <c r="B1772" s="8"/>
      <c r="C1772" s="8"/>
      <c r="D1772" s="9"/>
      <c r="E1772" s="8"/>
      <c r="F1772" s="8"/>
      <c r="G1772" s="8"/>
      <c r="H1772" s="8"/>
      <c r="I1772" s="10"/>
      <c r="J1772" s="8"/>
    </row>
    <row r="1773" spans="1:10" x14ac:dyDescent="0.15">
      <c r="A1773" s="7"/>
      <c r="B1773" s="8"/>
      <c r="C1773" s="8"/>
      <c r="D1773" s="9"/>
      <c r="E1773" s="8"/>
      <c r="F1773" s="8"/>
      <c r="G1773" s="8"/>
      <c r="H1773" s="8"/>
      <c r="I1773" s="10"/>
      <c r="J1773" s="8"/>
    </row>
    <row r="1774" spans="1:10" x14ac:dyDescent="0.15">
      <c r="A1774" s="7"/>
      <c r="B1774" s="8"/>
      <c r="C1774" s="8"/>
      <c r="D1774" s="9"/>
      <c r="E1774" s="8"/>
      <c r="F1774" s="8"/>
      <c r="G1774" s="8"/>
      <c r="H1774" s="8"/>
      <c r="I1774" s="10"/>
      <c r="J1774" s="8"/>
    </row>
    <row r="1775" spans="1:10" x14ac:dyDescent="0.15">
      <c r="A1775" s="7"/>
      <c r="B1775" s="8"/>
      <c r="C1775" s="8"/>
      <c r="D1775" s="9"/>
      <c r="E1775" s="8"/>
      <c r="F1775" s="8"/>
      <c r="G1775" s="8"/>
      <c r="H1775" s="8"/>
      <c r="I1775" s="10"/>
      <c r="J1775" s="8"/>
    </row>
    <row r="1776" spans="1:10" x14ac:dyDescent="0.15">
      <c r="A1776" s="7"/>
      <c r="B1776" s="8"/>
      <c r="C1776" s="8"/>
      <c r="D1776" s="9"/>
      <c r="E1776" s="8"/>
      <c r="F1776" s="8"/>
      <c r="G1776" s="8"/>
      <c r="H1776" s="8"/>
      <c r="I1776" s="10"/>
      <c r="J1776" s="8"/>
    </row>
    <row r="1777" spans="1:10" x14ac:dyDescent="0.15">
      <c r="A1777" s="7"/>
      <c r="B1777" s="8"/>
      <c r="C1777" s="8"/>
      <c r="D1777" s="9"/>
      <c r="E1777" s="8"/>
      <c r="F1777" s="8"/>
      <c r="G1777" s="8"/>
      <c r="H1777" s="8"/>
      <c r="I1777" s="10"/>
      <c r="J1777" s="8"/>
    </row>
    <row r="1778" spans="1:10" x14ac:dyDescent="0.15">
      <c r="A1778" s="7"/>
      <c r="B1778" s="8"/>
      <c r="C1778" s="8"/>
      <c r="D1778" s="9"/>
      <c r="E1778" s="8"/>
      <c r="F1778" s="8"/>
      <c r="G1778" s="8"/>
      <c r="H1778" s="8"/>
      <c r="I1778" s="10"/>
      <c r="J1778" s="8"/>
    </row>
    <row r="1779" spans="1:10" x14ac:dyDescent="0.15">
      <c r="A1779" s="7"/>
      <c r="B1779" s="8"/>
      <c r="C1779" s="8"/>
      <c r="D1779" s="9"/>
      <c r="E1779" s="8"/>
      <c r="F1779" s="8"/>
      <c r="G1779" s="8"/>
      <c r="H1779" s="8"/>
      <c r="I1779" s="10"/>
      <c r="J1779" s="8"/>
    </row>
    <row r="1780" spans="1:10" x14ac:dyDescent="0.15">
      <c r="A1780" s="7"/>
      <c r="B1780" s="8"/>
      <c r="C1780" s="8"/>
      <c r="D1780" s="9"/>
      <c r="E1780" s="8"/>
      <c r="F1780" s="8"/>
      <c r="G1780" s="8"/>
      <c r="H1780" s="8"/>
      <c r="I1780" s="10"/>
      <c r="J1780" s="8"/>
    </row>
    <row r="1781" spans="1:10" x14ac:dyDescent="0.15">
      <c r="A1781" s="7"/>
      <c r="B1781" s="8"/>
      <c r="C1781" s="8"/>
      <c r="D1781" s="9"/>
      <c r="E1781" s="8"/>
      <c r="F1781" s="8"/>
      <c r="G1781" s="8"/>
      <c r="H1781" s="8"/>
      <c r="I1781" s="10"/>
      <c r="J1781" s="8"/>
    </row>
    <row r="1782" spans="1:10" x14ac:dyDescent="0.15">
      <c r="A1782" s="7"/>
      <c r="B1782" s="8"/>
      <c r="C1782" s="8"/>
      <c r="D1782" s="9"/>
      <c r="E1782" s="8"/>
      <c r="F1782" s="8"/>
      <c r="G1782" s="8"/>
      <c r="H1782" s="8"/>
      <c r="I1782" s="10"/>
      <c r="J1782" s="8"/>
    </row>
    <row r="1783" spans="1:10" x14ac:dyDescent="0.15">
      <c r="A1783" s="7"/>
      <c r="B1783" s="8"/>
      <c r="C1783" s="8"/>
      <c r="D1783" s="9"/>
      <c r="E1783" s="8"/>
      <c r="F1783" s="8"/>
      <c r="G1783" s="8"/>
      <c r="H1783" s="8"/>
      <c r="I1783" s="10"/>
      <c r="J1783" s="8"/>
    </row>
    <row r="1784" spans="1:10" x14ac:dyDescent="0.15">
      <c r="A1784" s="7"/>
      <c r="B1784" s="8"/>
      <c r="C1784" s="8"/>
      <c r="D1784" s="9"/>
      <c r="E1784" s="8"/>
      <c r="F1784" s="8"/>
      <c r="G1784" s="8"/>
      <c r="H1784" s="8"/>
      <c r="I1784" s="10"/>
      <c r="J1784" s="8"/>
    </row>
    <row r="1785" spans="1:10" x14ac:dyDescent="0.15">
      <c r="A1785" s="7"/>
      <c r="B1785" s="8"/>
      <c r="C1785" s="8"/>
      <c r="D1785" s="9"/>
      <c r="E1785" s="8"/>
      <c r="F1785" s="8"/>
      <c r="G1785" s="8"/>
      <c r="H1785" s="8"/>
      <c r="I1785" s="10"/>
      <c r="J1785" s="8"/>
    </row>
    <row r="1786" spans="1:10" x14ac:dyDescent="0.15">
      <c r="A1786" s="7"/>
      <c r="B1786" s="8"/>
      <c r="C1786" s="8"/>
      <c r="D1786" s="9"/>
      <c r="E1786" s="8"/>
      <c r="F1786" s="8"/>
      <c r="G1786" s="8"/>
      <c r="H1786" s="8"/>
      <c r="I1786" s="10"/>
      <c r="J1786" s="8"/>
    </row>
    <row r="1787" spans="1:10" x14ac:dyDescent="0.15">
      <c r="A1787" s="7"/>
      <c r="B1787" s="8"/>
      <c r="C1787" s="8"/>
      <c r="D1787" s="9"/>
      <c r="E1787" s="8"/>
      <c r="F1787" s="8"/>
      <c r="G1787" s="8"/>
      <c r="H1787" s="8"/>
      <c r="I1787" s="10"/>
      <c r="J1787" s="8"/>
    </row>
    <row r="1788" spans="1:10" x14ac:dyDescent="0.15">
      <c r="A1788" s="7"/>
      <c r="B1788" s="8"/>
      <c r="C1788" s="8"/>
      <c r="D1788" s="9"/>
      <c r="E1788" s="8"/>
      <c r="F1788" s="8"/>
      <c r="G1788" s="8"/>
      <c r="H1788" s="8"/>
      <c r="I1788" s="10"/>
      <c r="J1788" s="8"/>
    </row>
    <row r="1789" spans="1:10" x14ac:dyDescent="0.15">
      <c r="A1789" s="7"/>
      <c r="B1789" s="8"/>
      <c r="C1789" s="8"/>
      <c r="D1789" s="9"/>
      <c r="E1789" s="8"/>
      <c r="F1789" s="8"/>
      <c r="G1789" s="8"/>
      <c r="H1789" s="8"/>
      <c r="I1789" s="10"/>
      <c r="J1789" s="8"/>
    </row>
    <row r="1790" spans="1:10" x14ac:dyDescent="0.15">
      <c r="A1790" s="7"/>
      <c r="B1790" s="8"/>
      <c r="C1790" s="8"/>
      <c r="D1790" s="9"/>
      <c r="E1790" s="8"/>
      <c r="F1790" s="8"/>
      <c r="G1790" s="8"/>
      <c r="H1790" s="8"/>
      <c r="I1790" s="10"/>
      <c r="J1790" s="8"/>
    </row>
    <row r="1791" spans="1:10" x14ac:dyDescent="0.15">
      <c r="A1791" s="7"/>
      <c r="B1791" s="8"/>
      <c r="C1791" s="8"/>
      <c r="D1791" s="9"/>
      <c r="E1791" s="8"/>
      <c r="F1791" s="8"/>
      <c r="G1791" s="8"/>
      <c r="H1791" s="8"/>
      <c r="I1791" s="10"/>
      <c r="J1791" s="8"/>
    </row>
    <row r="1792" spans="1:10" x14ac:dyDescent="0.15">
      <c r="A1792" s="7"/>
      <c r="B1792" s="8"/>
      <c r="C1792" s="8"/>
      <c r="D1792" s="9"/>
      <c r="E1792" s="8"/>
      <c r="F1792" s="8"/>
      <c r="G1792" s="8"/>
      <c r="H1792" s="8"/>
      <c r="I1792" s="10"/>
      <c r="J1792" s="8"/>
    </row>
    <row r="1793" spans="1:10" x14ac:dyDescent="0.15">
      <c r="A1793" s="7"/>
      <c r="B1793" s="8"/>
      <c r="C1793" s="8"/>
      <c r="D1793" s="9"/>
      <c r="E1793" s="8"/>
      <c r="F1793" s="8"/>
      <c r="G1793" s="8"/>
      <c r="H1793" s="8"/>
      <c r="I1793" s="10"/>
      <c r="J1793" s="8"/>
    </row>
    <row r="1794" spans="1:10" x14ac:dyDescent="0.15">
      <c r="A1794" s="7"/>
      <c r="B1794" s="8"/>
      <c r="C1794" s="8"/>
      <c r="D1794" s="9"/>
      <c r="E1794" s="8"/>
      <c r="F1794" s="8"/>
      <c r="G1794" s="8"/>
      <c r="H1794" s="8"/>
      <c r="I1794" s="10"/>
      <c r="J1794" s="8"/>
    </row>
    <row r="1795" spans="1:10" x14ac:dyDescent="0.15">
      <c r="A1795" s="7"/>
      <c r="B1795" s="8"/>
      <c r="C1795" s="8"/>
      <c r="D1795" s="9"/>
      <c r="E1795" s="8"/>
      <c r="F1795" s="8"/>
      <c r="G1795" s="8"/>
      <c r="H1795" s="8"/>
      <c r="I1795" s="10"/>
      <c r="J1795" s="8"/>
    </row>
    <row r="1796" spans="1:10" x14ac:dyDescent="0.15">
      <c r="A1796" s="7"/>
      <c r="B1796" s="8"/>
      <c r="C1796" s="8"/>
      <c r="D1796" s="9"/>
      <c r="E1796" s="8"/>
      <c r="F1796" s="8"/>
      <c r="G1796" s="8"/>
      <c r="H1796" s="8"/>
      <c r="I1796" s="10"/>
      <c r="J1796" s="8"/>
    </row>
    <row r="1797" spans="1:10" x14ac:dyDescent="0.15">
      <c r="A1797" s="7"/>
      <c r="B1797" s="8"/>
      <c r="C1797" s="8"/>
      <c r="D1797" s="9"/>
      <c r="E1797" s="8"/>
      <c r="F1797" s="8"/>
      <c r="G1797" s="8"/>
      <c r="H1797" s="8"/>
      <c r="I1797" s="10"/>
      <c r="J1797" s="8"/>
    </row>
    <row r="1798" spans="1:10" x14ac:dyDescent="0.15">
      <c r="A1798" s="7"/>
      <c r="B1798" s="8"/>
      <c r="C1798" s="8"/>
      <c r="D1798" s="9"/>
      <c r="E1798" s="8"/>
      <c r="F1798" s="8"/>
      <c r="G1798" s="8"/>
      <c r="H1798" s="8"/>
      <c r="I1798" s="10"/>
      <c r="J1798" s="8"/>
    </row>
    <row r="1799" spans="1:10" x14ac:dyDescent="0.15">
      <c r="A1799" s="7"/>
      <c r="B1799" s="8"/>
      <c r="C1799" s="8"/>
      <c r="D1799" s="9"/>
      <c r="E1799" s="8"/>
      <c r="F1799" s="8"/>
      <c r="G1799" s="8"/>
      <c r="H1799" s="8"/>
      <c r="I1799" s="10"/>
      <c r="J1799" s="8"/>
    </row>
    <row r="1800" spans="1:10" x14ac:dyDescent="0.15">
      <c r="A1800" s="7"/>
      <c r="B1800" s="8"/>
      <c r="C1800" s="8"/>
      <c r="D1800" s="9"/>
      <c r="E1800" s="8"/>
      <c r="F1800" s="8"/>
      <c r="G1800" s="8"/>
      <c r="H1800" s="8"/>
      <c r="I1800" s="10"/>
      <c r="J1800" s="8"/>
    </row>
    <row r="1801" spans="1:10" x14ac:dyDescent="0.15">
      <c r="A1801" s="7"/>
      <c r="B1801" s="8"/>
      <c r="C1801" s="8"/>
      <c r="D1801" s="9"/>
      <c r="E1801" s="8"/>
      <c r="F1801" s="8"/>
      <c r="G1801" s="8"/>
      <c r="H1801" s="8"/>
      <c r="I1801" s="10"/>
      <c r="J1801" s="8"/>
    </row>
    <row r="1802" spans="1:10" x14ac:dyDescent="0.15">
      <c r="A1802" s="7"/>
      <c r="B1802" s="8"/>
      <c r="C1802" s="8"/>
      <c r="D1802" s="9"/>
      <c r="E1802" s="8"/>
      <c r="F1802" s="8"/>
      <c r="G1802" s="8"/>
      <c r="H1802" s="8"/>
      <c r="I1802" s="10"/>
      <c r="J1802" s="8"/>
    </row>
    <row r="1803" spans="1:10" x14ac:dyDescent="0.15">
      <c r="A1803" s="7"/>
      <c r="B1803" s="8"/>
      <c r="C1803" s="8"/>
      <c r="D1803" s="9"/>
      <c r="E1803" s="8"/>
      <c r="F1803" s="8"/>
      <c r="G1803" s="8"/>
      <c r="H1803" s="8"/>
      <c r="I1803" s="10"/>
      <c r="J1803" s="8"/>
    </row>
    <row r="1804" spans="1:10" x14ac:dyDescent="0.15">
      <c r="A1804" s="7"/>
      <c r="B1804" s="8"/>
      <c r="C1804" s="8"/>
      <c r="D1804" s="9"/>
      <c r="E1804" s="8"/>
      <c r="F1804" s="8"/>
      <c r="G1804" s="8"/>
      <c r="H1804" s="8"/>
      <c r="I1804" s="10"/>
      <c r="J1804" s="8"/>
    </row>
    <row r="1805" spans="1:10" x14ac:dyDescent="0.15">
      <c r="A1805" s="7"/>
      <c r="B1805" s="8"/>
      <c r="C1805" s="8"/>
      <c r="D1805" s="9"/>
      <c r="E1805" s="8"/>
      <c r="F1805" s="8"/>
      <c r="G1805" s="8"/>
      <c r="H1805" s="8"/>
      <c r="I1805" s="10"/>
      <c r="J1805" s="8"/>
    </row>
    <row r="1806" spans="1:10" x14ac:dyDescent="0.15">
      <c r="A1806" s="7"/>
      <c r="B1806" s="8"/>
      <c r="C1806" s="8"/>
      <c r="D1806" s="9"/>
      <c r="E1806" s="8"/>
      <c r="F1806" s="8"/>
      <c r="G1806" s="8"/>
      <c r="H1806" s="8"/>
      <c r="I1806" s="10"/>
      <c r="J1806" s="8"/>
    </row>
    <row r="1807" spans="1:10" x14ac:dyDescent="0.15">
      <c r="A1807" s="7"/>
      <c r="B1807" s="8"/>
      <c r="C1807" s="8"/>
      <c r="D1807" s="9"/>
      <c r="E1807" s="8"/>
      <c r="F1807" s="8"/>
      <c r="G1807" s="8"/>
      <c r="H1807" s="8"/>
      <c r="I1807" s="10"/>
      <c r="J1807" s="8"/>
    </row>
    <row r="1808" spans="1:10" x14ac:dyDescent="0.15">
      <c r="A1808" s="7"/>
      <c r="B1808" s="8"/>
      <c r="C1808" s="8"/>
      <c r="D1808" s="9"/>
      <c r="E1808" s="8"/>
      <c r="F1808" s="8"/>
      <c r="G1808" s="8"/>
      <c r="H1808" s="8"/>
      <c r="I1808" s="10"/>
      <c r="J1808" s="8"/>
    </row>
    <row r="1809" spans="1:10" x14ac:dyDescent="0.15">
      <c r="A1809" s="7"/>
      <c r="B1809" s="8"/>
      <c r="C1809" s="8"/>
      <c r="D1809" s="9"/>
      <c r="E1809" s="8"/>
      <c r="F1809" s="8"/>
      <c r="G1809" s="8"/>
      <c r="H1809" s="8"/>
      <c r="I1809" s="10"/>
      <c r="J1809" s="8"/>
    </row>
    <row r="1810" spans="1:10" x14ac:dyDescent="0.15">
      <c r="A1810" s="7"/>
      <c r="B1810" s="8"/>
      <c r="C1810" s="8"/>
      <c r="D1810" s="9"/>
      <c r="E1810" s="8"/>
      <c r="F1810" s="8"/>
      <c r="G1810" s="8"/>
      <c r="H1810" s="8"/>
      <c r="I1810" s="10"/>
      <c r="J1810" s="8"/>
    </row>
    <row r="1811" spans="1:10" x14ac:dyDescent="0.15">
      <c r="A1811" s="7"/>
      <c r="B1811" s="8"/>
      <c r="C1811" s="8"/>
      <c r="D1811" s="9"/>
      <c r="E1811" s="8"/>
      <c r="F1811" s="8"/>
      <c r="G1811" s="8"/>
      <c r="H1811" s="8"/>
      <c r="I1811" s="10"/>
      <c r="J1811" s="8"/>
    </row>
    <row r="1812" spans="1:10" x14ac:dyDescent="0.15">
      <c r="A1812" s="7"/>
      <c r="B1812" s="8"/>
      <c r="C1812" s="8"/>
      <c r="D1812" s="9"/>
      <c r="E1812" s="8"/>
      <c r="F1812" s="8"/>
      <c r="G1812" s="8"/>
      <c r="H1812" s="8"/>
      <c r="I1812" s="10"/>
      <c r="J1812" s="8"/>
    </row>
    <row r="1813" spans="1:10" x14ac:dyDescent="0.15">
      <c r="A1813" s="7"/>
      <c r="B1813" s="8"/>
      <c r="C1813" s="8"/>
      <c r="D1813" s="9"/>
      <c r="E1813" s="8"/>
      <c r="F1813" s="8"/>
      <c r="G1813" s="8"/>
      <c r="H1813" s="8"/>
      <c r="I1813" s="10"/>
      <c r="J1813" s="8"/>
    </row>
    <row r="1814" spans="1:10" x14ac:dyDescent="0.15">
      <c r="A1814" s="7"/>
      <c r="B1814" s="8"/>
      <c r="C1814" s="8"/>
      <c r="D1814" s="9"/>
      <c r="E1814" s="8"/>
      <c r="F1814" s="8"/>
      <c r="G1814" s="8"/>
      <c r="H1814" s="8"/>
      <c r="I1814" s="10"/>
      <c r="J1814" s="8"/>
    </row>
    <row r="1815" spans="1:10" x14ac:dyDescent="0.15">
      <c r="A1815" s="7"/>
      <c r="B1815" s="8"/>
      <c r="C1815" s="8"/>
      <c r="D1815" s="9"/>
      <c r="E1815" s="8"/>
      <c r="F1815" s="8"/>
      <c r="G1815" s="8"/>
      <c r="H1815" s="8"/>
      <c r="I1815" s="10"/>
      <c r="J1815" s="8"/>
    </row>
    <row r="1816" spans="1:10" x14ac:dyDescent="0.15">
      <c r="A1816" s="7"/>
      <c r="B1816" s="8"/>
      <c r="C1816" s="8"/>
      <c r="D1816" s="9"/>
      <c r="E1816" s="8"/>
      <c r="F1816" s="8"/>
      <c r="G1816" s="8"/>
      <c r="H1816" s="8"/>
      <c r="I1816" s="10"/>
      <c r="J1816" s="8"/>
    </row>
    <row r="1817" spans="1:10" x14ac:dyDescent="0.15">
      <c r="A1817" s="7"/>
      <c r="B1817" s="8"/>
      <c r="C1817" s="8"/>
      <c r="D1817" s="9"/>
      <c r="E1817" s="8"/>
      <c r="F1817" s="8"/>
      <c r="G1817" s="8"/>
      <c r="H1817" s="8"/>
      <c r="I1817" s="10"/>
      <c r="J1817" s="8"/>
    </row>
    <row r="1818" spans="1:10" x14ac:dyDescent="0.15">
      <c r="A1818" s="7"/>
      <c r="B1818" s="8"/>
      <c r="C1818" s="8"/>
      <c r="D1818" s="9"/>
      <c r="E1818" s="8"/>
      <c r="F1818" s="8"/>
      <c r="G1818" s="8"/>
      <c r="H1818" s="8"/>
      <c r="I1818" s="10"/>
      <c r="J1818" s="8"/>
    </row>
    <row r="1819" spans="1:10" x14ac:dyDescent="0.15">
      <c r="A1819" s="7"/>
      <c r="B1819" s="8"/>
      <c r="C1819" s="8"/>
      <c r="D1819" s="9"/>
      <c r="E1819" s="8"/>
      <c r="F1819" s="8"/>
      <c r="G1819" s="8"/>
      <c r="H1819" s="8"/>
      <c r="I1819" s="10"/>
      <c r="J1819" s="8"/>
    </row>
    <row r="1820" spans="1:10" x14ac:dyDescent="0.15">
      <c r="A1820" s="7"/>
      <c r="B1820" s="8"/>
      <c r="C1820" s="8"/>
      <c r="D1820" s="9"/>
      <c r="E1820" s="8"/>
      <c r="F1820" s="8"/>
      <c r="G1820" s="8"/>
      <c r="H1820" s="8"/>
      <c r="I1820" s="10"/>
      <c r="J1820" s="8"/>
    </row>
    <row r="1821" spans="1:10" x14ac:dyDescent="0.15">
      <c r="A1821" s="7"/>
      <c r="B1821" s="8"/>
      <c r="C1821" s="8"/>
      <c r="D1821" s="9"/>
      <c r="E1821" s="8"/>
      <c r="F1821" s="8"/>
      <c r="G1821" s="8"/>
      <c r="H1821" s="8"/>
      <c r="I1821" s="10"/>
      <c r="J1821" s="8"/>
    </row>
    <row r="1822" spans="1:10" x14ac:dyDescent="0.15">
      <c r="A1822" s="7"/>
      <c r="B1822" s="8"/>
      <c r="C1822" s="8"/>
      <c r="D1822" s="9"/>
      <c r="E1822" s="8"/>
      <c r="F1822" s="8"/>
      <c r="G1822" s="8"/>
      <c r="H1822" s="8"/>
      <c r="I1822" s="10"/>
      <c r="J1822" s="8"/>
    </row>
    <row r="1823" spans="1:10" x14ac:dyDescent="0.15">
      <c r="A1823" s="7"/>
      <c r="B1823" s="8"/>
      <c r="C1823" s="8"/>
      <c r="D1823" s="9"/>
      <c r="E1823" s="8"/>
      <c r="F1823" s="8"/>
      <c r="G1823" s="8"/>
      <c r="H1823" s="8"/>
      <c r="I1823" s="10"/>
      <c r="J1823" s="8"/>
    </row>
    <row r="1824" spans="1:10" x14ac:dyDescent="0.15">
      <c r="A1824" s="7"/>
      <c r="B1824" s="8"/>
      <c r="C1824" s="8"/>
      <c r="D1824" s="9"/>
      <c r="E1824" s="8"/>
      <c r="F1824" s="8"/>
      <c r="G1824" s="8"/>
      <c r="H1824" s="8"/>
      <c r="I1824" s="10"/>
      <c r="J1824" s="8"/>
    </row>
    <row r="1825" spans="1:10" x14ac:dyDescent="0.15">
      <c r="A1825" s="7"/>
      <c r="B1825" s="8"/>
      <c r="C1825" s="8"/>
      <c r="D1825" s="9"/>
      <c r="E1825" s="8"/>
      <c r="F1825" s="8"/>
      <c r="G1825" s="8"/>
      <c r="H1825" s="8"/>
      <c r="I1825" s="10"/>
      <c r="J1825" s="8"/>
    </row>
    <row r="1826" spans="1:10" x14ac:dyDescent="0.15">
      <c r="A1826" s="7"/>
      <c r="B1826" s="8"/>
      <c r="C1826" s="8"/>
      <c r="D1826" s="9"/>
      <c r="E1826" s="8"/>
      <c r="F1826" s="8"/>
      <c r="G1826" s="8"/>
      <c r="H1826" s="8"/>
      <c r="I1826" s="10"/>
      <c r="J1826" s="8"/>
    </row>
    <row r="1827" spans="1:10" x14ac:dyDescent="0.15">
      <c r="A1827" s="7"/>
      <c r="B1827" s="8"/>
      <c r="C1827" s="8"/>
      <c r="D1827" s="9"/>
      <c r="E1827" s="8"/>
      <c r="F1827" s="8"/>
      <c r="G1827" s="8"/>
      <c r="H1827" s="8"/>
      <c r="I1827" s="10"/>
      <c r="J1827" s="8"/>
    </row>
    <row r="1828" spans="1:10" x14ac:dyDescent="0.15">
      <c r="A1828" s="7"/>
      <c r="B1828" s="8"/>
      <c r="C1828" s="8"/>
      <c r="D1828" s="9"/>
      <c r="E1828" s="8"/>
      <c r="F1828" s="8"/>
      <c r="G1828" s="8"/>
      <c r="H1828" s="8"/>
      <c r="I1828" s="10"/>
      <c r="J1828" s="8"/>
    </row>
    <row r="1829" spans="1:10" x14ac:dyDescent="0.15">
      <c r="A1829" s="7"/>
      <c r="B1829" s="8"/>
      <c r="C1829" s="8"/>
      <c r="D1829" s="9"/>
      <c r="E1829" s="8"/>
      <c r="F1829" s="8"/>
      <c r="G1829" s="8"/>
      <c r="H1829" s="8"/>
      <c r="I1829" s="10"/>
      <c r="J1829" s="8"/>
    </row>
    <row r="1830" spans="1:10" x14ac:dyDescent="0.15">
      <c r="A1830" s="7"/>
      <c r="B1830" s="8"/>
      <c r="C1830" s="8"/>
      <c r="D1830" s="9"/>
      <c r="E1830" s="8"/>
      <c r="F1830" s="8"/>
      <c r="G1830" s="8"/>
      <c r="H1830" s="8"/>
      <c r="I1830" s="10"/>
      <c r="J1830" s="8"/>
    </row>
    <row r="1831" spans="1:10" x14ac:dyDescent="0.15">
      <c r="A1831" s="7"/>
      <c r="B1831" s="8"/>
      <c r="C1831" s="8"/>
      <c r="D1831" s="9"/>
      <c r="E1831" s="8"/>
      <c r="F1831" s="8"/>
      <c r="G1831" s="8"/>
      <c r="H1831" s="8"/>
      <c r="I1831" s="10"/>
      <c r="J1831" s="8"/>
    </row>
    <row r="1832" spans="1:10" x14ac:dyDescent="0.15">
      <c r="A1832" s="7"/>
      <c r="B1832" s="8"/>
      <c r="C1832" s="8"/>
      <c r="D1832" s="9"/>
      <c r="E1832" s="8"/>
      <c r="F1832" s="8"/>
      <c r="G1832" s="8"/>
      <c r="H1832" s="8"/>
      <c r="I1832" s="10"/>
      <c r="J1832" s="8"/>
    </row>
    <row r="1833" spans="1:10" x14ac:dyDescent="0.15">
      <c r="A1833" s="7"/>
      <c r="B1833" s="8"/>
      <c r="C1833" s="8"/>
      <c r="D1833" s="9"/>
      <c r="E1833" s="8"/>
      <c r="F1833" s="8"/>
      <c r="G1833" s="8"/>
      <c r="H1833" s="8"/>
      <c r="I1833" s="10"/>
      <c r="J1833" s="8"/>
    </row>
    <row r="1834" spans="1:10" x14ac:dyDescent="0.15">
      <c r="A1834" s="7"/>
      <c r="B1834" s="8"/>
      <c r="C1834" s="8"/>
      <c r="D1834" s="9"/>
      <c r="E1834" s="8"/>
      <c r="F1834" s="8"/>
      <c r="G1834" s="8"/>
      <c r="H1834" s="8"/>
      <c r="I1834" s="10"/>
      <c r="J1834" s="8"/>
    </row>
    <row r="1835" spans="1:10" x14ac:dyDescent="0.15">
      <c r="A1835" s="7"/>
      <c r="B1835" s="8"/>
      <c r="C1835" s="8"/>
      <c r="D1835" s="9"/>
      <c r="E1835" s="8"/>
      <c r="F1835" s="8"/>
      <c r="G1835" s="8"/>
      <c r="H1835" s="8"/>
      <c r="I1835" s="10"/>
      <c r="J1835" s="8"/>
    </row>
    <row r="1836" spans="1:10" x14ac:dyDescent="0.15">
      <c r="A1836" s="7"/>
      <c r="B1836" s="8"/>
      <c r="C1836" s="8"/>
      <c r="D1836" s="9"/>
      <c r="E1836" s="8"/>
      <c r="F1836" s="8"/>
      <c r="G1836" s="8"/>
      <c r="H1836" s="8"/>
      <c r="I1836" s="10"/>
      <c r="J1836" s="8"/>
    </row>
    <row r="1837" spans="1:10" x14ac:dyDescent="0.15">
      <c r="A1837" s="7"/>
      <c r="B1837" s="8"/>
      <c r="C1837" s="8"/>
      <c r="D1837" s="9"/>
      <c r="E1837" s="8"/>
      <c r="F1837" s="8"/>
      <c r="G1837" s="8"/>
      <c r="H1837" s="8"/>
      <c r="I1837" s="10"/>
      <c r="J1837" s="8"/>
    </row>
    <row r="1838" spans="1:10" x14ac:dyDescent="0.15">
      <c r="A1838" s="7"/>
      <c r="B1838" s="8"/>
      <c r="C1838" s="8"/>
      <c r="D1838" s="9"/>
      <c r="E1838" s="8"/>
      <c r="F1838" s="8"/>
      <c r="G1838" s="8"/>
      <c r="H1838" s="8"/>
      <c r="I1838" s="10"/>
      <c r="J1838" s="8"/>
    </row>
    <row r="1839" spans="1:10" x14ac:dyDescent="0.15">
      <c r="A1839" s="7"/>
      <c r="B1839" s="8"/>
      <c r="C1839" s="8"/>
      <c r="D1839" s="9"/>
      <c r="E1839" s="8"/>
      <c r="F1839" s="8"/>
      <c r="G1839" s="8"/>
      <c r="H1839" s="8"/>
      <c r="I1839" s="10"/>
      <c r="J1839" s="8"/>
    </row>
    <row r="1840" spans="1:10" x14ac:dyDescent="0.15">
      <c r="A1840" s="7"/>
      <c r="B1840" s="8"/>
      <c r="C1840" s="8"/>
      <c r="D1840" s="9"/>
      <c r="E1840" s="8"/>
      <c r="F1840" s="8"/>
      <c r="G1840" s="8"/>
      <c r="H1840" s="8"/>
      <c r="I1840" s="10"/>
      <c r="J1840" s="8"/>
    </row>
    <row r="1841" spans="1:10" x14ac:dyDescent="0.15">
      <c r="A1841" s="7"/>
      <c r="B1841" s="8"/>
      <c r="C1841" s="8"/>
      <c r="D1841" s="9"/>
      <c r="E1841" s="8"/>
      <c r="F1841" s="8"/>
      <c r="G1841" s="8"/>
      <c r="H1841" s="8"/>
      <c r="I1841" s="10"/>
      <c r="J1841" s="8"/>
    </row>
    <row r="1842" spans="1:10" x14ac:dyDescent="0.15">
      <c r="A1842" s="7"/>
      <c r="B1842" s="8"/>
      <c r="C1842" s="8"/>
      <c r="D1842" s="9"/>
      <c r="E1842" s="8"/>
      <c r="F1842" s="8"/>
      <c r="G1842" s="8"/>
      <c r="H1842" s="8"/>
      <c r="I1842" s="10"/>
      <c r="J1842" s="8"/>
    </row>
    <row r="1843" spans="1:10" x14ac:dyDescent="0.15">
      <c r="A1843" s="7"/>
      <c r="B1843" s="8"/>
      <c r="C1843" s="8"/>
      <c r="D1843" s="9"/>
      <c r="E1843" s="8"/>
      <c r="F1843" s="8"/>
      <c r="G1843" s="8"/>
      <c r="H1843" s="8"/>
      <c r="I1843" s="10"/>
      <c r="J1843" s="8"/>
    </row>
    <row r="1844" spans="1:10" x14ac:dyDescent="0.15">
      <c r="A1844" s="7"/>
      <c r="B1844" s="8"/>
      <c r="C1844" s="8"/>
      <c r="D1844" s="9"/>
      <c r="E1844" s="8"/>
      <c r="F1844" s="8"/>
      <c r="G1844" s="8"/>
      <c r="H1844" s="8"/>
      <c r="I1844" s="10"/>
      <c r="J1844" s="8"/>
    </row>
    <row r="1845" spans="1:10" x14ac:dyDescent="0.15">
      <c r="A1845" s="7"/>
      <c r="B1845" s="8"/>
      <c r="C1845" s="8"/>
      <c r="D1845" s="9"/>
      <c r="E1845" s="8"/>
      <c r="F1845" s="8"/>
      <c r="G1845" s="8"/>
      <c r="H1845" s="8"/>
      <c r="I1845" s="10"/>
      <c r="J1845" s="8"/>
    </row>
    <row r="1846" spans="1:10" x14ac:dyDescent="0.15">
      <c r="A1846" s="7"/>
      <c r="B1846" s="8"/>
      <c r="C1846" s="8"/>
      <c r="D1846" s="9"/>
      <c r="E1846" s="8"/>
      <c r="F1846" s="8"/>
      <c r="G1846" s="8"/>
      <c r="H1846" s="8"/>
      <c r="I1846" s="10"/>
      <c r="J1846" s="8"/>
    </row>
    <row r="1847" spans="1:10" x14ac:dyDescent="0.15">
      <c r="A1847" s="7"/>
      <c r="B1847" s="8"/>
      <c r="C1847" s="8"/>
      <c r="D1847" s="9"/>
      <c r="E1847" s="8"/>
      <c r="F1847" s="8"/>
      <c r="G1847" s="8"/>
      <c r="H1847" s="8"/>
      <c r="I1847" s="10"/>
      <c r="J1847" s="8"/>
    </row>
    <row r="1848" spans="1:10" x14ac:dyDescent="0.15">
      <c r="A1848" s="7"/>
      <c r="B1848" s="8"/>
      <c r="C1848" s="8"/>
      <c r="D1848" s="9"/>
      <c r="E1848" s="8"/>
      <c r="F1848" s="8"/>
      <c r="G1848" s="8"/>
      <c r="H1848" s="8"/>
      <c r="I1848" s="10"/>
      <c r="J1848" s="8"/>
    </row>
    <row r="1849" spans="1:10" x14ac:dyDescent="0.15">
      <c r="A1849" s="7"/>
      <c r="B1849" s="8"/>
      <c r="C1849" s="8"/>
      <c r="D1849" s="9"/>
      <c r="E1849" s="8"/>
      <c r="F1849" s="8"/>
      <c r="G1849" s="8"/>
      <c r="H1849" s="8"/>
      <c r="I1849" s="10"/>
      <c r="J1849" s="8"/>
    </row>
    <row r="1850" spans="1:10" x14ac:dyDescent="0.15">
      <c r="A1850" s="7"/>
      <c r="B1850" s="8"/>
      <c r="C1850" s="8"/>
      <c r="D1850" s="9"/>
      <c r="E1850" s="8"/>
      <c r="F1850" s="8"/>
      <c r="G1850" s="8"/>
      <c r="H1850" s="8"/>
      <c r="I1850" s="10"/>
      <c r="J1850" s="8"/>
    </row>
    <row r="1851" spans="1:10" x14ac:dyDescent="0.15">
      <c r="A1851" s="7"/>
      <c r="B1851" s="8"/>
      <c r="C1851" s="8"/>
      <c r="D1851" s="9"/>
      <c r="E1851" s="8"/>
      <c r="F1851" s="8"/>
      <c r="G1851" s="8"/>
      <c r="H1851" s="8"/>
      <c r="I1851" s="10"/>
      <c r="J1851" s="8"/>
    </row>
    <row r="1852" spans="1:10" x14ac:dyDescent="0.15">
      <c r="A1852" s="7"/>
      <c r="B1852" s="8"/>
      <c r="C1852" s="8"/>
      <c r="D1852" s="9"/>
      <c r="E1852" s="8"/>
      <c r="F1852" s="8"/>
      <c r="G1852" s="8"/>
      <c r="H1852" s="8"/>
      <c r="I1852" s="10"/>
      <c r="J1852" s="8"/>
    </row>
    <row r="1853" spans="1:10" x14ac:dyDescent="0.15">
      <c r="A1853" s="7"/>
      <c r="B1853" s="8"/>
      <c r="C1853" s="8"/>
      <c r="D1853" s="9"/>
      <c r="E1853" s="8"/>
      <c r="F1853" s="8"/>
      <c r="G1853" s="8"/>
      <c r="H1853" s="8"/>
      <c r="I1853" s="10"/>
      <c r="J1853" s="8"/>
    </row>
    <row r="1854" spans="1:10" x14ac:dyDescent="0.15">
      <c r="A1854" s="7"/>
      <c r="B1854" s="8"/>
      <c r="C1854" s="8"/>
      <c r="D1854" s="9"/>
      <c r="E1854" s="8"/>
      <c r="F1854" s="8"/>
      <c r="G1854" s="8"/>
      <c r="H1854" s="8"/>
      <c r="I1854" s="10"/>
      <c r="J1854" s="8"/>
    </row>
    <row r="1855" spans="1:10" x14ac:dyDescent="0.15">
      <c r="A1855" s="7"/>
      <c r="B1855" s="8"/>
      <c r="C1855" s="8"/>
      <c r="D1855" s="9"/>
      <c r="E1855" s="8"/>
      <c r="F1855" s="8"/>
      <c r="G1855" s="8"/>
      <c r="H1855" s="8"/>
      <c r="I1855" s="10"/>
      <c r="J1855" s="8"/>
    </row>
    <row r="1856" spans="1:10" x14ac:dyDescent="0.15">
      <c r="A1856" s="7"/>
      <c r="B1856" s="8"/>
      <c r="C1856" s="8"/>
      <c r="D1856" s="9"/>
      <c r="E1856" s="8"/>
      <c r="F1856" s="8"/>
      <c r="G1856" s="8"/>
      <c r="H1856" s="8"/>
      <c r="I1856" s="10"/>
      <c r="J1856" s="8"/>
    </row>
    <row r="1857" spans="1:10" x14ac:dyDescent="0.15">
      <c r="A1857" s="7"/>
      <c r="B1857" s="8"/>
      <c r="C1857" s="8"/>
      <c r="D1857" s="9"/>
      <c r="E1857" s="8"/>
      <c r="F1857" s="8"/>
      <c r="G1857" s="8"/>
      <c r="H1857" s="8"/>
      <c r="I1857" s="10"/>
      <c r="J1857" s="8"/>
    </row>
    <row r="1858" spans="1:10" x14ac:dyDescent="0.15">
      <c r="A1858" s="7"/>
      <c r="B1858" s="8"/>
      <c r="C1858" s="8"/>
      <c r="D1858" s="9"/>
      <c r="E1858" s="8"/>
      <c r="F1858" s="8"/>
      <c r="G1858" s="8"/>
      <c r="H1858" s="8"/>
      <c r="I1858" s="10"/>
      <c r="J1858" s="8"/>
    </row>
    <row r="1859" spans="1:10" x14ac:dyDescent="0.15">
      <c r="A1859" s="7"/>
      <c r="B1859" s="8"/>
      <c r="C1859" s="8"/>
      <c r="D1859" s="9"/>
      <c r="E1859" s="8"/>
      <c r="F1859" s="8"/>
      <c r="G1859" s="8"/>
      <c r="H1859" s="8"/>
      <c r="I1859" s="10"/>
      <c r="J1859" s="8"/>
    </row>
    <row r="1860" spans="1:10" x14ac:dyDescent="0.15">
      <c r="A1860" s="7"/>
      <c r="B1860" s="8"/>
      <c r="C1860" s="8"/>
      <c r="D1860" s="9"/>
      <c r="E1860" s="8"/>
      <c r="F1860" s="8"/>
      <c r="G1860" s="8"/>
      <c r="H1860" s="8"/>
      <c r="I1860" s="10"/>
      <c r="J1860" s="8"/>
    </row>
    <row r="1861" spans="1:10" x14ac:dyDescent="0.15">
      <c r="A1861" s="7"/>
      <c r="B1861" s="8"/>
      <c r="C1861" s="8"/>
      <c r="D1861" s="9"/>
      <c r="E1861" s="8"/>
      <c r="F1861" s="8"/>
      <c r="G1861" s="8"/>
      <c r="H1861" s="8"/>
      <c r="I1861" s="10"/>
      <c r="J1861" s="8"/>
    </row>
    <row r="1862" spans="1:10" x14ac:dyDescent="0.15">
      <c r="A1862" s="7"/>
      <c r="B1862" s="8"/>
      <c r="C1862" s="8"/>
      <c r="D1862" s="9"/>
      <c r="E1862" s="8"/>
      <c r="F1862" s="8"/>
      <c r="G1862" s="8"/>
      <c r="H1862" s="8"/>
      <c r="I1862" s="10"/>
      <c r="J1862" s="8"/>
    </row>
    <row r="1863" spans="1:10" x14ac:dyDescent="0.15">
      <c r="A1863" s="7"/>
      <c r="B1863" s="8"/>
      <c r="C1863" s="8"/>
      <c r="D1863" s="9"/>
      <c r="E1863" s="8"/>
      <c r="F1863" s="8"/>
      <c r="G1863" s="8"/>
      <c r="H1863" s="8"/>
      <c r="I1863" s="10"/>
      <c r="J1863" s="8"/>
    </row>
    <row r="1864" spans="1:10" x14ac:dyDescent="0.15">
      <c r="A1864" s="7"/>
      <c r="B1864" s="8"/>
      <c r="C1864" s="8"/>
      <c r="D1864" s="9"/>
      <c r="E1864" s="8"/>
      <c r="F1864" s="8"/>
      <c r="G1864" s="8"/>
      <c r="H1864" s="8"/>
      <c r="I1864" s="10"/>
      <c r="J1864" s="8"/>
    </row>
    <row r="1865" spans="1:10" x14ac:dyDescent="0.15">
      <c r="A1865" s="7"/>
      <c r="B1865" s="8"/>
      <c r="C1865" s="8"/>
      <c r="D1865" s="9"/>
      <c r="E1865" s="8"/>
      <c r="F1865" s="8"/>
      <c r="G1865" s="8"/>
      <c r="H1865" s="8"/>
      <c r="I1865" s="10"/>
      <c r="J1865" s="8"/>
    </row>
    <row r="1866" spans="1:10" x14ac:dyDescent="0.15">
      <c r="A1866" s="7"/>
      <c r="B1866" s="8"/>
      <c r="C1866" s="8"/>
      <c r="D1866" s="9"/>
      <c r="E1866" s="8"/>
      <c r="F1866" s="8"/>
      <c r="G1866" s="8"/>
      <c r="H1866" s="8"/>
      <c r="I1866" s="10"/>
      <c r="J1866" s="8"/>
    </row>
    <row r="1867" spans="1:10" x14ac:dyDescent="0.15">
      <c r="A1867" s="7"/>
      <c r="B1867" s="8"/>
      <c r="C1867" s="8"/>
      <c r="D1867" s="9"/>
      <c r="E1867" s="8"/>
      <c r="F1867" s="8"/>
      <c r="G1867" s="8"/>
      <c r="H1867" s="8"/>
      <c r="I1867" s="10"/>
      <c r="J1867" s="8"/>
    </row>
    <row r="1868" spans="1:10" x14ac:dyDescent="0.15">
      <c r="A1868" s="7"/>
      <c r="B1868" s="8"/>
      <c r="C1868" s="8"/>
      <c r="D1868" s="9"/>
      <c r="E1868" s="8"/>
      <c r="F1868" s="8"/>
      <c r="G1868" s="8"/>
      <c r="H1868" s="8"/>
      <c r="I1868" s="10"/>
      <c r="J1868" s="8"/>
    </row>
    <row r="1869" spans="1:10" x14ac:dyDescent="0.15">
      <c r="A1869" s="7"/>
      <c r="B1869" s="8"/>
      <c r="C1869" s="8"/>
      <c r="D1869" s="9"/>
      <c r="E1869" s="8"/>
      <c r="F1869" s="8"/>
      <c r="G1869" s="8"/>
      <c r="H1869" s="8"/>
      <c r="I1869" s="10"/>
      <c r="J1869" s="8"/>
    </row>
    <row r="1870" spans="1:10" x14ac:dyDescent="0.15">
      <c r="A1870" s="7"/>
      <c r="B1870" s="8"/>
      <c r="C1870" s="8"/>
      <c r="D1870" s="9"/>
      <c r="E1870" s="8"/>
      <c r="F1870" s="8"/>
      <c r="G1870" s="8"/>
      <c r="H1870" s="8"/>
      <c r="I1870" s="10"/>
      <c r="J1870" s="8"/>
    </row>
    <row r="1871" spans="1:10" x14ac:dyDescent="0.15">
      <c r="A1871" s="7"/>
      <c r="B1871" s="8"/>
      <c r="C1871" s="8"/>
      <c r="D1871" s="9"/>
      <c r="E1871" s="8"/>
      <c r="F1871" s="8"/>
      <c r="G1871" s="8"/>
      <c r="H1871" s="8"/>
      <c r="I1871" s="10"/>
      <c r="J1871" s="8"/>
    </row>
    <row r="1872" spans="1:10" x14ac:dyDescent="0.15">
      <c r="A1872" s="7"/>
      <c r="B1872" s="8"/>
      <c r="C1872" s="8"/>
      <c r="D1872" s="9"/>
      <c r="E1872" s="8"/>
      <c r="F1872" s="8"/>
      <c r="G1872" s="8"/>
      <c r="H1872" s="8"/>
      <c r="I1872" s="10"/>
      <c r="J1872" s="8"/>
    </row>
    <row r="1873" spans="1:10" x14ac:dyDescent="0.15">
      <c r="A1873" s="7"/>
      <c r="B1873" s="8"/>
      <c r="C1873" s="8"/>
      <c r="D1873" s="9"/>
      <c r="E1873" s="8"/>
      <c r="F1873" s="8"/>
      <c r="G1873" s="8"/>
      <c r="H1873" s="8"/>
      <c r="I1873" s="10"/>
      <c r="J1873" s="8"/>
    </row>
    <row r="1874" spans="1:10" x14ac:dyDescent="0.15">
      <c r="A1874" s="7"/>
      <c r="B1874" s="8"/>
      <c r="C1874" s="8"/>
      <c r="D1874" s="9"/>
      <c r="E1874" s="8"/>
      <c r="F1874" s="8"/>
      <c r="G1874" s="8"/>
      <c r="H1874" s="8"/>
      <c r="I1874" s="10"/>
      <c r="J1874" s="8"/>
    </row>
    <row r="1875" spans="1:10" x14ac:dyDescent="0.15">
      <c r="A1875" s="7"/>
      <c r="B1875" s="8"/>
      <c r="C1875" s="8"/>
      <c r="D1875" s="9"/>
      <c r="E1875" s="8"/>
      <c r="F1875" s="8"/>
      <c r="G1875" s="8"/>
      <c r="H1875" s="8"/>
      <c r="I1875" s="10"/>
      <c r="J1875" s="8"/>
    </row>
    <row r="1876" spans="1:10" x14ac:dyDescent="0.15">
      <c r="A1876" s="7"/>
      <c r="B1876" s="8"/>
      <c r="C1876" s="8"/>
      <c r="D1876" s="9"/>
      <c r="E1876" s="8"/>
      <c r="F1876" s="8"/>
      <c r="G1876" s="8"/>
      <c r="H1876" s="8"/>
      <c r="I1876" s="10"/>
      <c r="J1876" s="8"/>
    </row>
    <row r="1877" spans="1:10" x14ac:dyDescent="0.15">
      <c r="A1877" s="7"/>
      <c r="B1877" s="8"/>
      <c r="C1877" s="8"/>
      <c r="D1877" s="9"/>
      <c r="E1877" s="8"/>
      <c r="F1877" s="8"/>
      <c r="G1877" s="8"/>
      <c r="H1877" s="8"/>
      <c r="I1877" s="10"/>
      <c r="J1877" s="8"/>
    </row>
    <row r="1878" spans="1:10" x14ac:dyDescent="0.15">
      <c r="A1878" s="7"/>
      <c r="B1878" s="8"/>
      <c r="C1878" s="8"/>
      <c r="D1878" s="9"/>
      <c r="E1878" s="8"/>
      <c r="F1878" s="8"/>
      <c r="G1878" s="8"/>
      <c r="H1878" s="8"/>
      <c r="I1878" s="10"/>
      <c r="J1878" s="8"/>
    </row>
    <row r="1879" spans="1:10" x14ac:dyDescent="0.15">
      <c r="A1879" s="7"/>
      <c r="B1879" s="8"/>
      <c r="C1879" s="8"/>
      <c r="D1879" s="9"/>
      <c r="E1879" s="8"/>
      <c r="F1879" s="8"/>
      <c r="G1879" s="8"/>
      <c r="H1879" s="8"/>
      <c r="I1879" s="10"/>
      <c r="J1879" s="8"/>
    </row>
    <row r="1880" spans="1:10" x14ac:dyDescent="0.15">
      <c r="A1880" s="7"/>
      <c r="B1880" s="8"/>
      <c r="C1880" s="8"/>
      <c r="D1880" s="9"/>
      <c r="E1880" s="8"/>
      <c r="F1880" s="8"/>
      <c r="G1880" s="8"/>
      <c r="H1880" s="8"/>
      <c r="I1880" s="10"/>
      <c r="J1880" s="8"/>
    </row>
    <row r="1881" spans="1:10" x14ac:dyDescent="0.15">
      <c r="A1881" s="7"/>
      <c r="B1881" s="8"/>
      <c r="C1881" s="8"/>
      <c r="D1881" s="9"/>
      <c r="E1881" s="8"/>
      <c r="F1881" s="8"/>
      <c r="G1881" s="8"/>
      <c r="H1881" s="8"/>
      <c r="I1881" s="10"/>
      <c r="J1881" s="8"/>
    </row>
    <row r="1882" spans="1:10" x14ac:dyDescent="0.15">
      <c r="A1882" s="7"/>
      <c r="B1882" s="8"/>
      <c r="C1882" s="8"/>
      <c r="D1882" s="9"/>
      <c r="E1882" s="8"/>
      <c r="F1882" s="8"/>
      <c r="G1882" s="8"/>
      <c r="H1882" s="8"/>
      <c r="I1882" s="10"/>
      <c r="J1882" s="8"/>
    </row>
    <row r="1883" spans="1:10" x14ac:dyDescent="0.15">
      <c r="A1883" s="7"/>
      <c r="B1883" s="8"/>
      <c r="C1883" s="8"/>
      <c r="D1883" s="9"/>
      <c r="E1883" s="8"/>
      <c r="F1883" s="8"/>
      <c r="G1883" s="8"/>
      <c r="H1883" s="8"/>
      <c r="I1883" s="10"/>
      <c r="J1883" s="8"/>
    </row>
    <row r="1884" spans="1:10" x14ac:dyDescent="0.15">
      <c r="A1884" s="7"/>
      <c r="B1884" s="8"/>
      <c r="C1884" s="8"/>
      <c r="D1884" s="9"/>
      <c r="E1884" s="8"/>
      <c r="F1884" s="8"/>
      <c r="G1884" s="8"/>
      <c r="H1884" s="8"/>
      <c r="I1884" s="10"/>
      <c r="J1884" s="8"/>
    </row>
    <row r="1885" spans="1:10" x14ac:dyDescent="0.15">
      <c r="A1885" s="7"/>
      <c r="B1885" s="8"/>
      <c r="C1885" s="8"/>
      <c r="D1885" s="9"/>
      <c r="E1885" s="8"/>
      <c r="F1885" s="8"/>
      <c r="G1885" s="8"/>
      <c r="H1885" s="8"/>
      <c r="I1885" s="10"/>
      <c r="J1885" s="8"/>
    </row>
    <row r="1886" spans="1:10" x14ac:dyDescent="0.15">
      <c r="A1886" s="7"/>
      <c r="B1886" s="8"/>
      <c r="C1886" s="8"/>
      <c r="D1886" s="9"/>
      <c r="E1886" s="8"/>
      <c r="F1886" s="8"/>
      <c r="G1886" s="8"/>
      <c r="H1886" s="8"/>
      <c r="I1886" s="10"/>
      <c r="J1886" s="8"/>
    </row>
    <row r="1887" spans="1:10" x14ac:dyDescent="0.15">
      <c r="A1887" s="7"/>
      <c r="B1887" s="8"/>
      <c r="C1887" s="8"/>
      <c r="D1887" s="9"/>
      <c r="E1887" s="8"/>
      <c r="F1887" s="8"/>
      <c r="G1887" s="8"/>
      <c r="H1887" s="8"/>
      <c r="I1887" s="10"/>
      <c r="J1887" s="8"/>
    </row>
    <row r="1888" spans="1:10" x14ac:dyDescent="0.15">
      <c r="A1888" s="7"/>
      <c r="B1888" s="8"/>
      <c r="C1888" s="8"/>
      <c r="D1888" s="9"/>
      <c r="E1888" s="8"/>
      <c r="F1888" s="8"/>
      <c r="G1888" s="8"/>
      <c r="H1888" s="8"/>
      <c r="I1888" s="10"/>
      <c r="J1888" s="8"/>
    </row>
    <row r="1889" spans="1:10" x14ac:dyDescent="0.15">
      <c r="A1889" s="7"/>
      <c r="B1889" s="8"/>
      <c r="C1889" s="8"/>
      <c r="D1889" s="9"/>
      <c r="E1889" s="8"/>
      <c r="F1889" s="8"/>
      <c r="G1889" s="8"/>
      <c r="H1889" s="8"/>
      <c r="I1889" s="10"/>
      <c r="J1889" s="8"/>
    </row>
    <row r="1890" spans="1:10" x14ac:dyDescent="0.15">
      <c r="A1890" s="7"/>
      <c r="B1890" s="8"/>
      <c r="C1890" s="8"/>
      <c r="D1890" s="9"/>
      <c r="E1890" s="8"/>
      <c r="F1890" s="8"/>
      <c r="G1890" s="8"/>
      <c r="H1890" s="8"/>
      <c r="I1890" s="10"/>
      <c r="J1890" s="8"/>
    </row>
    <row r="1891" spans="1:10" x14ac:dyDescent="0.15">
      <c r="A1891" s="7"/>
      <c r="B1891" s="8"/>
      <c r="C1891" s="8"/>
      <c r="D1891" s="9"/>
      <c r="E1891" s="8"/>
      <c r="F1891" s="8"/>
      <c r="G1891" s="8"/>
      <c r="H1891" s="8"/>
      <c r="I1891" s="10"/>
      <c r="J1891" s="8"/>
    </row>
    <row r="1892" spans="1:10" x14ac:dyDescent="0.15">
      <c r="A1892" s="7"/>
      <c r="B1892" s="8"/>
      <c r="C1892" s="8"/>
      <c r="D1892" s="9"/>
      <c r="E1892" s="8"/>
      <c r="F1892" s="8"/>
      <c r="G1892" s="8"/>
      <c r="H1892" s="8"/>
      <c r="I1892" s="10"/>
      <c r="J1892" s="8"/>
    </row>
    <row r="1893" spans="1:10" x14ac:dyDescent="0.15">
      <c r="A1893" s="7"/>
      <c r="B1893" s="8"/>
      <c r="C1893" s="8"/>
      <c r="D1893" s="9"/>
      <c r="E1893" s="8"/>
      <c r="F1893" s="8"/>
      <c r="G1893" s="8"/>
      <c r="H1893" s="8"/>
      <c r="I1893" s="10"/>
      <c r="J1893" s="8"/>
    </row>
    <row r="1894" spans="1:10" x14ac:dyDescent="0.15">
      <c r="A1894" s="7"/>
      <c r="B1894" s="8"/>
      <c r="C1894" s="8"/>
      <c r="D1894" s="9"/>
      <c r="E1894" s="8"/>
      <c r="F1894" s="8"/>
      <c r="G1894" s="8"/>
      <c r="H1894" s="8"/>
      <c r="I1894" s="10"/>
      <c r="J1894" s="8"/>
    </row>
    <row r="1895" spans="1:10" x14ac:dyDescent="0.15">
      <c r="A1895" s="7"/>
      <c r="B1895" s="8"/>
      <c r="C1895" s="8"/>
      <c r="D1895" s="9"/>
      <c r="E1895" s="8"/>
      <c r="F1895" s="8"/>
      <c r="G1895" s="8"/>
      <c r="H1895" s="8"/>
      <c r="I1895" s="10"/>
      <c r="J1895" s="8"/>
    </row>
    <row r="1896" spans="1:10" x14ac:dyDescent="0.15">
      <c r="A1896" s="7"/>
      <c r="B1896" s="8"/>
      <c r="C1896" s="8"/>
      <c r="D1896" s="9"/>
      <c r="E1896" s="8"/>
      <c r="F1896" s="8"/>
      <c r="G1896" s="8"/>
      <c r="H1896" s="8"/>
      <c r="I1896" s="10"/>
      <c r="J1896" s="8"/>
    </row>
    <row r="1897" spans="1:10" x14ac:dyDescent="0.15">
      <c r="A1897" s="7"/>
      <c r="B1897" s="8"/>
      <c r="C1897" s="8"/>
      <c r="D1897" s="9"/>
      <c r="E1897" s="8"/>
      <c r="F1897" s="8"/>
      <c r="G1897" s="8"/>
      <c r="H1897" s="8"/>
      <c r="I1897" s="10"/>
      <c r="J1897" s="8"/>
    </row>
    <row r="1898" spans="1:10" x14ac:dyDescent="0.15">
      <c r="A1898" s="7"/>
      <c r="B1898" s="8"/>
      <c r="C1898" s="8"/>
      <c r="D1898" s="9"/>
      <c r="E1898" s="8"/>
      <c r="F1898" s="8"/>
      <c r="G1898" s="8"/>
      <c r="H1898" s="8"/>
      <c r="I1898" s="10"/>
      <c r="J1898" s="8"/>
    </row>
    <row r="1899" spans="1:10" x14ac:dyDescent="0.15">
      <c r="A1899" s="7"/>
      <c r="B1899" s="8"/>
      <c r="C1899" s="8"/>
      <c r="D1899" s="9"/>
      <c r="E1899" s="8"/>
      <c r="F1899" s="8"/>
      <c r="G1899" s="8"/>
      <c r="H1899" s="8"/>
      <c r="I1899" s="10"/>
      <c r="J1899" s="8"/>
    </row>
    <row r="1900" spans="1:10" x14ac:dyDescent="0.15">
      <c r="A1900" s="7"/>
      <c r="B1900" s="8"/>
      <c r="C1900" s="8"/>
      <c r="D1900" s="9"/>
      <c r="E1900" s="8"/>
      <c r="F1900" s="8"/>
      <c r="G1900" s="8"/>
      <c r="H1900" s="8"/>
      <c r="I1900" s="10"/>
      <c r="J1900" s="8"/>
    </row>
    <row r="1901" spans="1:10" x14ac:dyDescent="0.15">
      <c r="A1901" s="7"/>
      <c r="B1901" s="8"/>
      <c r="C1901" s="8"/>
      <c r="D1901" s="9"/>
      <c r="E1901" s="8"/>
      <c r="F1901" s="8"/>
      <c r="G1901" s="8"/>
      <c r="H1901" s="8"/>
      <c r="I1901" s="10"/>
      <c r="J1901" s="8"/>
    </row>
    <row r="1902" spans="1:10" x14ac:dyDescent="0.15">
      <c r="A1902" s="7"/>
      <c r="B1902" s="8"/>
      <c r="C1902" s="8"/>
      <c r="D1902" s="9"/>
      <c r="E1902" s="8"/>
      <c r="F1902" s="8"/>
      <c r="G1902" s="8"/>
      <c r="H1902" s="8"/>
      <c r="I1902" s="10"/>
      <c r="J1902" s="8"/>
    </row>
    <row r="1903" spans="1:10" x14ac:dyDescent="0.15">
      <c r="A1903" s="7"/>
      <c r="B1903" s="8"/>
      <c r="C1903" s="8"/>
      <c r="D1903" s="9"/>
      <c r="E1903" s="8"/>
      <c r="F1903" s="8"/>
      <c r="G1903" s="8"/>
      <c r="H1903" s="8"/>
      <c r="I1903" s="10"/>
      <c r="J1903" s="8"/>
    </row>
    <row r="1904" spans="1:10" x14ac:dyDescent="0.15">
      <c r="A1904" s="7"/>
      <c r="B1904" s="8"/>
      <c r="C1904" s="8"/>
      <c r="D1904" s="9"/>
      <c r="E1904" s="8"/>
      <c r="F1904" s="8"/>
      <c r="G1904" s="8"/>
      <c r="H1904" s="8"/>
      <c r="I1904" s="10"/>
      <c r="J1904" s="8"/>
    </row>
    <row r="1905" spans="1:10" x14ac:dyDescent="0.15">
      <c r="A1905" s="7"/>
      <c r="B1905" s="8"/>
      <c r="C1905" s="8"/>
      <c r="D1905" s="9"/>
      <c r="E1905" s="8"/>
      <c r="F1905" s="8"/>
      <c r="G1905" s="8"/>
      <c r="H1905" s="8"/>
      <c r="I1905" s="10"/>
      <c r="J1905" s="8"/>
    </row>
    <row r="1906" spans="1:10" x14ac:dyDescent="0.15">
      <c r="A1906" s="7"/>
      <c r="B1906" s="8"/>
      <c r="C1906" s="8"/>
      <c r="D1906" s="9"/>
      <c r="E1906" s="8"/>
      <c r="F1906" s="8"/>
      <c r="G1906" s="8"/>
      <c r="H1906" s="8"/>
      <c r="I1906" s="10"/>
      <c r="J1906" s="8"/>
    </row>
    <row r="1907" spans="1:10" x14ac:dyDescent="0.15">
      <c r="A1907" s="7"/>
      <c r="B1907" s="8"/>
      <c r="C1907" s="8"/>
      <c r="D1907" s="9"/>
      <c r="E1907" s="8"/>
      <c r="F1907" s="8"/>
      <c r="G1907" s="8"/>
      <c r="H1907" s="8"/>
      <c r="I1907" s="10"/>
      <c r="J1907" s="8"/>
    </row>
    <row r="1908" spans="1:10" x14ac:dyDescent="0.15">
      <c r="A1908" s="7"/>
      <c r="B1908" s="8"/>
      <c r="C1908" s="8"/>
      <c r="D1908" s="9"/>
      <c r="E1908" s="8"/>
      <c r="F1908" s="8"/>
      <c r="G1908" s="8"/>
      <c r="H1908" s="8"/>
      <c r="I1908" s="10"/>
      <c r="J1908" s="8"/>
    </row>
    <row r="1909" spans="1:10" x14ac:dyDescent="0.15">
      <c r="A1909" s="7"/>
      <c r="B1909" s="8"/>
      <c r="C1909" s="8"/>
      <c r="D1909" s="9"/>
      <c r="E1909" s="8"/>
      <c r="F1909" s="8"/>
      <c r="G1909" s="8"/>
      <c r="H1909" s="8"/>
      <c r="I1909" s="10"/>
      <c r="J1909" s="8"/>
    </row>
    <row r="1910" spans="1:10" x14ac:dyDescent="0.15">
      <c r="A1910" s="7"/>
      <c r="B1910" s="8"/>
      <c r="C1910" s="8"/>
      <c r="D1910" s="9"/>
      <c r="E1910" s="8"/>
      <c r="F1910" s="8"/>
      <c r="G1910" s="8"/>
      <c r="H1910" s="8"/>
      <c r="I1910" s="10"/>
      <c r="J1910" s="8"/>
    </row>
    <row r="1911" spans="1:10" x14ac:dyDescent="0.15">
      <c r="A1911" s="7"/>
      <c r="B1911" s="8"/>
      <c r="C1911" s="8"/>
      <c r="D1911" s="9"/>
      <c r="E1911" s="8"/>
      <c r="F1911" s="8"/>
      <c r="G1911" s="8"/>
      <c r="H1911" s="8"/>
      <c r="I1911" s="10"/>
      <c r="J1911" s="8"/>
    </row>
    <row r="1912" spans="1:10" x14ac:dyDescent="0.15">
      <c r="A1912" s="7"/>
      <c r="B1912" s="8"/>
      <c r="C1912" s="8"/>
      <c r="D1912" s="9"/>
      <c r="E1912" s="8"/>
      <c r="F1912" s="8"/>
      <c r="G1912" s="8"/>
      <c r="H1912" s="8"/>
      <c r="I1912" s="10"/>
      <c r="J1912" s="8"/>
    </row>
    <row r="1913" spans="1:10" x14ac:dyDescent="0.15">
      <c r="A1913" s="7"/>
      <c r="B1913" s="8"/>
      <c r="C1913" s="8"/>
      <c r="D1913" s="9"/>
      <c r="E1913" s="8"/>
      <c r="F1913" s="8"/>
      <c r="G1913" s="8"/>
      <c r="H1913" s="8"/>
      <c r="I1913" s="10"/>
      <c r="J1913" s="8"/>
    </row>
    <row r="1914" spans="1:10" x14ac:dyDescent="0.15">
      <c r="A1914" s="7"/>
      <c r="B1914" s="8"/>
      <c r="C1914" s="8"/>
      <c r="D1914" s="9"/>
      <c r="E1914" s="8"/>
      <c r="F1914" s="8"/>
      <c r="G1914" s="8"/>
      <c r="H1914" s="8"/>
      <c r="I1914" s="10"/>
      <c r="J1914" s="8"/>
    </row>
    <row r="1915" spans="1:10" x14ac:dyDescent="0.15">
      <c r="A1915" s="7"/>
      <c r="B1915" s="8"/>
      <c r="C1915" s="8"/>
      <c r="D1915" s="9"/>
      <c r="E1915" s="8"/>
      <c r="F1915" s="8"/>
      <c r="G1915" s="8"/>
      <c r="H1915" s="8"/>
      <c r="I1915" s="10"/>
      <c r="J1915" s="8"/>
    </row>
    <row r="1916" spans="1:10" x14ac:dyDescent="0.15">
      <c r="A1916" s="7"/>
      <c r="B1916" s="8"/>
      <c r="C1916" s="8"/>
      <c r="D1916" s="9"/>
      <c r="E1916" s="8"/>
      <c r="F1916" s="8"/>
      <c r="G1916" s="8"/>
      <c r="H1916" s="8"/>
      <c r="I1916" s="10"/>
      <c r="J1916" s="8"/>
    </row>
    <row r="1917" spans="1:10" x14ac:dyDescent="0.15">
      <c r="A1917" s="7"/>
      <c r="B1917" s="8"/>
      <c r="C1917" s="8"/>
      <c r="D1917" s="9"/>
      <c r="E1917" s="8"/>
      <c r="F1917" s="8"/>
      <c r="G1917" s="8"/>
      <c r="H1917" s="8"/>
      <c r="I1917" s="10"/>
      <c r="J1917" s="8"/>
    </row>
    <row r="1918" spans="1:10" x14ac:dyDescent="0.15">
      <c r="A1918" s="7"/>
      <c r="B1918" s="8"/>
      <c r="C1918" s="8"/>
      <c r="D1918" s="9"/>
      <c r="E1918" s="8"/>
      <c r="F1918" s="8"/>
      <c r="G1918" s="8"/>
      <c r="H1918" s="8"/>
      <c r="I1918" s="10"/>
      <c r="J1918" s="8"/>
    </row>
    <row r="1919" spans="1:10" x14ac:dyDescent="0.15">
      <c r="A1919" s="7"/>
      <c r="B1919" s="8"/>
      <c r="C1919" s="8"/>
      <c r="D1919" s="9"/>
      <c r="E1919" s="8"/>
      <c r="F1919" s="8"/>
      <c r="G1919" s="8"/>
      <c r="H1919" s="8"/>
      <c r="I1919" s="10"/>
      <c r="J1919" s="8"/>
    </row>
    <row r="1920" spans="1:10" x14ac:dyDescent="0.15">
      <c r="A1920" s="7"/>
      <c r="B1920" s="8"/>
      <c r="C1920" s="8"/>
      <c r="D1920" s="9"/>
      <c r="E1920" s="8"/>
      <c r="F1920" s="8"/>
      <c r="G1920" s="8"/>
      <c r="H1920" s="8"/>
      <c r="I1920" s="10"/>
      <c r="J1920" s="8"/>
    </row>
    <row r="1921" spans="1:10" x14ac:dyDescent="0.15">
      <c r="A1921" s="7"/>
      <c r="B1921" s="8"/>
      <c r="C1921" s="8"/>
      <c r="D1921" s="9"/>
      <c r="E1921" s="8"/>
      <c r="F1921" s="8"/>
      <c r="G1921" s="8"/>
      <c r="H1921" s="8"/>
      <c r="I1921" s="10"/>
      <c r="J1921" s="8"/>
    </row>
    <row r="1922" spans="1:10" x14ac:dyDescent="0.15">
      <c r="A1922" s="7"/>
      <c r="B1922" s="8"/>
      <c r="C1922" s="8"/>
      <c r="D1922" s="9"/>
      <c r="E1922" s="8"/>
      <c r="F1922" s="8"/>
      <c r="G1922" s="8"/>
      <c r="H1922" s="8"/>
      <c r="I1922" s="10"/>
      <c r="J1922" s="8"/>
    </row>
    <row r="1923" spans="1:10" x14ac:dyDescent="0.15">
      <c r="A1923" s="7"/>
      <c r="B1923" s="8"/>
      <c r="C1923" s="8"/>
      <c r="D1923" s="9"/>
      <c r="E1923" s="8"/>
      <c r="F1923" s="8"/>
      <c r="G1923" s="8"/>
      <c r="H1923" s="8"/>
      <c r="I1923" s="10"/>
      <c r="J1923" s="8"/>
    </row>
    <row r="1924" spans="1:10" x14ac:dyDescent="0.15">
      <c r="A1924" s="7"/>
      <c r="B1924" s="8"/>
      <c r="C1924" s="8"/>
      <c r="D1924" s="9"/>
      <c r="E1924" s="8"/>
      <c r="F1924" s="8"/>
      <c r="G1924" s="8"/>
      <c r="H1924" s="8"/>
      <c r="I1924" s="10"/>
      <c r="J1924" s="8"/>
    </row>
    <row r="1925" spans="1:10" x14ac:dyDescent="0.15">
      <c r="A1925" s="7"/>
      <c r="B1925" s="8"/>
      <c r="C1925" s="8"/>
      <c r="D1925" s="9"/>
      <c r="E1925" s="8"/>
      <c r="F1925" s="8"/>
      <c r="G1925" s="8"/>
      <c r="H1925" s="8"/>
      <c r="I1925" s="10"/>
      <c r="J1925" s="8"/>
    </row>
    <row r="1926" spans="1:10" x14ac:dyDescent="0.15">
      <c r="A1926" s="7"/>
      <c r="B1926" s="8"/>
      <c r="C1926" s="8"/>
      <c r="D1926" s="9"/>
      <c r="E1926" s="8"/>
      <c r="F1926" s="8"/>
      <c r="G1926" s="8"/>
      <c r="H1926" s="8"/>
      <c r="I1926" s="10"/>
      <c r="J1926" s="8"/>
    </row>
    <row r="1927" spans="1:10" x14ac:dyDescent="0.15">
      <c r="A1927" s="7"/>
      <c r="B1927" s="8"/>
      <c r="C1927" s="8"/>
      <c r="D1927" s="9"/>
      <c r="E1927" s="8"/>
      <c r="F1927" s="8"/>
      <c r="G1927" s="8"/>
      <c r="H1927" s="8"/>
      <c r="I1927" s="10"/>
      <c r="J1927" s="8"/>
    </row>
    <row r="1928" spans="1:10" x14ac:dyDescent="0.15">
      <c r="A1928" s="7"/>
      <c r="B1928" s="8"/>
      <c r="C1928" s="8"/>
      <c r="D1928" s="9"/>
      <c r="E1928" s="8"/>
      <c r="F1928" s="8"/>
      <c r="G1928" s="8"/>
      <c r="H1928" s="8"/>
      <c r="I1928" s="10"/>
      <c r="J1928" s="8"/>
    </row>
    <row r="1929" spans="1:10" x14ac:dyDescent="0.15">
      <c r="A1929" s="7"/>
      <c r="B1929" s="8"/>
      <c r="C1929" s="8"/>
      <c r="D1929" s="9"/>
      <c r="E1929" s="8"/>
      <c r="F1929" s="8"/>
      <c r="G1929" s="8"/>
      <c r="H1929" s="8"/>
      <c r="I1929" s="10"/>
      <c r="J1929" s="8"/>
    </row>
    <row r="1930" spans="1:10" x14ac:dyDescent="0.15">
      <c r="A1930" s="7"/>
      <c r="B1930" s="8"/>
      <c r="C1930" s="8"/>
      <c r="D1930" s="9"/>
      <c r="E1930" s="8"/>
      <c r="F1930" s="8"/>
      <c r="G1930" s="8"/>
      <c r="H1930" s="8"/>
      <c r="I1930" s="10"/>
      <c r="J1930" s="8"/>
    </row>
    <row r="1931" spans="1:10" x14ac:dyDescent="0.15">
      <c r="A1931" s="7"/>
      <c r="B1931" s="8"/>
      <c r="C1931" s="8"/>
      <c r="D1931" s="9"/>
      <c r="E1931" s="8"/>
      <c r="F1931" s="8"/>
      <c r="G1931" s="8"/>
      <c r="H1931" s="8"/>
      <c r="I1931" s="10"/>
      <c r="J1931" s="8"/>
    </row>
    <row r="1932" spans="1:10" x14ac:dyDescent="0.15">
      <c r="A1932" s="7"/>
      <c r="B1932" s="8"/>
      <c r="C1932" s="8"/>
      <c r="D1932" s="9"/>
      <c r="E1932" s="8"/>
      <c r="F1932" s="8"/>
      <c r="G1932" s="8"/>
      <c r="H1932" s="8"/>
      <c r="I1932" s="10"/>
      <c r="J1932" s="8"/>
    </row>
    <row r="1933" spans="1:10" x14ac:dyDescent="0.15">
      <c r="A1933" s="7"/>
      <c r="B1933" s="8"/>
      <c r="C1933" s="8"/>
      <c r="D1933" s="9"/>
      <c r="E1933" s="8"/>
      <c r="F1933" s="8"/>
      <c r="G1933" s="8"/>
      <c r="H1933" s="8"/>
      <c r="I1933" s="10"/>
      <c r="J1933" s="8"/>
    </row>
    <row r="1934" spans="1:10" x14ac:dyDescent="0.15">
      <c r="A1934" s="7"/>
      <c r="B1934" s="8"/>
      <c r="C1934" s="8"/>
      <c r="D1934" s="9"/>
      <c r="E1934" s="8"/>
      <c r="F1934" s="8"/>
      <c r="G1934" s="8"/>
      <c r="H1934" s="8"/>
      <c r="I1934" s="10"/>
      <c r="J1934" s="8"/>
    </row>
    <row r="1935" spans="1:10" x14ac:dyDescent="0.15">
      <c r="A1935" s="7"/>
      <c r="B1935" s="8"/>
      <c r="C1935" s="8"/>
      <c r="D1935" s="9"/>
      <c r="E1935" s="8"/>
      <c r="F1935" s="8"/>
      <c r="G1935" s="8"/>
      <c r="H1935" s="8"/>
      <c r="I1935" s="10"/>
      <c r="J1935" s="8"/>
    </row>
    <row r="1936" spans="1:10" x14ac:dyDescent="0.15">
      <c r="A1936" s="7"/>
      <c r="B1936" s="8"/>
      <c r="C1936" s="8"/>
      <c r="D1936" s="9"/>
      <c r="E1936" s="8"/>
      <c r="F1936" s="8"/>
      <c r="G1936" s="8"/>
      <c r="H1936" s="8"/>
      <c r="I1936" s="10"/>
      <c r="J1936" s="8"/>
    </row>
    <row r="1937" spans="1:10" x14ac:dyDescent="0.15">
      <c r="A1937" s="7"/>
      <c r="B1937" s="8"/>
      <c r="C1937" s="8"/>
      <c r="D1937" s="9"/>
      <c r="E1937" s="8"/>
      <c r="F1937" s="8"/>
      <c r="G1937" s="8"/>
      <c r="H1937" s="8"/>
      <c r="I1937" s="10"/>
      <c r="J1937" s="8"/>
    </row>
    <row r="1938" spans="1:10" x14ac:dyDescent="0.15">
      <c r="A1938" s="7"/>
      <c r="B1938" s="8"/>
      <c r="C1938" s="8"/>
      <c r="D1938" s="9"/>
      <c r="E1938" s="8"/>
      <c r="F1938" s="8"/>
      <c r="G1938" s="8"/>
      <c r="H1938" s="8"/>
      <c r="I1938" s="10"/>
      <c r="J1938" s="8"/>
    </row>
    <row r="1939" spans="1:10" x14ac:dyDescent="0.15">
      <c r="A1939" s="7"/>
      <c r="B1939" s="8"/>
      <c r="C1939" s="8"/>
      <c r="D1939" s="9"/>
      <c r="E1939" s="8"/>
      <c r="F1939" s="8"/>
      <c r="G1939" s="8"/>
      <c r="H1939" s="8"/>
      <c r="I1939" s="10"/>
      <c r="J1939" s="8"/>
    </row>
    <row r="1940" spans="1:10" x14ac:dyDescent="0.15">
      <c r="A1940" s="7"/>
      <c r="B1940" s="8"/>
      <c r="C1940" s="8"/>
      <c r="D1940" s="9"/>
      <c r="E1940" s="8"/>
      <c r="F1940" s="8"/>
      <c r="G1940" s="8"/>
      <c r="H1940" s="8"/>
      <c r="I1940" s="10"/>
      <c r="J1940" s="8"/>
    </row>
    <row r="1941" spans="1:10" x14ac:dyDescent="0.15">
      <c r="A1941" s="7"/>
      <c r="B1941" s="8"/>
      <c r="C1941" s="8"/>
      <c r="D1941" s="9"/>
      <c r="E1941" s="8"/>
      <c r="F1941" s="8"/>
      <c r="G1941" s="8"/>
      <c r="H1941" s="8"/>
      <c r="I1941" s="10"/>
      <c r="J1941" s="8"/>
    </row>
    <row r="1942" spans="1:10" x14ac:dyDescent="0.15">
      <c r="A1942" s="7"/>
      <c r="B1942" s="8"/>
      <c r="C1942" s="8"/>
      <c r="D1942" s="9"/>
      <c r="E1942" s="8"/>
      <c r="F1942" s="8"/>
      <c r="G1942" s="8"/>
      <c r="H1942" s="8"/>
      <c r="I1942" s="10"/>
      <c r="J1942" s="8"/>
    </row>
    <row r="1943" spans="1:10" x14ac:dyDescent="0.15">
      <c r="A1943" s="7"/>
      <c r="B1943" s="8"/>
      <c r="C1943" s="8"/>
      <c r="D1943" s="9"/>
      <c r="E1943" s="8"/>
      <c r="F1943" s="8"/>
      <c r="G1943" s="8"/>
      <c r="H1943" s="8"/>
      <c r="I1943" s="10"/>
      <c r="J1943" s="8"/>
    </row>
    <row r="1944" spans="1:10" x14ac:dyDescent="0.15">
      <c r="A1944" s="7"/>
      <c r="B1944" s="8"/>
      <c r="C1944" s="8"/>
      <c r="D1944" s="9"/>
      <c r="E1944" s="8"/>
      <c r="F1944" s="8"/>
      <c r="G1944" s="8"/>
      <c r="H1944" s="8"/>
      <c r="I1944" s="10"/>
      <c r="J1944" s="8"/>
    </row>
    <row r="1945" spans="1:10" x14ac:dyDescent="0.15">
      <c r="A1945" s="7"/>
      <c r="B1945" s="8"/>
      <c r="C1945" s="8"/>
      <c r="D1945" s="9"/>
      <c r="E1945" s="8"/>
      <c r="F1945" s="8"/>
      <c r="G1945" s="8"/>
      <c r="H1945" s="8"/>
      <c r="I1945" s="10"/>
      <c r="J1945" s="8"/>
    </row>
    <row r="1946" spans="1:10" x14ac:dyDescent="0.15">
      <c r="A1946" s="7"/>
      <c r="B1946" s="8"/>
      <c r="C1946" s="8"/>
      <c r="D1946" s="9"/>
      <c r="E1946" s="8"/>
      <c r="F1946" s="8"/>
      <c r="G1946" s="8"/>
      <c r="H1946" s="8"/>
      <c r="I1946" s="10"/>
      <c r="J1946" s="8"/>
    </row>
    <row r="1947" spans="1:10" x14ac:dyDescent="0.15">
      <c r="A1947" s="7"/>
      <c r="B1947" s="8"/>
      <c r="C1947" s="8"/>
      <c r="D1947" s="9"/>
      <c r="E1947" s="8"/>
      <c r="F1947" s="8"/>
      <c r="G1947" s="8"/>
      <c r="H1947" s="8"/>
      <c r="I1947" s="10"/>
      <c r="J1947" s="8"/>
    </row>
    <row r="1948" spans="1:10" x14ac:dyDescent="0.15">
      <c r="A1948" s="7"/>
      <c r="B1948" s="8"/>
      <c r="C1948" s="8"/>
      <c r="D1948" s="9"/>
      <c r="E1948" s="8"/>
      <c r="F1948" s="8"/>
      <c r="G1948" s="8"/>
      <c r="H1948" s="8"/>
      <c r="I1948" s="10"/>
      <c r="J1948" s="8"/>
    </row>
    <row r="1949" spans="1:10" x14ac:dyDescent="0.15">
      <c r="A1949" s="7"/>
      <c r="B1949" s="8"/>
      <c r="C1949" s="8"/>
      <c r="D1949" s="9"/>
      <c r="E1949" s="8"/>
      <c r="F1949" s="8"/>
      <c r="G1949" s="8"/>
      <c r="H1949" s="8"/>
      <c r="I1949" s="10"/>
      <c r="J1949" s="8"/>
    </row>
    <row r="1950" spans="1:10" x14ac:dyDescent="0.15">
      <c r="A1950" s="7"/>
      <c r="B1950" s="8"/>
      <c r="C1950" s="8"/>
      <c r="D1950" s="9"/>
      <c r="E1950" s="8"/>
      <c r="F1950" s="8"/>
      <c r="G1950" s="8"/>
      <c r="H1950" s="8"/>
      <c r="I1950" s="10"/>
      <c r="J1950" s="8"/>
    </row>
    <row r="1951" spans="1:10" x14ac:dyDescent="0.15">
      <c r="A1951" s="7"/>
      <c r="B1951" s="8"/>
      <c r="C1951" s="8"/>
      <c r="D1951" s="9"/>
      <c r="E1951" s="8"/>
      <c r="F1951" s="8"/>
      <c r="G1951" s="8"/>
      <c r="H1951" s="8"/>
      <c r="I1951" s="10"/>
      <c r="J1951" s="8"/>
    </row>
    <row r="1952" spans="1:10" x14ac:dyDescent="0.15">
      <c r="A1952" s="7"/>
      <c r="B1952" s="8"/>
      <c r="C1952" s="8"/>
      <c r="D1952" s="9"/>
      <c r="E1952" s="8"/>
      <c r="F1952" s="8"/>
      <c r="G1952" s="8"/>
      <c r="H1952" s="8"/>
      <c r="I1952" s="10"/>
      <c r="J1952" s="8"/>
    </row>
    <row r="1953" spans="1:10" x14ac:dyDescent="0.15">
      <c r="A1953" s="7"/>
      <c r="B1953" s="8"/>
      <c r="C1953" s="8"/>
      <c r="D1953" s="9"/>
      <c r="E1953" s="8"/>
      <c r="F1953" s="8"/>
      <c r="G1953" s="8"/>
      <c r="H1953" s="8"/>
      <c r="I1953" s="10"/>
      <c r="J1953" s="8"/>
    </row>
    <row r="1954" spans="1:10" x14ac:dyDescent="0.15">
      <c r="A1954" s="7"/>
      <c r="B1954" s="8"/>
      <c r="C1954" s="8"/>
      <c r="D1954" s="9"/>
      <c r="E1954" s="8"/>
      <c r="F1954" s="8"/>
      <c r="G1954" s="8"/>
      <c r="H1954" s="8"/>
      <c r="I1954" s="10"/>
      <c r="J1954" s="8"/>
    </row>
    <row r="1955" spans="1:10" x14ac:dyDescent="0.15">
      <c r="A1955" s="7"/>
      <c r="B1955" s="8"/>
      <c r="C1955" s="8"/>
      <c r="D1955" s="9"/>
      <c r="E1955" s="8"/>
      <c r="F1955" s="8"/>
      <c r="G1955" s="8"/>
      <c r="H1955" s="8"/>
      <c r="I1955" s="10"/>
      <c r="J1955" s="8"/>
    </row>
    <row r="1956" spans="1:10" x14ac:dyDescent="0.15">
      <c r="A1956" s="7"/>
      <c r="B1956" s="8"/>
      <c r="C1956" s="8"/>
      <c r="D1956" s="9"/>
      <c r="E1956" s="8"/>
      <c r="F1956" s="8"/>
      <c r="G1956" s="8"/>
      <c r="H1956" s="8"/>
      <c r="I1956" s="10"/>
      <c r="J1956" s="8"/>
    </row>
    <row r="1957" spans="1:10" x14ac:dyDescent="0.15">
      <c r="A1957" s="7"/>
      <c r="B1957" s="8"/>
      <c r="C1957" s="8"/>
      <c r="D1957" s="9"/>
      <c r="E1957" s="8"/>
      <c r="F1957" s="8"/>
      <c r="G1957" s="8"/>
      <c r="H1957" s="8"/>
      <c r="I1957" s="10"/>
      <c r="J1957" s="8"/>
    </row>
    <row r="1958" spans="1:10" x14ac:dyDescent="0.15">
      <c r="A1958" s="7"/>
      <c r="B1958" s="8"/>
      <c r="C1958" s="8"/>
      <c r="D1958" s="9"/>
      <c r="E1958" s="8"/>
      <c r="F1958" s="8"/>
      <c r="G1958" s="8"/>
      <c r="H1958" s="8"/>
      <c r="I1958" s="10"/>
      <c r="J1958" s="8"/>
    </row>
    <row r="1959" spans="1:10" x14ac:dyDescent="0.15">
      <c r="A1959" s="7"/>
      <c r="B1959" s="8"/>
      <c r="C1959" s="8"/>
      <c r="D1959" s="9"/>
      <c r="E1959" s="8"/>
      <c r="F1959" s="8"/>
      <c r="G1959" s="8"/>
      <c r="H1959" s="8"/>
      <c r="I1959" s="10"/>
      <c r="J1959" s="8"/>
    </row>
    <row r="1960" spans="1:10" x14ac:dyDescent="0.15">
      <c r="A1960" s="7"/>
      <c r="B1960" s="8"/>
      <c r="C1960" s="8"/>
      <c r="D1960" s="9"/>
      <c r="E1960" s="8"/>
      <c r="F1960" s="8"/>
      <c r="G1960" s="8"/>
      <c r="H1960" s="8"/>
      <c r="I1960" s="10"/>
      <c r="J1960" s="8"/>
    </row>
    <row r="1961" spans="1:10" x14ac:dyDescent="0.15">
      <c r="A1961" s="7"/>
      <c r="B1961" s="8"/>
      <c r="C1961" s="8"/>
      <c r="D1961" s="9"/>
      <c r="E1961" s="8"/>
      <c r="F1961" s="8"/>
      <c r="G1961" s="8"/>
      <c r="H1961" s="8"/>
      <c r="I1961" s="10"/>
      <c r="J1961" s="8"/>
    </row>
    <row r="1962" spans="1:10" x14ac:dyDescent="0.15">
      <c r="A1962" s="7"/>
      <c r="B1962" s="8"/>
      <c r="C1962" s="8"/>
      <c r="D1962" s="9"/>
      <c r="E1962" s="8"/>
      <c r="F1962" s="8"/>
      <c r="G1962" s="8"/>
      <c r="H1962" s="8"/>
      <c r="I1962" s="10"/>
      <c r="J1962" s="8"/>
    </row>
    <row r="1963" spans="1:10" x14ac:dyDescent="0.15">
      <c r="A1963" s="7"/>
      <c r="B1963" s="8"/>
      <c r="C1963" s="8"/>
      <c r="D1963" s="9"/>
      <c r="E1963" s="8"/>
      <c r="F1963" s="8"/>
      <c r="G1963" s="8"/>
      <c r="H1963" s="8"/>
      <c r="I1963" s="10"/>
      <c r="J1963" s="8"/>
    </row>
    <row r="1964" spans="1:10" x14ac:dyDescent="0.15">
      <c r="A1964" s="7"/>
      <c r="B1964" s="8"/>
      <c r="C1964" s="8"/>
      <c r="D1964" s="9"/>
      <c r="E1964" s="8"/>
      <c r="F1964" s="8"/>
      <c r="G1964" s="8"/>
      <c r="H1964" s="8"/>
      <c r="I1964" s="10"/>
      <c r="J1964" s="8"/>
    </row>
    <row r="1965" spans="1:10" x14ac:dyDescent="0.15">
      <c r="A1965" s="7"/>
      <c r="B1965" s="8"/>
      <c r="C1965" s="8"/>
      <c r="D1965" s="9"/>
      <c r="E1965" s="8"/>
      <c r="F1965" s="8"/>
      <c r="G1965" s="8"/>
      <c r="H1965" s="8"/>
      <c r="I1965" s="10"/>
      <c r="J1965" s="8"/>
    </row>
    <row r="1966" spans="1:10" x14ac:dyDescent="0.15">
      <c r="A1966" s="7"/>
      <c r="B1966" s="8"/>
      <c r="C1966" s="8"/>
      <c r="D1966" s="9"/>
      <c r="E1966" s="8"/>
      <c r="F1966" s="8"/>
      <c r="G1966" s="8"/>
      <c r="H1966" s="8"/>
      <c r="I1966" s="10"/>
      <c r="J1966" s="8"/>
    </row>
    <row r="1967" spans="1:10" x14ac:dyDescent="0.15">
      <c r="A1967" s="7"/>
      <c r="B1967" s="8"/>
      <c r="C1967" s="8"/>
      <c r="D1967" s="9"/>
      <c r="E1967" s="8"/>
      <c r="F1967" s="8"/>
      <c r="G1967" s="8"/>
      <c r="H1967" s="8"/>
      <c r="I1967" s="10"/>
      <c r="J1967" s="8"/>
    </row>
    <row r="1968" spans="1:10" x14ac:dyDescent="0.15">
      <c r="A1968" s="7"/>
      <c r="B1968" s="8"/>
      <c r="C1968" s="8"/>
      <c r="D1968" s="9"/>
      <c r="E1968" s="8"/>
      <c r="F1968" s="8"/>
      <c r="G1968" s="8"/>
      <c r="H1968" s="8"/>
      <c r="I1968" s="10"/>
      <c r="J1968" s="8"/>
    </row>
    <row r="1969" spans="1:10" x14ac:dyDescent="0.15">
      <c r="A1969" s="7"/>
      <c r="B1969" s="8"/>
      <c r="C1969" s="8"/>
      <c r="D1969" s="9"/>
      <c r="E1969" s="8"/>
      <c r="F1969" s="8"/>
      <c r="G1969" s="8"/>
      <c r="H1969" s="8"/>
      <c r="I1969" s="10"/>
      <c r="J1969" s="8"/>
    </row>
    <row r="1970" spans="1:10" x14ac:dyDescent="0.15">
      <c r="A1970" s="7"/>
      <c r="B1970" s="8"/>
      <c r="C1970" s="8"/>
      <c r="D1970" s="9"/>
      <c r="E1970" s="8"/>
      <c r="F1970" s="8"/>
      <c r="G1970" s="8"/>
      <c r="H1970" s="8"/>
      <c r="I1970" s="10"/>
      <c r="J1970" s="8"/>
    </row>
    <row r="1971" spans="1:10" x14ac:dyDescent="0.15">
      <c r="A1971" s="7"/>
      <c r="B1971" s="8"/>
      <c r="C1971" s="8"/>
      <c r="D1971" s="9"/>
      <c r="E1971" s="8"/>
      <c r="F1971" s="8"/>
      <c r="G1971" s="8"/>
      <c r="H1971" s="8"/>
      <c r="I1971" s="10"/>
      <c r="J1971" s="8"/>
    </row>
    <row r="1972" spans="1:10" x14ac:dyDescent="0.15">
      <c r="A1972" s="7"/>
      <c r="B1972" s="8"/>
      <c r="C1972" s="8"/>
      <c r="D1972" s="9"/>
      <c r="E1972" s="8"/>
      <c r="F1972" s="8"/>
      <c r="G1972" s="8"/>
      <c r="H1972" s="8"/>
      <c r="I1972" s="10"/>
      <c r="J1972" s="8"/>
    </row>
    <row r="1973" spans="1:10" x14ac:dyDescent="0.15">
      <c r="A1973" s="7"/>
      <c r="B1973" s="8"/>
      <c r="C1973" s="8"/>
      <c r="D1973" s="9"/>
      <c r="E1973" s="8"/>
      <c r="F1973" s="8"/>
      <c r="G1973" s="8"/>
      <c r="H1973" s="8"/>
      <c r="I1973" s="10"/>
      <c r="J1973" s="8"/>
    </row>
    <row r="1974" spans="1:10" x14ac:dyDescent="0.15">
      <c r="A1974" s="7"/>
      <c r="B1974" s="8"/>
      <c r="C1974" s="8"/>
      <c r="D1974" s="9"/>
      <c r="E1974" s="8"/>
      <c r="F1974" s="8"/>
      <c r="G1974" s="8"/>
      <c r="H1974" s="8"/>
      <c r="I1974" s="10"/>
      <c r="J1974" s="8"/>
    </row>
    <row r="1975" spans="1:10" x14ac:dyDescent="0.15">
      <c r="A1975" s="7"/>
      <c r="B1975" s="8"/>
      <c r="C1975" s="8"/>
      <c r="D1975" s="9"/>
      <c r="E1975" s="8"/>
      <c r="F1975" s="8"/>
      <c r="G1975" s="8"/>
      <c r="H1975" s="8"/>
      <c r="I1975" s="10"/>
      <c r="J1975" s="8"/>
    </row>
    <row r="1976" spans="1:10" x14ac:dyDescent="0.15">
      <c r="A1976" s="7"/>
      <c r="B1976" s="8"/>
      <c r="C1976" s="8"/>
      <c r="D1976" s="9"/>
      <c r="E1976" s="8"/>
      <c r="F1976" s="8"/>
      <c r="G1976" s="8"/>
      <c r="H1976" s="8"/>
      <c r="I1976" s="10"/>
      <c r="J1976" s="8"/>
    </row>
    <row r="1977" spans="1:10" x14ac:dyDescent="0.15">
      <c r="A1977" s="7"/>
      <c r="B1977" s="8"/>
      <c r="C1977" s="8"/>
      <c r="D1977" s="9"/>
      <c r="E1977" s="8"/>
      <c r="F1977" s="8"/>
      <c r="G1977" s="8"/>
      <c r="H1977" s="8"/>
      <c r="I1977" s="10"/>
      <c r="J1977" s="8"/>
    </row>
  </sheetData>
  <autoFilter ref="A2:J2" xr:uid="{00000000-0009-0000-0000-00000000000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2024-07-24T06:51:09Z</dcterms:modified>
</cp:coreProperties>
</file>