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DF2B9773-3C13-457A-9961-8738198AE606}" xr6:coauthVersionLast="47" xr6:coauthVersionMax="47" xr10:uidLastSave="{00000000-0000-0000-0000-000000000000}"/>
  <bookViews>
    <workbookView xWindow="1770" yWindow="1440" windowWidth="27030" windowHeight="14760" xr2:uid="{00000000-000D-0000-FFFF-FFFF00000000}"/>
  </bookViews>
  <sheets>
    <sheet name="Sheet1" sheetId="4" r:id="rId1"/>
  </sheets>
  <definedNames>
    <definedName name="_xlnm._FilterDatabase" localSheetId="0" hidden="1">Sheet1!$A$2:$J$2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3" i="4" l="1"/>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213" i="4"/>
  <c r="D212" i="4"/>
  <c r="D211" i="4"/>
  <c r="D210" i="4"/>
  <c r="D209" i="4"/>
  <c r="D208" i="4"/>
  <c r="D207" i="4"/>
  <c r="D206" i="4"/>
  <c r="D205" i="4"/>
  <c r="D204" i="4"/>
  <c r="D203" i="4"/>
  <c r="D202" i="4"/>
  <c r="D201" i="4"/>
  <c r="D200" i="4"/>
  <c r="D199" i="4"/>
  <c r="D198" i="4"/>
  <c r="D197" i="4"/>
  <c r="D196" i="4"/>
  <c r="D195" i="4"/>
  <c r="D194" i="4"/>
  <c r="D193" i="4"/>
  <c r="D192" i="4"/>
  <c r="D191" i="4"/>
  <c r="D190" i="4"/>
  <c r="D189" i="4"/>
  <c r="D188" i="4"/>
  <c r="D187" i="4"/>
  <c r="D186" i="4"/>
  <c r="D185" i="4"/>
  <c r="D184" i="4"/>
  <c r="D183" i="4"/>
  <c r="D182" i="4"/>
  <c r="D181" i="4"/>
  <c r="D180" i="4"/>
  <c r="D179" i="4"/>
  <c r="D178" i="4"/>
  <c r="D177" i="4"/>
  <c r="D176" i="4"/>
  <c r="D175" i="4"/>
  <c r="D174" i="4"/>
  <c r="D173" i="4"/>
  <c r="D172" i="4"/>
  <c r="D171" i="4"/>
  <c r="D170" i="4"/>
  <c r="D169" i="4"/>
  <c r="D168" i="4"/>
  <c r="D167"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340" i="4"/>
  <c r="D339" i="4"/>
  <c r="D338" i="4"/>
  <c r="D337" i="4"/>
  <c r="D336" i="4"/>
  <c r="D335" i="4"/>
  <c r="D334" i="4"/>
  <c r="D333" i="4"/>
  <c r="D332" i="4"/>
  <c r="D331" i="4"/>
  <c r="D330" i="4"/>
  <c r="D329" i="4"/>
  <c r="D328" i="4"/>
  <c r="D327" i="4"/>
  <c r="D326" i="4"/>
  <c r="D325" i="4"/>
  <c r="D324" i="4"/>
  <c r="D323" i="4"/>
  <c r="D322" i="4"/>
  <c r="D321" i="4"/>
  <c r="D320" i="4"/>
  <c r="D319" i="4"/>
  <c r="D318" i="4"/>
  <c r="D317" i="4"/>
  <c r="D316" i="4"/>
  <c r="D315" i="4"/>
  <c r="D314" i="4"/>
  <c r="D313" i="4"/>
  <c r="D312" i="4"/>
  <c r="D311" i="4"/>
  <c r="D310" i="4"/>
  <c r="D309" i="4"/>
  <c r="D308" i="4"/>
  <c r="D307" i="4"/>
  <c r="D306" i="4"/>
  <c r="D305" i="4"/>
  <c r="D304" i="4"/>
  <c r="D303" i="4"/>
  <c r="D302" i="4"/>
  <c r="D301" i="4"/>
  <c r="D300" i="4"/>
  <c r="D299" i="4"/>
  <c r="D298" i="4"/>
  <c r="D297" i="4"/>
  <c r="D296" i="4"/>
  <c r="D295" i="4"/>
  <c r="D294" i="4"/>
  <c r="D293" i="4"/>
  <c r="D292" i="4"/>
  <c r="D291" i="4"/>
  <c r="D290" i="4"/>
  <c r="D289" i="4"/>
  <c r="D288" i="4"/>
  <c r="D287" i="4"/>
  <c r="D286" i="4"/>
  <c r="D285" i="4"/>
  <c r="D284" i="4"/>
  <c r="D283" i="4"/>
  <c r="D282" i="4"/>
  <c r="D281" i="4"/>
  <c r="D280" i="4"/>
  <c r="D279" i="4"/>
  <c r="D278" i="4"/>
  <c r="D277" i="4"/>
  <c r="D276" i="4"/>
  <c r="D275" i="4"/>
  <c r="D274" i="4"/>
  <c r="D273" i="4"/>
  <c r="D272" i="4"/>
  <c r="D271" i="4"/>
  <c r="D270" i="4"/>
  <c r="D269" i="4"/>
  <c r="D268" i="4"/>
  <c r="D267" i="4"/>
  <c r="D266" i="4"/>
  <c r="D265" i="4"/>
  <c r="D264" i="4"/>
  <c r="D263" i="4"/>
  <c r="D262" i="4"/>
  <c r="D261" i="4"/>
  <c r="D260" i="4"/>
  <c r="D259" i="4"/>
  <c r="D258" i="4"/>
  <c r="D257" i="4"/>
  <c r="D256" i="4"/>
  <c r="D255" i="4"/>
  <c r="D254" i="4"/>
  <c r="D253" i="4"/>
  <c r="D252" i="4"/>
  <c r="D251" i="4"/>
  <c r="D250" i="4"/>
  <c r="D249" i="4"/>
  <c r="D248" i="4"/>
  <c r="D247" i="4"/>
  <c r="D246" i="4"/>
  <c r="D245" i="4"/>
  <c r="D244" i="4"/>
  <c r="D243" i="4"/>
  <c r="D242" i="4"/>
  <c r="D241" i="4"/>
  <c r="D240" i="4"/>
  <c r="D239" i="4"/>
  <c r="D238" i="4"/>
  <c r="D237" i="4"/>
  <c r="D236" i="4"/>
  <c r="D235" i="4"/>
  <c r="D234" i="4"/>
  <c r="D233" i="4"/>
  <c r="D232" i="4"/>
  <c r="D231" i="4"/>
  <c r="D230" i="4"/>
  <c r="D229" i="4"/>
  <c r="D228" i="4"/>
  <c r="D227" i="4"/>
  <c r="D226" i="4"/>
  <c r="D225" i="4"/>
  <c r="D224" i="4"/>
  <c r="D223" i="4"/>
  <c r="D222" i="4"/>
  <c r="D221" i="4"/>
  <c r="D220" i="4"/>
  <c r="D219" i="4"/>
  <c r="D218" i="4"/>
  <c r="D217" i="4"/>
  <c r="D216" i="4"/>
  <c r="D215" i="4"/>
  <c r="D214" i="4"/>
  <c r="D424" i="4"/>
  <c r="D423" i="4"/>
  <c r="D422" i="4"/>
  <c r="D421" i="4"/>
  <c r="D420" i="4"/>
  <c r="D419" i="4"/>
  <c r="D418" i="4"/>
  <c r="D417" i="4"/>
  <c r="D416" i="4"/>
  <c r="D415" i="4"/>
  <c r="D414" i="4"/>
  <c r="D413" i="4"/>
  <c r="D412" i="4"/>
  <c r="D411" i="4"/>
  <c r="D410" i="4"/>
  <c r="D409" i="4"/>
  <c r="D408" i="4"/>
  <c r="D407" i="4"/>
  <c r="D406" i="4"/>
  <c r="D405" i="4"/>
  <c r="D404" i="4"/>
  <c r="D403" i="4"/>
  <c r="D402" i="4"/>
  <c r="D401" i="4"/>
  <c r="D400" i="4"/>
  <c r="D399" i="4"/>
  <c r="D398" i="4"/>
  <c r="D397" i="4"/>
  <c r="D396" i="4"/>
  <c r="D395" i="4"/>
  <c r="D394" i="4"/>
  <c r="D393" i="4"/>
  <c r="D392" i="4"/>
  <c r="D391" i="4"/>
  <c r="D390" i="4"/>
  <c r="D389" i="4"/>
  <c r="D388" i="4"/>
  <c r="D387" i="4"/>
  <c r="D386" i="4"/>
  <c r="D385" i="4"/>
  <c r="D384" i="4"/>
  <c r="D383" i="4"/>
  <c r="D382" i="4"/>
  <c r="D381" i="4"/>
  <c r="D380" i="4"/>
  <c r="D379" i="4"/>
  <c r="D378" i="4"/>
  <c r="D377" i="4"/>
  <c r="D376" i="4"/>
  <c r="D375" i="4"/>
  <c r="D374" i="4"/>
  <c r="D373" i="4"/>
  <c r="D372" i="4"/>
  <c r="D371" i="4"/>
  <c r="D370" i="4"/>
  <c r="D369" i="4"/>
  <c r="D368" i="4"/>
  <c r="D367" i="4"/>
  <c r="D366" i="4"/>
  <c r="D365" i="4"/>
  <c r="D364" i="4"/>
  <c r="D363" i="4"/>
  <c r="D362" i="4"/>
  <c r="D361" i="4"/>
  <c r="D360" i="4"/>
  <c r="D359" i="4"/>
  <c r="D358" i="4"/>
  <c r="D357" i="4"/>
  <c r="D356" i="4"/>
  <c r="D355" i="4"/>
  <c r="D354" i="4"/>
  <c r="D353" i="4"/>
  <c r="D352" i="4"/>
  <c r="D351" i="4"/>
  <c r="D350" i="4"/>
  <c r="D349" i="4"/>
  <c r="D348" i="4"/>
  <c r="D347" i="4"/>
  <c r="D346" i="4"/>
  <c r="D345" i="4"/>
  <c r="D344" i="4"/>
  <c r="D343" i="4"/>
  <c r="D342" i="4"/>
  <c r="D341" i="4"/>
  <c r="D521" i="4"/>
  <c r="D520" i="4"/>
  <c r="D519" i="4"/>
  <c r="D518" i="4"/>
  <c r="D517" i="4"/>
  <c r="D516" i="4"/>
  <c r="D515" i="4"/>
  <c r="D514" i="4"/>
  <c r="D513" i="4"/>
  <c r="D512" i="4"/>
  <c r="D511" i="4"/>
  <c r="D510" i="4"/>
  <c r="D509" i="4"/>
  <c r="D508" i="4"/>
  <c r="D507" i="4"/>
  <c r="D506" i="4"/>
  <c r="D505" i="4"/>
  <c r="D504" i="4"/>
  <c r="D503" i="4"/>
  <c r="D502" i="4"/>
  <c r="D501" i="4"/>
  <c r="D500" i="4"/>
  <c r="D499" i="4"/>
  <c r="D498" i="4"/>
  <c r="D497" i="4"/>
  <c r="D496" i="4"/>
  <c r="D495" i="4"/>
  <c r="D494" i="4"/>
  <c r="D493" i="4"/>
  <c r="D492" i="4"/>
  <c r="D491" i="4"/>
  <c r="D490" i="4"/>
  <c r="D489" i="4"/>
  <c r="D488" i="4"/>
  <c r="D487" i="4"/>
  <c r="D486" i="4"/>
  <c r="D485" i="4"/>
  <c r="D484" i="4"/>
  <c r="D483" i="4"/>
  <c r="D482" i="4"/>
  <c r="D481" i="4"/>
  <c r="D480" i="4"/>
  <c r="D479" i="4"/>
  <c r="D478" i="4"/>
  <c r="D477" i="4"/>
  <c r="D476" i="4"/>
  <c r="D475" i="4"/>
  <c r="D474" i="4"/>
  <c r="D473" i="4"/>
  <c r="D472" i="4"/>
  <c r="D471" i="4"/>
  <c r="D470" i="4"/>
  <c r="D469" i="4"/>
  <c r="D468" i="4"/>
  <c r="D467" i="4"/>
  <c r="D466" i="4"/>
  <c r="D465" i="4"/>
  <c r="D464" i="4"/>
  <c r="D463" i="4"/>
  <c r="D462" i="4"/>
  <c r="D461" i="4"/>
  <c r="D460" i="4"/>
  <c r="D459" i="4"/>
  <c r="D458" i="4"/>
  <c r="D457" i="4"/>
  <c r="D456" i="4"/>
  <c r="D455" i="4"/>
  <c r="D454" i="4"/>
  <c r="D453" i="4"/>
  <c r="D452" i="4"/>
  <c r="D451" i="4"/>
  <c r="D450" i="4"/>
  <c r="D449" i="4"/>
  <c r="D448" i="4"/>
  <c r="D447" i="4"/>
  <c r="D446" i="4"/>
  <c r="D445" i="4"/>
  <c r="D444" i="4"/>
  <c r="D443" i="4"/>
  <c r="D442" i="4"/>
  <c r="D441" i="4"/>
  <c r="D440" i="4"/>
  <c r="D439" i="4"/>
  <c r="D438" i="4"/>
  <c r="D437" i="4"/>
  <c r="D436" i="4"/>
  <c r="D435" i="4"/>
  <c r="D434" i="4"/>
  <c r="D433" i="4"/>
  <c r="D432" i="4"/>
  <c r="D431" i="4"/>
  <c r="D430" i="4"/>
  <c r="D429" i="4"/>
  <c r="D428" i="4"/>
  <c r="D427" i="4"/>
  <c r="D426" i="4"/>
  <c r="D425" i="4"/>
  <c r="D625" i="4"/>
  <c r="D624" i="4"/>
  <c r="D623" i="4"/>
  <c r="D622" i="4"/>
  <c r="D621" i="4"/>
  <c r="D620" i="4"/>
  <c r="D619" i="4"/>
  <c r="D618" i="4"/>
  <c r="D617" i="4"/>
  <c r="D616" i="4"/>
  <c r="D615" i="4"/>
  <c r="D614" i="4"/>
  <c r="D613" i="4"/>
  <c r="D612" i="4"/>
  <c r="D611" i="4"/>
  <c r="D610" i="4"/>
  <c r="D609" i="4"/>
  <c r="D608" i="4"/>
  <c r="D607" i="4"/>
  <c r="D606" i="4"/>
  <c r="D605" i="4"/>
  <c r="D604" i="4"/>
  <c r="D603" i="4"/>
  <c r="D602" i="4"/>
  <c r="D601" i="4"/>
  <c r="D600" i="4"/>
  <c r="D599" i="4"/>
  <c r="D598" i="4"/>
  <c r="D597" i="4"/>
  <c r="D596" i="4"/>
  <c r="D595" i="4"/>
  <c r="D594" i="4"/>
  <c r="D593" i="4"/>
  <c r="D592" i="4"/>
  <c r="D591" i="4"/>
  <c r="D590" i="4"/>
  <c r="D589" i="4"/>
  <c r="D588" i="4"/>
  <c r="D587" i="4"/>
  <c r="D586" i="4"/>
  <c r="D585" i="4"/>
  <c r="D584" i="4"/>
  <c r="D583" i="4"/>
  <c r="D582" i="4"/>
  <c r="D581" i="4"/>
  <c r="D580" i="4"/>
  <c r="D579" i="4"/>
  <c r="D578" i="4"/>
  <c r="D577" i="4"/>
  <c r="D576" i="4"/>
  <c r="D575" i="4"/>
  <c r="D574" i="4"/>
  <c r="D573" i="4"/>
  <c r="D572" i="4"/>
  <c r="D571" i="4"/>
  <c r="D570" i="4"/>
  <c r="D569" i="4"/>
  <c r="D568" i="4"/>
  <c r="D567" i="4"/>
  <c r="D566" i="4"/>
  <c r="D565" i="4"/>
  <c r="D564" i="4"/>
  <c r="D563" i="4"/>
  <c r="D562" i="4"/>
  <c r="D561" i="4"/>
  <c r="D560" i="4"/>
  <c r="D559" i="4"/>
  <c r="D558" i="4"/>
  <c r="D557" i="4"/>
  <c r="D556" i="4"/>
  <c r="D555" i="4"/>
  <c r="D554" i="4"/>
  <c r="D553" i="4"/>
  <c r="D552" i="4"/>
  <c r="D551" i="4"/>
  <c r="D550" i="4"/>
  <c r="D549" i="4"/>
  <c r="D548" i="4"/>
  <c r="D547" i="4"/>
  <c r="D546" i="4"/>
  <c r="D545" i="4"/>
  <c r="D544" i="4"/>
  <c r="D543" i="4"/>
  <c r="D542" i="4"/>
  <c r="D541" i="4"/>
  <c r="D540" i="4"/>
  <c r="D539" i="4"/>
  <c r="D538" i="4"/>
  <c r="D537" i="4"/>
  <c r="D536" i="4"/>
  <c r="D535" i="4"/>
  <c r="D534" i="4"/>
  <c r="D533" i="4"/>
  <c r="D532" i="4"/>
  <c r="D531" i="4"/>
  <c r="D530" i="4"/>
  <c r="D529" i="4"/>
  <c r="D528" i="4"/>
  <c r="D527" i="4"/>
  <c r="D526" i="4"/>
  <c r="D525" i="4"/>
  <c r="D524" i="4"/>
  <c r="D523" i="4"/>
  <c r="D522" i="4"/>
  <c r="D723" i="4"/>
  <c r="D722" i="4"/>
  <c r="D721" i="4"/>
  <c r="D720" i="4"/>
  <c r="D719" i="4"/>
  <c r="D718" i="4"/>
  <c r="D717" i="4"/>
  <c r="D716" i="4"/>
  <c r="D715" i="4"/>
  <c r="D714" i="4"/>
  <c r="D713" i="4"/>
  <c r="D712" i="4"/>
  <c r="D711" i="4"/>
  <c r="D710" i="4"/>
  <c r="D709" i="4"/>
  <c r="D708" i="4"/>
  <c r="D707" i="4"/>
  <c r="D706" i="4"/>
  <c r="D705" i="4"/>
  <c r="D704" i="4"/>
  <c r="D703" i="4"/>
  <c r="D702" i="4"/>
  <c r="D701" i="4"/>
  <c r="D700" i="4"/>
  <c r="D699" i="4"/>
  <c r="D698" i="4"/>
  <c r="D697" i="4"/>
  <c r="D696" i="4"/>
  <c r="D695" i="4"/>
  <c r="D694" i="4"/>
  <c r="D693" i="4"/>
  <c r="D692" i="4"/>
  <c r="D691" i="4"/>
  <c r="D690" i="4"/>
  <c r="D689" i="4"/>
  <c r="D688" i="4"/>
  <c r="D687" i="4"/>
  <c r="D686" i="4"/>
  <c r="D685" i="4"/>
  <c r="D684" i="4"/>
  <c r="D683" i="4"/>
  <c r="D682" i="4"/>
  <c r="D681" i="4"/>
  <c r="D680" i="4"/>
  <c r="D679" i="4"/>
  <c r="D678" i="4"/>
  <c r="D677" i="4"/>
  <c r="D676" i="4"/>
  <c r="D675" i="4"/>
  <c r="D674" i="4"/>
  <c r="D673" i="4"/>
  <c r="D672" i="4"/>
  <c r="D671" i="4"/>
  <c r="D670" i="4"/>
  <c r="D669" i="4"/>
  <c r="D668" i="4"/>
  <c r="D667" i="4"/>
  <c r="D666" i="4"/>
  <c r="D665" i="4"/>
  <c r="D664" i="4"/>
  <c r="D663" i="4"/>
  <c r="D662" i="4"/>
  <c r="D661" i="4"/>
  <c r="D660" i="4"/>
  <c r="D659" i="4"/>
  <c r="D658" i="4"/>
  <c r="D657" i="4"/>
  <c r="D656" i="4"/>
  <c r="D655" i="4"/>
  <c r="D654" i="4"/>
  <c r="D653" i="4"/>
  <c r="D652" i="4"/>
  <c r="D651" i="4"/>
  <c r="D650" i="4"/>
  <c r="D649" i="4"/>
  <c r="D648" i="4"/>
  <c r="D647" i="4"/>
  <c r="D646" i="4"/>
  <c r="D645" i="4"/>
  <c r="D644" i="4"/>
  <c r="D643" i="4"/>
  <c r="D642" i="4"/>
  <c r="D641" i="4"/>
  <c r="D640" i="4"/>
  <c r="D639" i="4"/>
  <c r="D638" i="4"/>
  <c r="D637" i="4"/>
  <c r="D636" i="4"/>
  <c r="D635" i="4"/>
  <c r="D634" i="4"/>
  <c r="D633" i="4"/>
  <c r="D632" i="4"/>
  <c r="D631" i="4"/>
  <c r="D630" i="4"/>
  <c r="D629" i="4"/>
  <c r="D628" i="4"/>
  <c r="D627" i="4"/>
  <c r="D626" i="4"/>
  <c r="D770" i="4"/>
  <c r="D769" i="4"/>
  <c r="D768" i="4"/>
  <c r="D767" i="4"/>
  <c r="D766" i="4"/>
  <c r="D765" i="4"/>
  <c r="D764" i="4"/>
  <c r="D763" i="4"/>
  <c r="D762" i="4"/>
  <c r="D761" i="4"/>
  <c r="D760" i="4"/>
  <c r="D759" i="4"/>
  <c r="D758" i="4"/>
  <c r="D757" i="4"/>
  <c r="D756" i="4"/>
  <c r="D755" i="4"/>
  <c r="D754" i="4"/>
  <c r="D753" i="4"/>
  <c r="D752" i="4"/>
  <c r="D751" i="4"/>
  <c r="D750" i="4"/>
  <c r="D749" i="4"/>
  <c r="D748" i="4"/>
  <c r="D747" i="4"/>
  <c r="D746" i="4"/>
  <c r="D745" i="4"/>
  <c r="D744" i="4"/>
  <c r="D743" i="4"/>
  <c r="D742" i="4"/>
  <c r="D741" i="4"/>
  <c r="D740" i="4"/>
  <c r="D739" i="4"/>
  <c r="D738" i="4"/>
  <c r="D737" i="4"/>
  <c r="D736" i="4"/>
  <c r="D735" i="4"/>
  <c r="D734" i="4"/>
  <c r="D733" i="4"/>
  <c r="D732" i="4"/>
  <c r="D731" i="4"/>
  <c r="D730" i="4"/>
  <c r="D729" i="4"/>
  <c r="D728" i="4"/>
  <c r="D727" i="4"/>
  <c r="D726" i="4"/>
  <c r="D725" i="4"/>
  <c r="D724" i="4"/>
  <c r="D864" i="4"/>
  <c r="D863" i="4"/>
  <c r="D862" i="4"/>
  <c r="D861" i="4"/>
  <c r="D860" i="4"/>
  <c r="D859" i="4"/>
  <c r="D858" i="4"/>
  <c r="D857" i="4"/>
  <c r="D856" i="4"/>
  <c r="D855" i="4"/>
  <c r="D854" i="4"/>
  <c r="D853" i="4"/>
  <c r="D852" i="4"/>
  <c r="D851" i="4"/>
  <c r="D850" i="4"/>
  <c r="D849" i="4"/>
  <c r="D848" i="4"/>
  <c r="D847" i="4"/>
  <c r="D846" i="4"/>
  <c r="D845" i="4"/>
  <c r="D844" i="4"/>
  <c r="D843" i="4"/>
  <c r="D842" i="4"/>
  <c r="D841" i="4"/>
  <c r="D840" i="4"/>
  <c r="D839" i="4"/>
  <c r="D838" i="4"/>
  <c r="D837" i="4"/>
  <c r="D836" i="4"/>
  <c r="D835" i="4"/>
  <c r="D834" i="4"/>
  <c r="D833" i="4"/>
  <c r="D832" i="4"/>
  <c r="D831" i="4"/>
  <c r="D830" i="4"/>
  <c r="D829" i="4"/>
  <c r="D828" i="4"/>
  <c r="D827" i="4"/>
  <c r="D826" i="4"/>
  <c r="D825" i="4"/>
  <c r="D824" i="4"/>
  <c r="D823" i="4"/>
  <c r="D822" i="4"/>
  <c r="D821" i="4"/>
  <c r="D820" i="4"/>
  <c r="D819" i="4"/>
  <c r="D818" i="4"/>
  <c r="D817" i="4"/>
  <c r="D816" i="4"/>
  <c r="D815" i="4"/>
  <c r="D814" i="4"/>
  <c r="D813" i="4"/>
  <c r="D812" i="4"/>
  <c r="D811" i="4"/>
  <c r="D810" i="4"/>
  <c r="D809" i="4"/>
  <c r="D808" i="4"/>
  <c r="D807" i="4"/>
  <c r="D806" i="4"/>
  <c r="D805" i="4"/>
  <c r="D804" i="4"/>
  <c r="D803" i="4"/>
  <c r="D802" i="4"/>
  <c r="D801" i="4"/>
  <c r="D800" i="4"/>
  <c r="D799" i="4"/>
  <c r="D798" i="4"/>
  <c r="D797" i="4"/>
  <c r="D796" i="4"/>
  <c r="D795" i="4"/>
  <c r="D794" i="4"/>
  <c r="D793" i="4"/>
  <c r="D792" i="4"/>
  <c r="D791" i="4"/>
  <c r="D790" i="4"/>
  <c r="D789" i="4"/>
  <c r="D788" i="4"/>
  <c r="D787" i="4"/>
  <c r="D786" i="4"/>
  <c r="D785" i="4"/>
  <c r="D784" i="4"/>
  <c r="D783" i="4"/>
  <c r="D782" i="4"/>
  <c r="D781" i="4"/>
  <c r="D780" i="4"/>
  <c r="D779" i="4"/>
  <c r="D778" i="4"/>
  <c r="D777" i="4"/>
  <c r="D776" i="4"/>
  <c r="D775" i="4"/>
  <c r="D774" i="4"/>
  <c r="D773" i="4"/>
  <c r="D772" i="4"/>
  <c r="D771" i="4"/>
  <c r="D941" i="4"/>
  <c r="D940" i="4"/>
  <c r="D939" i="4"/>
  <c r="D938" i="4"/>
  <c r="D937" i="4"/>
  <c r="D936" i="4"/>
  <c r="D935" i="4"/>
  <c r="D934" i="4"/>
  <c r="D933" i="4"/>
  <c r="D932" i="4"/>
  <c r="D931" i="4"/>
  <c r="D930" i="4"/>
  <c r="D929" i="4"/>
  <c r="D928" i="4"/>
  <c r="D927" i="4"/>
  <c r="D926" i="4"/>
  <c r="D925" i="4"/>
  <c r="D924" i="4"/>
  <c r="D923" i="4"/>
  <c r="D922" i="4"/>
  <c r="D921" i="4"/>
  <c r="D920" i="4"/>
  <c r="D919" i="4"/>
  <c r="D918" i="4"/>
  <c r="D917" i="4"/>
  <c r="D916" i="4"/>
  <c r="D915" i="4"/>
  <c r="D914" i="4"/>
  <c r="D913" i="4"/>
  <c r="D912" i="4"/>
  <c r="D911" i="4"/>
  <c r="D910" i="4"/>
  <c r="D909" i="4"/>
  <c r="D908" i="4"/>
  <c r="D907" i="4"/>
  <c r="D906" i="4"/>
  <c r="D905" i="4"/>
  <c r="D904" i="4"/>
  <c r="D903" i="4"/>
  <c r="D902" i="4"/>
  <c r="D901" i="4"/>
  <c r="D900" i="4"/>
  <c r="D899" i="4"/>
  <c r="D898" i="4"/>
  <c r="D897" i="4"/>
  <c r="D896" i="4"/>
  <c r="D895" i="4"/>
  <c r="D894" i="4"/>
  <c r="D893" i="4"/>
  <c r="D892" i="4"/>
  <c r="D891" i="4"/>
  <c r="D890" i="4"/>
  <c r="D889" i="4"/>
  <c r="D888" i="4"/>
  <c r="D887" i="4"/>
  <c r="D886" i="4"/>
  <c r="D885" i="4"/>
  <c r="D884" i="4"/>
  <c r="D883" i="4"/>
  <c r="D882" i="4"/>
  <c r="D881" i="4"/>
  <c r="D880" i="4"/>
  <c r="D879" i="4"/>
  <c r="D878" i="4"/>
  <c r="D877" i="4"/>
  <c r="D876" i="4"/>
  <c r="D875" i="4"/>
  <c r="D874" i="4"/>
  <c r="D873" i="4"/>
  <c r="D872" i="4"/>
  <c r="D871" i="4"/>
  <c r="D870" i="4"/>
  <c r="D869" i="4"/>
  <c r="D868" i="4"/>
  <c r="D867" i="4"/>
  <c r="D866" i="4"/>
  <c r="D865" i="4"/>
  <c r="D1009" i="4"/>
  <c r="D1008" i="4"/>
  <c r="D1007" i="4"/>
  <c r="D1006" i="4"/>
  <c r="D1005" i="4"/>
  <c r="D1004" i="4"/>
  <c r="D1003" i="4"/>
  <c r="D1002" i="4"/>
  <c r="D1001" i="4"/>
  <c r="D1000" i="4"/>
  <c r="D999" i="4"/>
  <c r="D998" i="4"/>
  <c r="D997" i="4"/>
  <c r="D996" i="4"/>
  <c r="D995" i="4"/>
  <c r="D994" i="4"/>
  <c r="D993" i="4"/>
  <c r="D992" i="4"/>
  <c r="D991" i="4"/>
  <c r="D990" i="4"/>
  <c r="D989" i="4"/>
  <c r="D988" i="4"/>
  <c r="D987" i="4"/>
  <c r="D986" i="4"/>
  <c r="D985" i="4"/>
  <c r="D984" i="4"/>
  <c r="D983" i="4"/>
  <c r="D982" i="4"/>
  <c r="D981" i="4"/>
  <c r="D980" i="4"/>
  <c r="D979" i="4"/>
  <c r="D978" i="4"/>
  <c r="D977" i="4"/>
  <c r="D976" i="4"/>
  <c r="D975" i="4"/>
  <c r="D974" i="4"/>
  <c r="D973" i="4"/>
  <c r="D972" i="4"/>
  <c r="D971" i="4"/>
  <c r="D970" i="4"/>
  <c r="D969" i="4"/>
  <c r="D968" i="4"/>
  <c r="D967" i="4"/>
  <c r="D966" i="4"/>
  <c r="D965" i="4"/>
  <c r="D964" i="4"/>
  <c r="D963" i="4"/>
  <c r="D962" i="4"/>
  <c r="D961" i="4"/>
  <c r="D960" i="4"/>
  <c r="D959" i="4"/>
  <c r="D958" i="4"/>
  <c r="D957" i="4"/>
  <c r="D956" i="4"/>
  <c r="D955" i="4"/>
  <c r="D954" i="4"/>
  <c r="D953" i="4"/>
  <c r="D952" i="4"/>
  <c r="D951" i="4"/>
  <c r="D950" i="4"/>
  <c r="D949" i="4"/>
  <c r="D948" i="4"/>
  <c r="D947" i="4"/>
  <c r="D946" i="4"/>
  <c r="D945" i="4"/>
  <c r="D944" i="4"/>
  <c r="D943" i="4"/>
  <c r="D942" i="4"/>
  <c r="D1100" i="4"/>
  <c r="D1099" i="4"/>
  <c r="D1098" i="4"/>
  <c r="D1097" i="4"/>
  <c r="D1096" i="4"/>
  <c r="D1095" i="4"/>
  <c r="D1094" i="4"/>
  <c r="D1093" i="4"/>
  <c r="D1092" i="4"/>
  <c r="D1091" i="4"/>
  <c r="D1090" i="4"/>
  <c r="D1089" i="4"/>
  <c r="D1088" i="4"/>
  <c r="D1087" i="4"/>
  <c r="D1086" i="4"/>
  <c r="D1085" i="4"/>
  <c r="D1084" i="4"/>
  <c r="D1083" i="4"/>
  <c r="D1082" i="4"/>
  <c r="D1081" i="4"/>
  <c r="D1080" i="4"/>
  <c r="D1079" i="4"/>
  <c r="D1078" i="4"/>
  <c r="D1077" i="4"/>
  <c r="D1076" i="4"/>
  <c r="D1075" i="4"/>
  <c r="D1074" i="4"/>
  <c r="D1073" i="4"/>
  <c r="D1072" i="4"/>
  <c r="D1071" i="4"/>
  <c r="D1070" i="4"/>
  <c r="D1069" i="4"/>
  <c r="D1068" i="4"/>
  <c r="D1067" i="4"/>
  <c r="D1066" i="4"/>
  <c r="D1065" i="4"/>
  <c r="D1064" i="4"/>
  <c r="D1063" i="4"/>
  <c r="D1062" i="4"/>
  <c r="D1061" i="4"/>
  <c r="D1060" i="4"/>
  <c r="D1059" i="4"/>
  <c r="D1058" i="4"/>
  <c r="D1057" i="4"/>
  <c r="D1056" i="4"/>
  <c r="D1055" i="4"/>
  <c r="D1054" i="4"/>
  <c r="D1053" i="4"/>
  <c r="D1052" i="4"/>
  <c r="D1051" i="4"/>
  <c r="D1050" i="4"/>
  <c r="D1049" i="4"/>
  <c r="D1048" i="4"/>
  <c r="D1047" i="4"/>
  <c r="D1046" i="4"/>
  <c r="D1045" i="4"/>
  <c r="D1044" i="4"/>
  <c r="D1043" i="4"/>
  <c r="D1042" i="4"/>
  <c r="D1041" i="4"/>
  <c r="D1040" i="4"/>
  <c r="D1039" i="4"/>
  <c r="D1038" i="4"/>
  <c r="D1037" i="4"/>
  <c r="D1036" i="4"/>
  <c r="D1035" i="4"/>
  <c r="D1034" i="4"/>
  <c r="D1033" i="4"/>
  <c r="D1032" i="4"/>
  <c r="D1031" i="4"/>
  <c r="D1030" i="4"/>
  <c r="D1029" i="4"/>
  <c r="D1028" i="4"/>
  <c r="D1027" i="4"/>
  <c r="D1026" i="4"/>
  <c r="D1025" i="4"/>
  <c r="D1024" i="4"/>
  <c r="D1023" i="4"/>
  <c r="D1022" i="4"/>
  <c r="D1021" i="4"/>
  <c r="D1020" i="4"/>
  <c r="D1019" i="4"/>
  <c r="D1018" i="4"/>
  <c r="D1017" i="4"/>
  <c r="D1016" i="4"/>
  <c r="D1015" i="4"/>
  <c r="D1014" i="4"/>
  <c r="D1013" i="4"/>
  <c r="D1012" i="4"/>
  <c r="D1011" i="4"/>
  <c r="D1010" i="4"/>
  <c r="D1220" i="4"/>
  <c r="D1219" i="4"/>
  <c r="D1218" i="4"/>
  <c r="D1217" i="4"/>
  <c r="D1216" i="4"/>
  <c r="D1215" i="4"/>
  <c r="D1214" i="4"/>
  <c r="D1213" i="4"/>
  <c r="D1212" i="4"/>
  <c r="D1211" i="4"/>
  <c r="D1210" i="4"/>
  <c r="D1209" i="4"/>
  <c r="D1208" i="4"/>
  <c r="D1207" i="4"/>
  <c r="D1206" i="4"/>
  <c r="D1205" i="4"/>
  <c r="D1204" i="4"/>
  <c r="D1203" i="4"/>
  <c r="D1202" i="4"/>
  <c r="D1201" i="4"/>
  <c r="D1200" i="4"/>
  <c r="D1199" i="4"/>
  <c r="D1198" i="4"/>
  <c r="D1197" i="4"/>
  <c r="D1196" i="4"/>
  <c r="D1195" i="4"/>
  <c r="D1194" i="4"/>
  <c r="D1193" i="4"/>
  <c r="D1192" i="4"/>
  <c r="D1191" i="4"/>
  <c r="D1190" i="4"/>
  <c r="D1189" i="4"/>
  <c r="D1188" i="4"/>
  <c r="D1187" i="4"/>
  <c r="D1186" i="4"/>
  <c r="D1185" i="4"/>
  <c r="D1184" i="4"/>
  <c r="D1183" i="4"/>
  <c r="D1182" i="4"/>
  <c r="D1181" i="4"/>
  <c r="D1180" i="4"/>
  <c r="D1179" i="4"/>
  <c r="D1178" i="4"/>
  <c r="D1177" i="4"/>
  <c r="D1176" i="4"/>
  <c r="D1175" i="4"/>
  <c r="D1174" i="4"/>
  <c r="D1173" i="4"/>
  <c r="D1172" i="4"/>
  <c r="D1171" i="4"/>
  <c r="D1170" i="4"/>
  <c r="D1169" i="4"/>
  <c r="D1168" i="4"/>
  <c r="D1167" i="4"/>
  <c r="D1166" i="4"/>
  <c r="D1165" i="4"/>
  <c r="D1164" i="4"/>
  <c r="D1163" i="4"/>
  <c r="D1162" i="4"/>
  <c r="D1161" i="4"/>
  <c r="D1160" i="4"/>
  <c r="D1159" i="4"/>
  <c r="D1158" i="4"/>
  <c r="D1157" i="4"/>
  <c r="D1156" i="4"/>
  <c r="D1155" i="4"/>
  <c r="D1154" i="4"/>
  <c r="D1153" i="4"/>
  <c r="D1152" i="4"/>
  <c r="D1151" i="4"/>
  <c r="D1150" i="4"/>
  <c r="D1149" i="4"/>
  <c r="D1148" i="4"/>
  <c r="D1147" i="4"/>
  <c r="D1146" i="4"/>
  <c r="D1145" i="4"/>
  <c r="D1144" i="4"/>
  <c r="D1143" i="4"/>
  <c r="D1142" i="4"/>
  <c r="D1141" i="4"/>
  <c r="D1140" i="4"/>
  <c r="D1139" i="4"/>
  <c r="D1138" i="4"/>
  <c r="D1137" i="4"/>
  <c r="D1136" i="4"/>
  <c r="D1135" i="4"/>
  <c r="D1134" i="4"/>
  <c r="D1133" i="4"/>
  <c r="D1132" i="4"/>
  <c r="D1131" i="4"/>
  <c r="D1130" i="4"/>
  <c r="D1129" i="4"/>
  <c r="D1128" i="4"/>
  <c r="D1127" i="4"/>
  <c r="D1126" i="4"/>
  <c r="D1125" i="4"/>
  <c r="D1124" i="4"/>
  <c r="D1123" i="4"/>
  <c r="D1122" i="4"/>
  <c r="D1121" i="4"/>
  <c r="D1120" i="4"/>
  <c r="D1119" i="4"/>
  <c r="D1118" i="4"/>
  <c r="D1117" i="4"/>
  <c r="D1116" i="4"/>
  <c r="D1115" i="4"/>
  <c r="D1114" i="4"/>
  <c r="D1113" i="4"/>
  <c r="D1112" i="4"/>
  <c r="D1111" i="4"/>
  <c r="D1110" i="4"/>
  <c r="D1109" i="4"/>
  <c r="D1108" i="4"/>
  <c r="D1107" i="4"/>
  <c r="D1106" i="4"/>
  <c r="D1105" i="4"/>
  <c r="D1104" i="4"/>
  <c r="D1103" i="4"/>
  <c r="D1102" i="4"/>
  <c r="D1101" i="4"/>
</calcChain>
</file>

<file path=xl/sharedStrings.xml><?xml version="1.0" encoding="utf-8"?>
<sst xmlns="http://schemas.openxmlformats.org/spreadsheetml/2006/main" count="8032" uniqueCount="1693">
  <si>
    <t>Country</t>
  </si>
  <si>
    <t>Area</t>
  </si>
  <si>
    <t>URL</t>
  </si>
  <si>
    <t>Brand</t>
  </si>
  <si>
    <t>Group</t>
  </si>
  <si>
    <t>Update Date</t>
  </si>
  <si>
    <t>Release Month</t>
  </si>
  <si>
    <t>Updates (Double-click on a cell to read the entire note.)</t>
  </si>
  <si>
    <t>*Please copy the URL if hyperlinks for detailed plant information are not working.</t>
  </si>
  <si>
    <t>OEM Location Name</t>
  </si>
  <si>
    <t>Province</t>
  </si>
  <si>
    <t>USA</t>
    <phoneticPr fontId="1"/>
  </si>
  <si>
    <t>GM</t>
    <phoneticPr fontId="1"/>
  </si>
  <si>
    <t>Others</t>
    <phoneticPr fontId="1"/>
  </si>
  <si>
    <t>Russia</t>
    <phoneticPr fontId="1"/>
  </si>
  <si>
    <t>Honda</t>
    <phoneticPr fontId="1"/>
  </si>
  <si>
    <t>North America</t>
    <phoneticPr fontId="1"/>
  </si>
  <si>
    <t>West Europe</t>
    <phoneticPr fontId="1"/>
  </si>
  <si>
    <t>East Europe/Russia, CIS</t>
    <phoneticPr fontId="1"/>
  </si>
  <si>
    <t>Chevrolet</t>
    <phoneticPr fontId="1"/>
  </si>
  <si>
    <t>East Asia</t>
    <phoneticPr fontId="1"/>
  </si>
  <si>
    <t>Germany</t>
    <phoneticPr fontId="1"/>
  </si>
  <si>
    <t>Toyota</t>
    <phoneticPr fontId="1"/>
  </si>
  <si>
    <t>Japan</t>
    <phoneticPr fontId="1"/>
  </si>
  <si>
    <t>Ford</t>
    <phoneticPr fontId="1"/>
  </si>
  <si>
    <t>South Asia/Oceania</t>
    <phoneticPr fontId="1"/>
  </si>
  <si>
    <t>India</t>
    <phoneticPr fontId="1"/>
  </si>
  <si>
    <t>China</t>
    <phoneticPr fontId="1"/>
  </si>
  <si>
    <t>Daimler Truck</t>
    <phoneticPr fontId="1"/>
  </si>
  <si>
    <t>Geely</t>
    <phoneticPr fontId="1"/>
  </si>
  <si>
    <t>Chongqing</t>
  </si>
  <si>
    <t>Guangdong</t>
  </si>
  <si>
    <t>Poland</t>
    <phoneticPr fontId="1"/>
  </si>
  <si>
    <t>https://www.marklines.com/en/global/671</t>
    <phoneticPr fontId="1"/>
  </si>
  <si>
    <t>Tesla</t>
    <phoneticPr fontId="1"/>
  </si>
  <si>
    <t>https://www.marklines.com/en/global/10321</t>
    <phoneticPr fontId="1"/>
  </si>
  <si>
    <t>Texas</t>
  </si>
  <si>
    <t>Beijing</t>
  </si>
  <si>
    <t>California</t>
  </si>
  <si>
    <t>BMW</t>
    <phoneticPr fontId="1"/>
  </si>
  <si>
    <t>France</t>
    <phoneticPr fontId="1"/>
  </si>
  <si>
    <t>SAIC</t>
    <phoneticPr fontId="1"/>
  </si>
  <si>
    <t>MG</t>
    <phoneticPr fontId="1"/>
  </si>
  <si>
    <t>VW</t>
    <phoneticPr fontId="1"/>
  </si>
  <si>
    <t>GAC</t>
    <phoneticPr fontId="1"/>
  </si>
  <si>
    <t>https://www.marklines.com/en/global/4073</t>
    <phoneticPr fontId="1"/>
  </si>
  <si>
    <t>Hubei</t>
  </si>
  <si>
    <t>Henan</t>
  </si>
  <si>
    <t>Guangxi</t>
  </si>
  <si>
    <t>Southeast Asia</t>
    <phoneticPr fontId="1"/>
  </si>
  <si>
    <t>Suzuki</t>
    <phoneticPr fontId="1"/>
  </si>
  <si>
    <t>Zhejiang</t>
  </si>
  <si>
    <t>Jiangsu</t>
  </si>
  <si>
    <t>Great Wall</t>
    <phoneticPr fontId="1"/>
  </si>
  <si>
    <t>Aion</t>
    <phoneticPr fontId="1"/>
  </si>
  <si>
    <t>https://www.marklines.com/en/global/9824</t>
    <phoneticPr fontId="1"/>
  </si>
  <si>
    <t>Rivian</t>
    <phoneticPr fontId="1"/>
  </si>
  <si>
    <t>https://www.marklines.com/en/global/3153</t>
    <phoneticPr fontId="1"/>
  </si>
  <si>
    <t>Illinois</t>
  </si>
  <si>
    <t>Michigan</t>
  </si>
  <si>
    <t>Mercedes-Benz Group</t>
    <phoneticPr fontId="1"/>
  </si>
  <si>
    <t>Mercedes-Benz</t>
    <phoneticPr fontId="1"/>
  </si>
  <si>
    <t>Chery</t>
    <phoneticPr fontId="1"/>
  </si>
  <si>
    <t>BAIC</t>
    <phoneticPr fontId="1"/>
  </si>
  <si>
    <t>BAIC Foton</t>
    <phoneticPr fontId="1"/>
  </si>
  <si>
    <t>Hyundai</t>
    <phoneticPr fontId="1"/>
  </si>
  <si>
    <t>Kia</t>
    <phoneticPr fontId="1"/>
  </si>
  <si>
    <t>Volkswagen</t>
    <phoneticPr fontId="1"/>
  </si>
  <si>
    <t>Stellantis</t>
    <phoneticPr fontId="1"/>
  </si>
  <si>
    <t>Iveco</t>
    <phoneticPr fontId="1"/>
  </si>
  <si>
    <t>Italy</t>
    <phoneticPr fontId="1"/>
  </si>
  <si>
    <t>https://www.marklines.com/en/global/2267</t>
    <phoneticPr fontId="1"/>
  </si>
  <si>
    <t>Peugeot</t>
    <phoneticPr fontId="1"/>
  </si>
  <si>
    <t>UK</t>
    <phoneticPr fontId="1"/>
  </si>
  <si>
    <t>South America</t>
    <phoneticPr fontId="1"/>
  </si>
  <si>
    <t>Brazil</t>
    <phoneticPr fontId="1"/>
  </si>
  <si>
    <t>https://www.marklines.com/en/global/3807</t>
    <phoneticPr fontId="1"/>
  </si>
  <si>
    <t>MAN (TRATON)</t>
    <phoneticPr fontId="1"/>
  </si>
  <si>
    <t>https://www.marklines.com/en/global/2171</t>
    <phoneticPr fontId="1"/>
  </si>
  <si>
    <t>Fiat</t>
    <phoneticPr fontId="1"/>
  </si>
  <si>
    <t>Sweden</t>
    <phoneticPr fontId="1"/>
  </si>
  <si>
    <t>https://www.marklines.com/en/global/1655</t>
    <phoneticPr fontId="1"/>
  </si>
  <si>
    <t>Canada</t>
    <phoneticPr fontId="1"/>
  </si>
  <si>
    <t>Leapmotor</t>
    <phoneticPr fontId="1"/>
  </si>
  <si>
    <t>https://www.marklines.com/en/global/9481</t>
    <phoneticPr fontId="1"/>
  </si>
  <si>
    <t>https://www.marklines.com/en/global/9536</t>
    <phoneticPr fontId="1"/>
  </si>
  <si>
    <t>WEY</t>
    <phoneticPr fontId="1"/>
  </si>
  <si>
    <t>Alexander Dennis</t>
    <phoneticPr fontId="1"/>
  </si>
  <si>
    <t>https://www.marklines.com/en/global/1533</t>
    <phoneticPr fontId="1"/>
  </si>
  <si>
    <t>https://www.marklines.com/en/global/1327</t>
    <phoneticPr fontId="1"/>
  </si>
  <si>
    <t>AvtoVAZ</t>
    <phoneticPr fontId="1"/>
  </si>
  <si>
    <t>Lada</t>
    <phoneticPr fontId="1"/>
  </si>
  <si>
    <t>https://www.marklines.com/en/global/675</t>
    <phoneticPr fontId="1"/>
  </si>
  <si>
    <t>Renault</t>
    <phoneticPr fontId="1"/>
  </si>
  <si>
    <t>Slovakia</t>
    <phoneticPr fontId="1"/>
  </si>
  <si>
    <t>Gujarat</t>
  </si>
  <si>
    <t>Brilliance</t>
    <phoneticPr fontId="1"/>
  </si>
  <si>
    <t>https://www.marklines.com/en/global/10414</t>
    <phoneticPr fontId="1"/>
  </si>
  <si>
    <t>https://www.marklines.com/en/global/10509</t>
    <phoneticPr fontId="1"/>
  </si>
  <si>
    <t>https://www.marklines.com/en/global/2143</t>
    <phoneticPr fontId="1"/>
  </si>
  <si>
    <t>Nissan</t>
    <phoneticPr fontId="1"/>
  </si>
  <si>
    <t>https://www.marklines.com/en/global/1809</t>
    <phoneticPr fontId="1"/>
  </si>
  <si>
    <t>Austria</t>
    <phoneticPr fontId="1"/>
  </si>
  <si>
    <t>https://www.marklines.com/en/global/1815</t>
    <phoneticPr fontId="1"/>
  </si>
  <si>
    <t>Valmet</t>
    <phoneticPr fontId="1"/>
  </si>
  <si>
    <t>https://www.marklines.com/en/global/10377</t>
    <phoneticPr fontId="1"/>
  </si>
  <si>
    <t>Shanghai</t>
  </si>
  <si>
    <t>Ibaraki</t>
  </si>
  <si>
    <t>Aichi</t>
  </si>
  <si>
    <t>BYD</t>
    <phoneticPr fontId="1"/>
  </si>
  <si>
    <t>https://www.marklines.com/en/global/9324</t>
    <phoneticPr fontId="1"/>
  </si>
  <si>
    <t>South Carolina</t>
  </si>
  <si>
    <t>Hunan</t>
  </si>
  <si>
    <t>Telangana</t>
  </si>
  <si>
    <t>Spain</t>
    <phoneticPr fontId="1"/>
  </si>
  <si>
    <t>https://www.marklines.com/en/global/1287</t>
    <phoneticPr fontId="1"/>
  </si>
  <si>
    <t>Karnataka</t>
  </si>
  <si>
    <t>Xpeng</t>
    <phoneticPr fontId="1"/>
  </si>
  <si>
    <t>https://www.marklines.com/en/global/10668</t>
    <phoneticPr fontId="1"/>
  </si>
  <si>
    <t>https://www.marklines.com/en/global/4075</t>
    <phoneticPr fontId="1"/>
  </si>
  <si>
    <t>https://www.marklines.com/en/global/3609</t>
    <phoneticPr fontId="1"/>
  </si>
  <si>
    <t>https://www.marklines.com/en/global/4311</t>
    <phoneticPr fontId="1"/>
  </si>
  <si>
    <t>https://www.marklines.com/en/global/3765</t>
    <phoneticPr fontId="1"/>
  </si>
  <si>
    <t>Fujian</t>
  </si>
  <si>
    <t>Human Horizons</t>
    <phoneticPr fontId="1"/>
  </si>
  <si>
    <t>Hiphi</t>
    <phoneticPr fontId="1"/>
  </si>
  <si>
    <t>https://www.marklines.com/en/global/3767</t>
    <phoneticPr fontId="1"/>
  </si>
  <si>
    <t>Audi</t>
    <phoneticPr fontId="1"/>
  </si>
  <si>
    <t>Avtotor</t>
    <phoneticPr fontId="1"/>
  </si>
  <si>
    <t>https://www.marklines.com/en/global/379</t>
    <phoneticPr fontId="1"/>
  </si>
  <si>
    <t>https://www.marklines.com/en/global/547</t>
    <phoneticPr fontId="1"/>
  </si>
  <si>
    <t>Ohita</t>
  </si>
  <si>
    <t>Kanagawa</t>
  </si>
  <si>
    <t>Stellantis (US)</t>
    <phoneticPr fontId="1"/>
  </si>
  <si>
    <t>Jeep</t>
    <phoneticPr fontId="1"/>
  </si>
  <si>
    <t>Haval</t>
    <phoneticPr fontId="1"/>
  </si>
  <si>
    <t>https://www.marklines.com/en/global/4043</t>
    <phoneticPr fontId="1"/>
  </si>
  <si>
    <t>https://www.marklines.com/en/global/4125</t>
    <phoneticPr fontId="1"/>
  </si>
  <si>
    <t>Belgium</t>
    <phoneticPr fontId="1"/>
  </si>
  <si>
    <t>https://www.marklines.com/en/global/2903</t>
    <phoneticPr fontId="1"/>
  </si>
  <si>
    <t>https://www.marklines.com/en/global/2271</t>
    <phoneticPr fontId="1"/>
  </si>
  <si>
    <t>Volvo Cars</t>
    <phoneticPr fontId="1"/>
  </si>
  <si>
    <t>Fujian Motor</t>
    <phoneticPr fontId="1"/>
  </si>
  <si>
    <t>YUDO</t>
    <phoneticPr fontId="1"/>
  </si>
  <si>
    <t>https://www.marklines.com/en/global/9504</t>
    <phoneticPr fontId="1"/>
  </si>
  <si>
    <t>MAXUS</t>
    <phoneticPr fontId="1"/>
  </si>
  <si>
    <t>https://www.marklines.com/en/global/6451</t>
    <phoneticPr fontId="1"/>
  </si>
  <si>
    <t>https://www.marklines.com/en/global/9598</t>
    <phoneticPr fontId="1"/>
  </si>
  <si>
    <t>Mazda</t>
    <phoneticPr fontId="1"/>
  </si>
  <si>
    <t>https://www.marklines.com/en/global/10420</t>
    <phoneticPr fontId="1"/>
  </si>
  <si>
    <t>https://www.marklines.com/en/global/503</t>
    <phoneticPr fontId="1"/>
  </si>
  <si>
    <t>Hiroshima</t>
  </si>
  <si>
    <t>https://www.marklines.com/en/global/3283</t>
    <phoneticPr fontId="1"/>
  </si>
  <si>
    <t>Changan/Chana</t>
    <phoneticPr fontId="1"/>
  </si>
  <si>
    <t>Tank</t>
    <phoneticPr fontId="1"/>
  </si>
  <si>
    <t>https://www.marklines.com/en/global/9899</t>
    <phoneticPr fontId="1"/>
  </si>
  <si>
    <t>Nikola</t>
    <phoneticPr fontId="1"/>
  </si>
  <si>
    <t>https://www.marklines.com/en/global/1931</t>
    <phoneticPr fontId="1"/>
  </si>
  <si>
    <t>https://www.marklines.com/en/global/1939</t>
    <phoneticPr fontId="1"/>
  </si>
  <si>
    <t>https://www.marklines.com/en/global/2729</t>
    <phoneticPr fontId="1"/>
  </si>
  <si>
    <t>https://www.marklines.com/en/global/1337</t>
    <phoneticPr fontId="1"/>
  </si>
  <si>
    <t>https://www.marklines.com/en/global/2627</t>
    <phoneticPr fontId="1"/>
  </si>
  <si>
    <t>https://www.marklines.com/en/global/2647</t>
    <phoneticPr fontId="1"/>
  </si>
  <si>
    <t>https://www.marklines.com/en/global/2641</t>
    <phoneticPr fontId="1"/>
  </si>
  <si>
    <t>Africa</t>
    <phoneticPr fontId="1"/>
  </si>
  <si>
    <t>South Africa</t>
    <phoneticPr fontId="1"/>
  </si>
  <si>
    <t>https://www.marklines.com/en/global/447</t>
    <phoneticPr fontId="1"/>
  </si>
  <si>
    <t>Kumamoto</t>
  </si>
  <si>
    <t>Daihatsu</t>
    <phoneticPr fontId="1"/>
  </si>
  <si>
    <t>https://www.marklines.com/en/global/10577</t>
    <phoneticPr fontId="1"/>
  </si>
  <si>
    <t>Thailand</t>
    <phoneticPr fontId="1"/>
  </si>
  <si>
    <t>https://www.marklines.com/en/global/613</t>
    <phoneticPr fontId="1"/>
  </si>
  <si>
    <t>Rayong</t>
  </si>
  <si>
    <t>Fuso</t>
    <phoneticPr fontId="1"/>
  </si>
  <si>
    <t>KAMAZ</t>
    <phoneticPr fontId="1"/>
  </si>
  <si>
    <t>https://www.marklines.com/en/global/741</t>
    <phoneticPr fontId="1"/>
  </si>
  <si>
    <t>Morocco</t>
    <phoneticPr fontId="1"/>
  </si>
  <si>
    <t>https://www.marklines.com/en/global/2201</t>
    <phoneticPr fontId="1"/>
  </si>
  <si>
    <t>https://www.marklines.com/en/global/1514</t>
    <phoneticPr fontId="1"/>
  </si>
  <si>
    <t>https://www.marklines.com/en/global/2199</t>
    <phoneticPr fontId="1"/>
  </si>
  <si>
    <t>https://www.marklines.com/en/global/9012</t>
    <phoneticPr fontId="1"/>
  </si>
  <si>
    <t>Uzbekistan</t>
    <phoneticPr fontId="1"/>
  </si>
  <si>
    <t>https://www.marklines.com/en/global/9519</t>
    <phoneticPr fontId="1"/>
  </si>
  <si>
    <t>https://www.marklines.com/en/global/1995</t>
    <phoneticPr fontId="1"/>
  </si>
  <si>
    <t>https://www.marklines.com/en/global/543</t>
    <phoneticPr fontId="1"/>
  </si>
  <si>
    <t>Shiga</t>
  </si>
  <si>
    <t>https://www.marklines.com/en/global/581</t>
    <phoneticPr fontId="1"/>
  </si>
  <si>
    <t>https://www.marklines.com/en/global/2251</t>
    <phoneticPr fontId="1"/>
  </si>
  <si>
    <t>https://www.marklines.com/en/global/2139</t>
    <phoneticPr fontId="1"/>
  </si>
  <si>
    <t>https://www.marklines.com/en/global/2145</t>
    <phoneticPr fontId="1"/>
  </si>
  <si>
    <t>https://www.marklines.com/en/global/2237</t>
    <phoneticPr fontId="1"/>
  </si>
  <si>
    <t>https://www.marklines.com/en/global/1767</t>
    <phoneticPr fontId="1"/>
  </si>
  <si>
    <t>https://www.marklines.com/en/global/1805</t>
    <phoneticPr fontId="1"/>
  </si>
  <si>
    <t>https://www.marklines.com/en/global/9198</t>
    <phoneticPr fontId="1"/>
  </si>
  <si>
    <t>https://www.marklines.com/en/global/2837</t>
    <phoneticPr fontId="1"/>
  </si>
  <si>
    <t>Denza</t>
    <phoneticPr fontId="1"/>
  </si>
  <si>
    <t>https://www.marklines.com/en/global/137</t>
    <phoneticPr fontId="1"/>
  </si>
  <si>
    <t>Chrysler</t>
    <phoneticPr fontId="1"/>
  </si>
  <si>
    <t>Fisker</t>
    <phoneticPr fontId="1"/>
  </si>
  <si>
    <t>On July 7, Fisker Inc. announced that in the second quarter of 2023, 1,022 Fisker Ocean SUVs were produced in Austria for customers as well as marketing and engineering purposes. Fisker exceeded its targeted assembly rate of 80 units per day at the end of June and expects vehicles produced to exceed 1,400 in early July. A few suppliers had challenges ramping to the targeted Q2 levels, as they did not receive components from sub-suppliers on time. The company is focused on working with all suppliers to ramp to the required volumes. Fisker is investing in additional battery pack capacity to protect the compressed manufacturing timeline this year and support higher volumes than originally anticipated next year.</t>
    <phoneticPr fontId="1"/>
  </si>
  <si>
    <t>On July 6, Audi announced that as production of the fully electric Q6 e-tron series begins, it is advertising 500 new production jobs in Ingolstadt. Audi is focused on training and developing its employees for the transition to electric mobility, with around 8,300 employees qualified over the past 18 months in Ingolstadt ahead of the launch of the all-new model. The company has invested approximately EUR 150 million in employee training and development in 2022. Audi Q6 e-tron production will establish Ingolstadt as the first Audi site in Germany with its own battery assembly facility, creating already 300 new jobs.</t>
    <phoneticPr fontId="1"/>
  </si>
  <si>
    <t>On July 6, Stellantis unveiled the latest generation B-segment electric car, Peugeot E-208 which will be available for sale in November 2023. The vehicle features a redesigned front end with the brand's new logo. It will be available in three versions: Allure, Active, and GT versions and comes with six powertrains. E-208 is equipped with all-electric engine which produces output of 115 kW and a 51 kWh battery, offering a range of 400 km. The vehicle also introduces two new 48V HYBRID powertrains featuring the latest PureTech gasoline engines of 100 bhp and 136 bhp, combined with the e-DCS6 dual-clutch electrified 6-speed gearbox.</t>
    <phoneticPr fontId="1"/>
  </si>
  <si>
    <t>On July 6, Ford announced that its Silverton Assembly Plant can produce 720 vehicles per day based on three-shift 24-hour production. The plant assembles the Next-Gen Ranger as well as Volkswagen pickups. It recently achieved the highest daily production number of 704 vehicles. Ford has improved the first-time-through (FTT), which is a measure of the quality of production components and processes without having to do any repairs or reworks on the line. Ford has invested ZAR 22 million in a new skid-cleaning facility for its advanced Paint Shop. Ford has invested ZAR 20 million in a high-tech DeGould Auto Scan system that replaces in-person inspection with a fully automated system. It is building a new scrap yard with an investment of ZAR 15 million. In May 2022 the Ford Silverton Assembly Plant switched on its pioneering solar project, which uses 3,610 solar photovoltaic (PV) carports to generate 35% of the plant's electricity requirements., which is a measure of the quality of production components and processes without having to do any repairs or reworks on the line.</t>
    <phoneticPr fontId="1"/>
  </si>
  <si>
    <t>https://www.marklines.com/en/global/1325</t>
    <phoneticPr fontId="1"/>
  </si>
  <si>
    <t>On July 6, Multiple sources reported that new cars based on the recently launched STLA Medium platform will be produced in Stellantis Melfi starting in the coming years. These will be segmented into C and D cars. However, it is not confirmed at this time which cars will be produced in Melfi.</t>
    <phoneticPr fontId="1"/>
  </si>
  <si>
    <t>On July 6, BYD UK and Alexander Dennis, a subsidiary of NFI Group Inc., announced that their electric vehicle partnership has taken a repeat order from Go-Ahead London for a further 141 battery-electric buses, taking the total to be delivered to the operator during 2023 to 299 vehicles. The buses combine BYD's world-leading iron-phosphate battery technology. In total, 169 BYD–Alexander Dennis Enviro400EV double deckers and 130 BYD–Alexander Dennis Enviro200EV single deckers are expected to be supplied by the end of 2023.</t>
    <phoneticPr fontId="1"/>
  </si>
  <si>
    <t>https://www.marklines.com/en/global/10544</t>
    <phoneticPr fontId="1"/>
  </si>
  <si>
    <t>Madhya Pradesh</t>
  </si>
  <si>
    <t>On July 6, EKA Mobility, a subsidiary of Pinnacle Industries Limited announced the acquisition of an order of 57 electric buses from the Mira-Bhayandar Municipal Corporation (MBMC). With this order, EKA's order book has grown significantly, with more than 500 electric buses and 5,000 electric light commercial vehicle orders in the pipeline. The 57 e-buses ordered by the MBMC will be manufactured at EKA Mobility's facility.</t>
    <phoneticPr fontId="1"/>
  </si>
  <si>
    <t>On July 5, Mercedes-Benz unveiled all-new CLE Coupé which will be launched in Europe in November. The all-new model is successor of the C-Class Coupe and E-Class Coupe, followed by the CLE Cabriolet in 2024. The CLE Coupe offers a range of engines, including four- and six-cylinder gasoline and diesel options. These engines are mild hybrids with a turbocharger and a second-generation integrated starter generator (ISG). The company plans to offer the CLE Coupe as a plug-in hybrid in the future.</t>
    <phoneticPr fontId="1"/>
  </si>
  <si>
    <t>On July 5, NextStar Energy, the vehicle battery JV between Stellantis and LG Energy Solution, announced it has signed a binding agreement with the Canadian government to level the playing field with the U.S. Inflation Reduction Act (IRA) and is restarting construction at the battery plant in Windsor, Ontario with plans to launch in 2024. The plant will have an annual production capacity in excess of 45 GWh and create 2,500 jobs.</t>
    <phoneticPr fontId="1"/>
  </si>
  <si>
    <t>https://www.marklines.com/en/global/3373</t>
    <phoneticPr fontId="1"/>
  </si>
  <si>
    <t>On July 3, Baidu AI Cloud announced the holding of the signing ceremony for a memorandum of strategic cooperation between BMW Brilliance and Baidu. The two parties will conduct in-depth cooperation on AI platforms and quantum computing technologies to explore the fusion and innovation of AI technologies and all domains and scenarios of the automobile manufacturing industry. According to the agreement, Baidu will provide core technical support for the BMW Beacon AI platform, and the two parties will jointly explore the possibility of applying quantum computing in such scenarios as manufacturing and promote cooperation on digitalization and intelligentization technologies.</t>
    <phoneticPr fontId="1"/>
  </si>
  <si>
    <t>On June 30, BYD announced the recent holding of a brand launch and new model launch conference in Johannesburg, South Africa, where the Atto 3 battery electric model for the South African market was officially launched.</t>
    <phoneticPr fontId="1"/>
  </si>
  <si>
    <t>On June 29, MAXUS, a group company of Shanghai Automotive Industry Corporation (SAIC), introduced a pick-up and a seven-seater luxury van, each with an electric drive in Germany. A 7.5-ton truck will follow later in the year. The all-electric T90 EV pick-up has been available in Germany since spring 2023. It has an 89-kWh battery. The seven-seater luxury van MIFA 9 is a 5.27-meter-long model, which is powered by a 180-kW electric motor combined with a 90-kWh high-voltage battery. With the EH300, MAXUS will be offering a light truck in Germany for the first time in 2023. A 110-kW electric motor is combined with a 128-kWh lithium iron phosphate battery.</t>
    <phoneticPr fontId="1"/>
  </si>
  <si>
    <t>According to the “Honda ESG Data Book 2023” issued on June 29, Honda Motor Co., Ltd. (Honda) plans to expand solar power generation system capacity to 20MW at its Kumamoto Factory by 2030. In addition, the Kumamoto Factory started the application of recycled materials to aluminum casting for motorcycle bodies in June 2023.</t>
    <phoneticPr fontId="1"/>
  </si>
  <si>
    <t>https://www.marklines.com/en/global/585</t>
    <phoneticPr fontId="1"/>
  </si>
  <si>
    <t>Mitsubishi Fuso Truck and Bus Corporation (Mitsubishi Fuso) announced on June 28 that it will achieve carbon neutrality at all of its manufacturing facilities in Japan by 2025, significantly ahead of the target date announced in July 2021, which was 2039. The company has three manufacturing sites in Japan: the Kawasaki Plant, the Nakatsu Plant, and Mitsubishi Fuso Bus Manufacturing Co., Ltd. (MFBM). Mitsubishi Fuso has been making efforts toward carbon neutrality, and in 2022, it installed approximately 9,000 square meters of photovoltaic panels at its Kawasaki Plant, and switched all power procurement at its Kawasaki and Nakatsu plants to electricity derived from virtually renewable energy sources. MFBM has also started operations using virtually 100% renewable energy from April 2023. In addition, Mitsubishi Fuso aims to achieve carbon neutrality by 2025 through the use of offset programs including carbon credits as well as continued reductions of CO2 emissions from other energy sources (natural gas and coal).</t>
    <phoneticPr fontId="1"/>
  </si>
  <si>
    <t>https://www.marklines.com/en/global/589</t>
    <phoneticPr fontId="1"/>
  </si>
  <si>
    <t>Toyama</t>
  </si>
  <si>
    <t>https://www.marklines.com/en/global/2149</t>
    <phoneticPr fontId="1"/>
  </si>
  <si>
    <t>On July 6, Ford signed an MoU (Memorandum of Understanding) with German energy provider RheinEnergie. It will help Ford to increase by threefold the expanse of solar panels at facilities in Cologne. It will also help expand the capacities for locally produced renewable electricity as well as increase the efficiency in production processes and lighting at the Ford location in Cologne. The solar panels on the roof of Ford's Central European Spare Parts Warehouse in Merkenich, Cologne, will be extended to generate a capacity of 3.76 MWp. Ford also supports the expansion of wind farms in the region. RheinEnergie has identified two potential adjoining areas that could provide energy for surrounding households and Ford sites.</t>
    <phoneticPr fontId="1"/>
  </si>
  <si>
    <t>https://www.marklines.com/en/global/9087</t>
    <phoneticPr fontId="1"/>
  </si>
  <si>
    <t>https://www.marklines.com/en/global/1256</t>
    <phoneticPr fontId="1"/>
  </si>
  <si>
    <t>On July 6, Maruti Suzuki initiated exports of the compact SUV, Fronx. The first batch of 556 vehicles was shipped from Mundra, Mumbai, and Pipavav Ports to destinations in Latin America, the Middle East, and Africa.</t>
    <phoneticPr fontId="1"/>
  </si>
  <si>
    <t>On July 5, HiPhi announced that it will be making its European debut at this year's Goodwood Festival of Speed, from July 13-16, 2023. The event will also see the UK dynamic debut of the HiPhi Z and the European debut of the HiPhi Y. The HiPhi Z provides a maximum output of 494kW via dual electric motors. The 120kWh battery offers a potential range of over 430 miles (CLTC). HiPhi Y boasts a very spacious interior, with a length of 4,938mm, a wheelbase of 2,950mm, and a width of 1,958mm.</t>
    <phoneticPr fontId="1"/>
  </si>
  <si>
    <t>On July 5, Maruti Suzuki launched its premium hybrid three-row MPV Invicto for a starting price of INR 2.48 million. with 7 and 8-seater configuration Zeta+ and Alpha+ for its NEXA network. The Invicto comes with an intelligent electric hybrid system with a 2.0L engine, an output of 112 kW, and an e-CVT transmission. The self-charging strong hybrid system incorporates a dual powertrain system, combining an 83.73 kW electric motor and a gasoline engine. The total system power of the vehicle stands at 137 kW and a maximum torque of 188 Nm. It comes with a NiMH (Nickel-Metal Hydride) battery pack and can deliver a fuel efficiency of 23.24 km/L.</t>
    <phoneticPr fontId="1"/>
  </si>
  <si>
    <t>https://www.marklines.com/en/global/10339</t>
    <phoneticPr fontId="1"/>
  </si>
  <si>
    <t>On July 5, Stellantis India opened a state-of-the-art Stellantis Digital Hub in Hyderabad. The Stellantis Digital Hub spans across 75,000 square feet and accommodates over 700 workstations. It will provide comprehensive end-to-end capabilities in product development, IT services, and pioneering software technologies.</t>
    <phoneticPr fontId="1"/>
  </si>
  <si>
    <t>https://www.marklines.com/en/global/10591</t>
    <phoneticPr fontId="1"/>
  </si>
  <si>
    <t>Karnataka</t>
    <phoneticPr fontId="1"/>
  </si>
  <si>
    <t>On July 4, Stellantis unveiled the new Fiat Topolino which is a quadricycle electric car designed for sustainable and efficient city mobility. The lineup includes two models: a closed body and an open body. With its small size (2.53 meters length), easy handling, and top speed of 45 km/h. The vehicle is powered by a 5.4 kWh battery providing up to 75 km of range and a full charge in under 4 hours.</t>
    <phoneticPr fontId="1"/>
  </si>
  <si>
    <t>On July 4, Stellantis unveiled the all-new B-segment SUV Fiat 600e. 5-seater Fiat 600e comes with a length of 4.17 meters. The car also prioritizes safety and comes in two full-electric versions: New Fiat 600e La Prima and New Fiat (600e) RED. Its lithium-ion batteries with a 54 kWh capacity provide a range of over 400 km (WLTP combined cycle) and over 600 km in urban areas. With an engine output of 115 kW, the car accelerates from 0-100 km/h in 9.0 seconds. It offers three driving modes (eco, normal, sport) and will add a hybrid powertrain option by mid-2024.</t>
    <phoneticPr fontId="1"/>
  </si>
  <si>
    <t>Setra</t>
    <phoneticPr fontId="1"/>
  </si>
  <si>
    <t>On July 4, Daimler Truck unveiled the next generation of Setra ComfortClass and its wide range of HD models. Setra ComfortClass models are powered by the inline six-cylinder OM 470 engine, with different power levels ranging from 290 kW to 335 kW. The 3-axle models can also be equipped with the larger inline 6-cylinder OM 471 engine. Transmission options include a 6-speed manual (for two-axle models) or the fully-automated GO 250-8 PowerShift transmission, typically paired with the larger engine. Setra coaches undergo meticulous development, design, and production at Neu-Ulm, the testing department of Daimler Buses carries out rigorous endurance tests. Test vehicles have been tested in various challenging environments across Europe, including icy conditions in Finland, steep roads in the Sierra Nevada mountains, humid heat in Gibraltar, and race tracks.</t>
    <phoneticPr fontId="1"/>
  </si>
  <si>
    <t>On July 4, BYD announced it will invest BRL 3 billion in Brazil to build three production facilities on the site of the former Ford Camaçari plant site: one for the production of electric and hybrid cars, one for chassis for electric buses and trucks, and a third that will process lithium and iron phosphate for the international market, all expected to start operations in the second half of 2024. The passenger car plant will have an annual capacity of 150,000 electric and hybrid cars, which can be doubled to 300,000 units. BYD has an electric bus chassis plant in Campinas, which also operates as a factory for battery modules for lithium iron phosphate batteries in Manaus.</t>
    <phoneticPr fontId="1"/>
  </si>
  <si>
    <t>https://www.marklines.com/en/global/10315</t>
    <phoneticPr fontId="1"/>
  </si>
  <si>
    <t>On July 4, Denza, a BYD sub-brand, announced the official launch of the new N7 midsize battery electric shooting brake SUV. The N7 is equipped with a 91.3kWh blade battery. The 702km-range version is equipped with a single permanent magnet synchronous motor (maximum power 230kW and peak torque 360Nm), with an RWD layout. The 630km-range version is equipped with an AC asynchronous motor (maximum power 160kW and peak torque 310Nm) in the front and a permanent magnet synchronous motor (maximum power 230kW and peak torque 360Nm) in the rear, with a maximum combined system power of 390kW, a peak combined system torque of 670Nm, an intelligent 4WD layout, and a 0 to 100km/h acceleration time of only 3.9 seconds. Some models are equipped with the DiSus-A intelligent air body control system (standard version) and the Pilot high-level intelligent driving assistance system.</t>
    <phoneticPr fontId="1"/>
  </si>
  <si>
    <t>On July 3, Hyper, a GAC Aion sub-brand, announced the official launch of the new Hyper GT mid-to-large-size battery electric coupe. The Hyper GT comes standard with a magazine battery and an RWD layout. The 560km- and 600km-range versions are equipped with a motor with a maximum power of 180kW and a peak torque of 355Nm, mated to 60kWh and 70kWh batteries, respectively. The 710km-range version is equipped with a motor with a maximum power of 250kW and a peak torque of 430Nm, mated to an 80kWh battery, with a minimum 0 to 100km/h acceleration time of 4.9 seconds. The Hyper GT uses Qualcomm Snapdragon 8155 cockpit chip. The vehicle is also equipped with the ADiGO intelligent cockpit system and the ADiGO intelligent driving assistance system.</t>
    <phoneticPr fontId="1"/>
  </si>
  <si>
    <t>On July 2, SAIC Motor announced the signing of a cooperation framework agreement with the Zhengzhou Municipal People’s Government on a New Energy power battery manufacturing site project in Zhengzhou, where the automaker plans to deploy more intelligent New Energy models and export models. On the same day, SAIC Motor held a launch ceremony for the project in the Zhengzhou Economic and Technological Development Zone of Henan Province. With a planned total investment of CNY 2 billion, the project is planned to have an annual production of 300,000 power batteries. Upon commissioning, the annual output value is estimated to be over CNY 10 billion.</t>
    <phoneticPr fontId="1"/>
  </si>
  <si>
    <t>On July 5, ZF's Commercial Vehicle Solutions (CVS) division and Volta Trucks announced a long-term agreement, for some of the core systems and components in the all-electric Volta Zero electric truck. ZF has provided OnGuardACTIVE advanced emergency braking system (AEBS), electronic braking system (EBS) including the brake pedal box, ESCsmart electronic stability control (ESC), and OnHand electro-pneumatic handbrake (EPH). The OnLaneALERT lane departure warning system (LDWS) helps to prevent unintended lane drifts. ZF has also provided components in the steering system like the steering column and the steering gear. ZF's OptiRide electronically controlled air suspension (ECAS) supports docking and loading procedures through automatic and manual chassis height adjustments. Volta equips its all-electric truck with ZF's innovative axle system with independent front suspension (IFS).</t>
    <phoneticPr fontId="1"/>
  </si>
  <si>
    <t>On July 4, AvtoVAZ announced that it is planning to increase production of LADA Vesta with various modifications in the second half of 2023. AvtoVAZ will also restart production and sales of LADA Largus in passenger and commercial versions in September 2023. At present, AvtoVAZ's warehouses and dealers have a stock of 25,000 vehicles, which corresponds to the monthly sales volume. AvtoVAZ confirms the plan to produce more than 400 thousand cars by the end of 2023.</t>
    <phoneticPr fontId="1"/>
  </si>
  <si>
    <t>https://www.marklines.com/en/global/9015</t>
    <phoneticPr fontId="1"/>
  </si>
  <si>
    <t>On July 4, UzAuto Motors Powertrain, which is part of "Uzavtosanoat" JSC, launched the production line for machining head and cylinder blocks of the new generation CSS-Prime engines used in the production of Chevrolet Tracker and Chevrolet Onix cars. It will increase the localization. Unprocessed details (raw materials) brought to the factory will be processed using the most advanced technologies with high precision. UzAuto Motors Powertrain is also planning to launch a new foundry where molds for CSS-Prime engines will be produced.</t>
    <phoneticPr fontId="1"/>
  </si>
  <si>
    <t>On July 4, AvtoTOR announced that, at present, 9 models roll off the assembly line of the plant, including the Kaiyi E5 sedan, BAIC U5 Plus sedan, BAIC X35 crossover, BAIC BJ40 frame SUV; as well as three crossovers of the SWM brand: the mid-size SWM G01, the compact SWM G01F and the full-size SWM G05 Pro and two truck models. By the end of 2023, the AvtoTOR range will expand to 20 models, including passenger cars. By the end of 2023, 12 new enterprises will appear at the new production site, including plants for the production of auto components, electric vehicles, foundries, mechanical plants, etc.</t>
    <phoneticPr fontId="1"/>
  </si>
  <si>
    <t>Kaiyi</t>
    <phoneticPr fontId="1"/>
  </si>
  <si>
    <t>Shineray</t>
    <phoneticPr fontId="1"/>
  </si>
  <si>
    <t>SWM</t>
    <phoneticPr fontId="1"/>
  </si>
  <si>
    <t>On July 4, Volvo Cars announced that it will use renewable fuel instead of traditional fossil fuel for ships that carry containers of production material destined for Volvo Cars factories. It will reduce fossil CO2 emissions by 55,000 tons over a year, 84% compared to fossil fuel. Volvo Cars will use renewable fuel for inbound ocean container transports of production material destined for manufacturing plants based in Europe and the Americas. The fuel used is Fatty Acid Methyl Esters (FAME) and is based on renewable and sustainable sources, mainly waste cooking oil. Volvo Cars is working with logistics partners Maersk, Kuehne+Nagel, and DB Schenker. These logistics service providers have from June 1, 2023, switched to renewable fuel.</t>
    <phoneticPr fontId="1"/>
  </si>
  <si>
    <t>https://www.marklines.com/en/global/1512</t>
    <phoneticPr fontId="1"/>
  </si>
  <si>
    <t>On July 3, Stellantis announced that its Mirafiori site in Turin, Italy, is joining the 'grEEn-campus' program, which aims to transform workplaces into sustainable and collaborative environments. Mirafiori is the latest addition to the program, joining facilities in Poissy, France, and Rüsselsheim, Germany. The grEEn-campus promotes creativity, efficiency, and a desirable work environment, supporting Stellantis' goal of achieving carbon neutrality by 2038. The program includes the redesign of buildings, integration of photovoltaic panels into the architecture, utilizing ultra-low-energy ventilation technology, use of recycled materials, etc. The investment in Mirafiori reflects Stellantis' commitment to Italy and complements other positive developments in the Turin area, such as inauguration of its first Circular Economy Hub in 2023 and Battery Technology Center in the second half of 2023. As part of the e-Transmissions Assembly joint venture with Punch Powertrain, Turin will also be home to an upgraded facility to manufacture and supply breakthrough eDCTs for the Company’s next generation of hybrid and PHEV models. It will go live in early 2024.</t>
    <phoneticPr fontId="1"/>
  </si>
  <si>
    <t>Arrival</t>
    <phoneticPr fontId="1"/>
  </si>
  <si>
    <t>https://www.marklines.com/en/global/10552</t>
    <phoneticPr fontId="1"/>
  </si>
  <si>
    <t>On July 3, Arrival and Kensington Capital Acquisition Corp. V, a special purpose acquisition company, agreed to terminate the business combination agreement ("BCA") initially signed on April 6, 2023. Arrival intends to redirect its focus toward advancing other opportunities. It has engaged the services of TD Cowen and Teneo Financial Advisory to ensure the company's seamless transition and to pursue alternative avenues that will provide the company with additional liquidity. TD Cowen's extensive expertise in financial advisory services and deep industry knowledge will bolster the Company's efforts in capitalizing on emerging opportunities.</t>
    <phoneticPr fontId="1"/>
  </si>
  <si>
    <t>According to multiple press releases dated June 30, Yudo Auto recently announced that it has been officially renamed Juneyao Yudo. Juneyao and Yudo refer to Juneyao Airlines and Yudo Auto, respectively, both of which are subordinate to Juneyao Group.</t>
    <phoneticPr fontId="1"/>
  </si>
  <si>
    <t>Deepal</t>
    <phoneticPr fontId="1"/>
  </si>
  <si>
    <t>https://www.marklines.com/en/global/9875</t>
    <phoneticPr fontId="1"/>
  </si>
  <si>
    <t>On June 30, Deepal held a brand strategy launch conference, where the automaker announced that in the next three years, it will introduce over 12 new and modified models and continuously develop new technologies with an annual investment of no less than 10% in R&amp;D. Deepal will dedicate itself to creating a super range extender system consisting of Changan Force technologies and a power battery that will not catch fire and to promoting the popularization of intelligent driving.</t>
    <phoneticPr fontId="1"/>
  </si>
  <si>
    <t>https://www.marklines.com/en/global/9189</t>
    <phoneticPr fontId="1"/>
  </si>
  <si>
    <t>According to the Stellantis Corporate Social Responsibility Report 2022 issued on April 28, 2023, the wood furnace in the Vesoul (France) plant produced 20,087 MWh in 2022 (6,653 tons of CO2-eq) by burning wood packaging waste generated on site. This action reduces waste transportation and avoids fossil fuel emissions.</t>
    <phoneticPr fontId="1"/>
  </si>
  <si>
    <t>According to the Stellantis Corporate Social Responsibility Report 2022 issued on April 28, 2023, Stellantis has approved a new project supply for renewable electricity in Michigan (U.S.) through the DTE-MIGreenPower voluntary renewable energy program, developed with the supplier DTE Energy. The project provides for the supply of 400 MWp of photovoltaic electricity guaranteed through a Virtual Power Purchase Agreement (VPPA) starting from 2026 at a latest. The signing of this contract represents an important step towards on the decarbonization of the manufacturing activities based in North America. Stellantis' CO2 emissions will be reduced annually by approximately 670,000 tons of CO2-eq. The agreement is subject to obtaining relevant regulatory approvals.</t>
    <phoneticPr fontId="1"/>
  </si>
  <si>
    <t>https://www.marklines.com/en/global/2631</t>
    <phoneticPr fontId="1"/>
  </si>
  <si>
    <t>https://www.marklines.com/en/global/1935</t>
    <phoneticPr fontId="1"/>
  </si>
  <si>
    <t>According to the Stellantis Corporate Social Responsibility Report 2022 issued on April 28, 2023, the plants in Itauna, Jaboatão dos Guararapes, Porto Real (Brazil), Trnava (Slovakia), Aspern (Austria), Grugliasco Mould Shop (Italy), Madrid, Vigo and Zaragoza (Spain) sourced 100% green electricity in 2022. The 100% Green Electricity contracts led to the avoidance of 129,534 tons of CO2-eq.</t>
    <phoneticPr fontId="1"/>
  </si>
  <si>
    <t>https://www.marklines.com/en/global/1307</t>
    <phoneticPr fontId="1"/>
  </si>
  <si>
    <t>According to the Stellantis Corporate Social Responsibility Report 2022 issued on April 28, 2023, because of gas crisis due to the geopolitical situation, Stellantis has implemented a energy consumption reduction plan especially in non-productive periods. The Energy Teams worked their way through each major energy using sub-system, such as compressed air, chillers, HVAC, boilers, lighting and process systems, to gain access to information concerning the idle condition of each of the systems. The Teams used specific information gateways to those systems which could be interrogated remotely and analyzed. Some specific investments are already approved - e.f., a new biomass boiler will be in the operational phase during 2023 at the Trnava plant (Slovakia).</t>
    <phoneticPr fontId="1"/>
  </si>
  <si>
    <t>On July 3, Amazon announced the arrival of its new custom electric delivery vans from Rivian in Europe, with the first vans rolling out in Germany. It will introduce over 300 electric delivery vans in the coming weeks, joining a fleet of thousands of electric vans already in operation in Europe, including more than 1,000 electric vans in Germany. Amazon has been testing deliveries with Rivian preproduction vehicles in Europe since last year. In Europe, Amazon and Rivian specially designed a shorter, thinner van than its U.S. counterpart to better fit in Europe's cities.</t>
    <phoneticPr fontId="1"/>
  </si>
  <si>
    <t>On July 03, MAN Truck and Bus announced that around 30 prototypes of the new eTruck have already created in the eMobility Center and with 26 more planned for this year. These prototypes undergo rigorous testing in various conditions i.e. ice, snow, and blazing heat to bring the eTruck closer to series production.</t>
    <phoneticPr fontId="1"/>
  </si>
  <si>
    <t>On July 3, Rivian announced it produced 13,992 vehicles at its plant in Normal, Illinois in the second quarter, a 217.9% increase from the 4,401 vehicles it produced in Q2 2022. The company delivered 12,640 vehicles during Q2 2023, a 183.0% increase from the 4,467 vehicles it delivered in Q2 2022. The company expects to deliver on the 50,000 annual production guidance previously provided.</t>
    <phoneticPr fontId="1"/>
  </si>
  <si>
    <t>On June 30, Toyota Europe unveiled an all-new, next-generation Prius C-segment hatchback. Available in Europe exclusively as a Plug-in Hybrid Electric, the fifth generation is named Prius Plug-in Hybrid in Europe. To support Toyota's carbon neutral goals, the vehicle incorporates parts made from recycled materials, and the bumpers and other moldings are constructed from easily recyclable Toyota Super Olefin Polymer.</t>
    <phoneticPr fontId="1"/>
  </si>
  <si>
    <t>On June 30, Iveco Group announced that it has completed the acquisition of the German company resulting from the former joint venture with Nikola Corporation, as per the terms sheet described on May 09, 2023. The subsidiary, Iveco S.p.A., now owns the company, which will be renamed as EVCO (Electric Vehicles COmpany). The acquisition reaffirms the company's commitment to being a key player in the zero-emission heavy-duty transport sector.</t>
    <phoneticPr fontId="1"/>
  </si>
  <si>
    <t>https://www.marklines.com/en/global/2173</t>
    <phoneticPr fontId="1"/>
  </si>
  <si>
    <t>On June 30, MAN Truck and Bus announced the plans to commence production of its electric long-haul truck in 2024 at the Munich plant, with over 500 order inquiries already received. The new MAN eTruck is designed to be compatible with the upcoming MCS standard, enabling long-distance daily ranges of up to 1,000 km. The truck will have variable battery configurations, ranging from 300 to 500 kWh. Salzgitter plant will play a crucial role in the transformation, serving as a component plant for non-driven axles and crankshafts for the new Group engine developed collectively by TRATON Group manufacturers. The site will also handle worldwide spare parts logistics, increasingly encompassing electric components in the future.</t>
    <phoneticPr fontId="1"/>
  </si>
  <si>
    <t>On June 30, Volkswagen announced that it has installed its first industrial machine in Salzgitter and it is on track for series production of battery cells starting in 2025. Its new processes such as the dry coating will reduce energy requirements by up to 30% in the future. With a construction area of around 2 million square meters, it is one of Lower Saxony's largest projects. PowerCo is attracting battery experts and up to 1,500 employees will start working from by the end of 2023.</t>
    <phoneticPr fontId="1"/>
  </si>
  <si>
    <t>On June 30, Aerofugia, a Geely Technology Group subsidiary, announced the completion of a Series A financing worth over CNY 100 million, which is led by Tsinghua Holdings Capital and followed by multiple investment institutions. Upon completion of the financing, the company will continuously make headway in the field of eVTOL (electric vertical take-off and landing) aircrafts to accelerate product R&amp;D and market development. With low-altitude mobility as the core business, Aerofugia is dedicated to promoting innovations in and application of air traffic technologies. The AE200, an Aerofugia in-house developed 5-to-6-seater eVTOL aircraft, has completed its maiden flight and been put into model conformity validation.</t>
    <phoneticPr fontId="1"/>
  </si>
  <si>
    <t>Tesla will be pausing production at its Gigafactory Texas plant for about five days at the beginning of July for upgrades to a revised production system that is expected to increase production. Gigafactory Texas is moving away from swing shifts to adopt a simpler Day and Night shift system, according to sources. Some workers are being moved to the Cybertruck’s production lines, likely to begin in July or August. The Fremont plant has been building all alpha and beta versions of Cybertruck until now.</t>
    <phoneticPr fontId="1"/>
  </si>
  <si>
    <t>On June 29, XPeng announced the official launch of the new G6 midsize battery electric coupe SUV. The G6 is available in the following versions with three CLTC ranges: 1) The 580km- and 755km-range models are equipped with a single permanent magnet synchronous motor (maximum power 218kW and peak torque 440Nm), mated to a lithium iron phosphate and ternary lithium battery, respectively, with a single-motor RWD layout. 2) The 700km-range model is equipped with an asynchronous motor in the front and a permanent magnet synchronous motor in the rear, mated to a ternary lithium battery, with a maximum power of 358kW, a peak torque of 660Nm, and a dual-motor 4WD layout.</t>
    <phoneticPr fontId="1"/>
  </si>
  <si>
    <t>According to multiple press releases dated June 29, Great Wall Motor Co., Ltd. Jingmen Branch (GWM Jingmen Branch) is piloting the production of the Tank 400 mid-to-large-size off-road SUV, the Haval H5 off-road SUV, and the Gaoshan, WEY’s first midsize SUV, which are about to be mass produced. This will raise the number of models produced by the company to six, including the Tank 500 mid-to-large-size luxury off-road SUV, the Poer King Kong commercial pickup truck, and the Poer Shanhai large luxury full-size pickup truck, which are already being produced by the company. The company, with a single-shift daily production volume of nearly 300 vehicles, will switch to a double-shift mode in mid-July, and plans to achieve a vehicle production volume of 120,000 units in 2023, up 240% over 2022.</t>
    <phoneticPr fontId="1"/>
  </si>
  <si>
    <t>On June 28, 2023, The Vietnamese Prime Minister, at the China-Vietnam Economic and Trade Cooperation Forum in Beijing, discussed with GWM and expressed hope for the carmaker to bring a series of industry-leading new energy technologies and models and actively carry out production layout in Vietnam. In January 2023, GWM inked an authorized cooperation agreement with Vietnamese dealers and planned to officially enter the market in August, starting with HAVAL H6 HEV. In 2023, it planned to deploy 8 sales networks in Vietnam. At this stage, GWM will import finished vehicles to Vietnam through its factory in Thailand. It also planned to set up a new energy vehicle assembly plant in 2025 to radiate surrounding ASEAN countries. Great Wall confirmed the launch of its new energy vehicles in Vietnam in the future. It will also fully stimulate the development of local parts and components and other supporting industries.</t>
    <phoneticPr fontId="1"/>
  </si>
  <si>
    <t>Yueda Kia announced that on June 28, 3,287 vehicles manufactured by Kia China were loaded in Yancheng, Jiangsu. The exported models include the Seltos compact SUV. The company will continuously expand the export scale of the Seltos and additionally export the K5 midsize sedan in the second half of the year to further raise the number of models for export to four and achieve a monthly average export volume of over 10,000 units and a planned annual export volume of over 100,000 units. In addition, Yueda Kia plans to continue to raise the number of models for export in 2024 and achieve an increased annual export volume of over 200,000 units for its Yancheng Plant by 2026.</t>
    <phoneticPr fontId="1"/>
  </si>
  <si>
    <t>On June 26, Stellantis announced it has completed the installation of a second regenerative thermal oxidizer at the Mack Assembly Plant that it said will eliminate odors at its Jeep plant in Detroit that nearby residents have called a hindrance to their quality of life for more than two years.</t>
    <phoneticPr fontId="1"/>
  </si>
  <si>
    <t>On June 23, Fisker announced that it has begun U.S. deliveries of the 22 initial Fisker Ocean One launch edition SUVs after arriving from Magna Steyr in Graz, Austria, where it is assembled on a contract basis, after dealing with a longer-than-expected certification period earlier in 2023. Additional deliveries to the U.S. will continue through the summer.</t>
    <phoneticPr fontId="1"/>
  </si>
  <si>
    <t>On June 30, Audi announced that it is implementing AI system for quality control of spot welds in car body construction. The AI was developed and tested at the Neckarsulm site. The initiative aligns with Audi's Automotive Initiative 2025 (AI25). Using AI, Audi analyzes 1.5 million spot welds on 300 vehicles per shift at the Neckarsulm site, significantly improving efficiency compared to the previous manual ultrasound method where they checked around 5,000 spot welds per vehicle. AI allows employees to focus on possible anomalies and enhance quality control. The system will be installed at three other Volkswagen Group locations by the end of the year i.e., including Audi Brussels, Volkswagen Emden, and Audi's headquarters in Ingolstadt. The team is modifying the AI model to accommodate different weld settings at each location. The data generated by the AI system can be used for future process optimization and predictive maintenance.</t>
    <phoneticPr fontId="1"/>
  </si>
  <si>
    <t>On June 30, UzAuto Motors launched a planned modernization of the production lines of its plant in Asaka in cooperation with 170 specialists from South Korea and other countries. This modernization allows for increasing the annual production volume of Chevrolet Cobalt cars by an additional 30,000 units. The operation of the production lines will be temporarily stopped. It will increase the speed of production in two lines of the assembly shop. The first line will produce 35 cars per hour, and in the second line 30 cars per hour. The software development and commissioning of the new "FANUC" (Japan) robotic system will be carried out in the press shop. In the painting shop, conveyor rails will be replaced.</t>
    <phoneticPr fontId="1"/>
  </si>
  <si>
    <t>On June 30, IG Metall announced that Ford has signed a letter of intent (LOI) with a major industrial investor to take over the factory premises in the Saarlouis location. The Saarland state government also supports the resettlement. Reliable agreements have also been signed between IG Metall and Ford, which stipulate support for the further implementation of the investor solution. It will help to save 2,500 jobs in this plant. The Ford works council has also concluded a regulation regarding minimum benefits if employees have no future employment opportunities in the investor solution.</t>
    <phoneticPr fontId="1"/>
  </si>
  <si>
    <t>On June 30, multiple sources reported that Ford Motor Company will stop production of the Ford Fiesta from July 7, 2023, at its Cologne plant. Ford Fiesta will make way for the electric SUV Explorer at the "Cologne Electric Vehicle Center".</t>
    <phoneticPr fontId="1"/>
  </si>
  <si>
    <t>On June 30, Valmet Automotive opened its first plant in Germany for the production of battery systems in Kirchardt near Heilbronn which sees an investment of double-digit million EUR value. After a two-year conversion period, battery systems have been produced on the site since February 2023. The ramp-up of the plant started with a small series production of modules, packs, and the battery management system (BMS) for the Plug-in-Hybrid (PHEV) variant of an exclusive sports car brand. It has a total footprint of around 60,000 square meters (sqm). It offers jobs for around 160 employees. Production in Kirchardt will be CO2-neutral from the very beginning. Valmet can also expand the production area by a further 15,000 sqm at short notice.</t>
    <phoneticPr fontId="1"/>
  </si>
  <si>
    <t>On June 30, Trucks Vostok Rus announced that it has started a two-shift operation in the Naberezhnye Chelny plant in mid-June 2023. The plant performs SKD assembly of medium-duty trucks of the KAMAZ Compass family. The second shift will help it to meet the growing demand for trucks of the KAMAZ Compass family.</t>
    <phoneticPr fontId="1"/>
  </si>
  <si>
    <t>On June 29, Verkor inaugurated its "Verkor Innovation Center" (VIC) in Grenoble. The main building has an area of 15,000 square meters. The area of the site is over 2 hectares. It is equipped with ultra-modern R&amp;D equipment and receives a full-scale, fully automated, and digital pilot line, which can produce 150 MWh of battery cells per year, including those that will equip the future C-Crossover GT 100% electric from Alpine. Particular emphasis will be placed on aspects of sustainable development: carbon footprint, recycling, traceability, and talent development. With the operations starting in the pilot line, Verkor is more than ever well placed to initiate the rest of its project, namely the construction of a first Gigafactory in Dunkirk with a capacity of 16 GWh/year. As such, a fundraising of more than EUR 1 billion is underway.</t>
    <phoneticPr fontId="1"/>
  </si>
  <si>
    <t>https://www.marklines.com/en/global/539</t>
    <phoneticPr fontId="1"/>
  </si>
  <si>
    <t>Osaka</t>
  </si>
  <si>
    <t>On June 29, Daihatsu Motor Co., Ltd. announced it has decided to re-extend the suspension period at three plants in Japan announced on June 27, due to the effect of a parts shortage caused by a fire at its supplier, Asano Gear Co., Ltd., on June 18. In addition to the extension of the suspension period at the three domestic plants, the Copen Factory at the Head (Ikeda) Plant has been newly added to the scope of suspension. Shiga (Ryuo) Plant 2nd District extended the 7-day suspension period (June 22 to 23 and June 26 to 30) to 11 days (June 22 to 23, June 26 to 30, and July 3 to 6). In addition to this schedule, the Shiga (Ryuo) Plant 2nd District also will suspend production on July 7 due to a production adjustment caused by a procedural irregularity in its regulatory approval application. Daihatsu Motor Kyushu Co., Ltd., a subsidiary of Daihatsu, also extended the 5-day suspension period (June 26 to 30) to 10 days (June 26 to 30 and July 3 to 7) at its Oita (Nakatsu) Plant No. 1 and Plant No. 2. The Copen Factory will suspend production for 5 days from July 3 to 7.</t>
    <phoneticPr fontId="1"/>
  </si>
  <si>
    <t>https://www.marklines.com/en/global/401</t>
    <phoneticPr fontId="1"/>
  </si>
  <si>
    <t>Hokkaido</t>
  </si>
  <si>
    <t>According to a MarkLines investigation, Toyota Motor Hokkaido, Inc. will end mass production of the "U660" automatic transmission in June. The company will switch from mass production to small-volume, made-to-order production as Toyota's models equipped with the U660 (such as the Alphard) have been discontinued due to a model change. The capacity of the U660 production line itself (20,000 units/month) will remain unchanged.</t>
    <phoneticPr fontId="1"/>
  </si>
  <si>
    <t>On June 28, the Vietnamese Prime Minister, at the China-Vietnam Economic and Trade Cooperation Forum in Beijing, discussed with GWM. The carmaker confirmed the launch of its new energy vehicles in Vietnam in the future, starting with HAVAL H6 HEV in 2023. At this stage, GWM said it will import finished vehicles to Vietnam through its factory in Thailand. It also planned to set up a new energy vehicle assembly plant in 2025 to radiate surrounding ASEAN countries.</t>
    <phoneticPr fontId="1"/>
  </si>
  <si>
    <t>On June 28, GAC Aion announced its official entry into the Thai market and the signing of a memorandum of cooperation with Gold Integrate, the first Thai dealer representative, at an event in Bangkok, Thailand. GAC Aion will establish its Southeast Asian headquarters in Thailand in 2023, with the local production of models for the country already in preparation. In the future, the automaker will thoroughly develop the Thai market and continuously radiate to Southeast Asia and surrounding areas.</t>
    <phoneticPr fontId="1"/>
  </si>
  <si>
    <t>Guangxi Automobile</t>
    <phoneticPr fontId="1"/>
  </si>
  <si>
    <t>https://www.marklines.com/en/global/10446</t>
    <phoneticPr fontId="1"/>
  </si>
  <si>
    <t>On June 28, Guangxi Auto Group announced that Wuling NEV, its subsidiary, officially unveiled the Linxys brand for New Energy commercial vehicles (NECVs) and launched the Linxys Gold Truck, its first range-extended small truck. According to Wuling NEV, it will focus on both commercial and passenger vehicle segments, cater to both domestic and overseas markets, and meticulously study both battery electric and hybrid technical routes, striving to achieve a sales volume of 1 million units (500,000 units each in domestic and overseas markets) by 2030. Linxys will focus on the NECV market by successively introducing hybrid and battery electric models, and plans to offer a comprehensive range of micro vans, midsize vans, large vans, micro trucks, small trucks, and end logistics vehicles in the future to create a full matrix of products. The Linxys Gold Truck equipped with the Lingqing super linear hybrid system, the vehicle pioneers the application of range extender technologies in a small truck, with a peak torque of 320Nm, a maximum output power of 163ps, and a combined fuel consumption as low as 3.6L/100km.</t>
    <phoneticPr fontId="1"/>
  </si>
  <si>
    <t>According to multiple press releases dated June 28, Leapmotor (Jinhua) Faurecia Vehicle Parts Co., Ltd. was recently officially registered and established in Jinhua, Zhejiang. The new company has a registered capital of CNY 45 million, with its business scope including manufacturing of automotive parts and accessories and R&amp;D of automotive parts. It is jointly owned by Faurecia (China) Holding Co., Ltd. and Leapmotor (Jinhua) New Energy Vehicle Parts Technology Co., Ltd., a wholly-owned subsidiary of Zhejiang Leapmotor Technology Co., Ltd. According to a Jinhua Development Zone press release, on February 12, Leapmotor and Faurecia reached an agreement on establishing a joint venture (JV) and co-building a supporting industrial manufacturing site for New Energy Vehicles with an estimated 2025 capacity of 350,000 automotive seats in the Zone.</t>
    <phoneticPr fontId="1"/>
  </si>
  <si>
    <t>On June 27, Daihatsu Motor Co., Ltd. announced it has decided to extend the operation suspension period at three plants in Japan due to a shortage of parts caused by a fire at its supplier, Asano Gear Co., Ltd., on June 18. Shiga (Ryuo) Plant 2nd District extended the 5-day suspension period (June 22 to 23 and June 26 to 28) to 7 days (June 22 to 23 and June 26 to 30). Daihatsu Motor Kyushu Co., Ltd. also extended the 3-day suspension period (June 26 to 28) to 5 days (June 26 to 30) at its Oita (Nakatsu) Plant No. 1 and Plant No. 2.</t>
    <phoneticPr fontId="1"/>
  </si>
  <si>
    <t>On June 27, RoboSense, a LiDAR supplier, announced that it formed a strategic partnership with GAC Group in the industrial chains for New Energy Vehicles (NEVs) and intelligent connected vehicles (ICVs). The two parties have previously reached several cooperations. In July 2021, GAC Aion took the lead in applying RoboSense 2nd-generation intelligent varifocal LiDARs. In 2023, the Hyper GT, GAC Aion’s new high-end battery electric model, comes with an all-domain high-level intelligent driving system based on multi-sensor fusion and perception, of which the core is RoboSense M series LiDARs. Pre-ordering for the vehicle started on the eve of Auto Shanghai 2023 in April.</t>
    <phoneticPr fontId="1"/>
  </si>
  <si>
    <t>On June 27, multiple sources reported that VW has temporarily reduced production at Emden plant according to the works council. This effects ID.4 production and a start production of all-new ID.7. The reason for this is weakening sales; demand is almost 30 % below the originally planned production figure. A shift will be  canceled for the next two weeks in the lead-up to one week extended four-week summer holiday period for workers on EV lines in July and August.Additionally, the automaker says approximately 300 of the 1,500 temporary workers currently employed at Emden will be laid off come August.According to the works council, the original plan was to start a third production shift for the E-models in autumn.</t>
    <phoneticPr fontId="1"/>
  </si>
  <si>
    <t>https://www.marklines.com/en/global/6427</t>
    <phoneticPr fontId="1"/>
  </si>
  <si>
    <t>On June 26, Beiqi Foton announced that it received a civil ruling made by the First Intermediate People’s Court of Beijing Municipality on terminating the bankruptcy proceedings of Beijing Borgward Automobile Co., Ltd. (Beijing Borgward). According to Foton Motor, the bankruptcy of Beijing Borgward will not impact its existing main business nor ongoing operations.</t>
    <phoneticPr fontId="1"/>
  </si>
  <si>
    <t>On June 26, Great Wall Motor (GWM) announced the official launch of the Tank 500 Hi4-T mid-to-large-size plug-in hybrid off-road SUV. Based on the Hi4-T off-road super hybrid architecture, the Tank 500 Hi4-T is equipped with a 2.0T turbocharged engine (maximum power 180kW and peak torque 380Nm) and a longitudinal 9-speed hybrid automatic transmission, mated to a motor (maximum power 120kW and peak torque 400Nm) and a 37.1kWh ternary lithium battery, with a comprehensive system power of 300kW, a comprehensive system torque of 750Nm, an electric-mode range of 110km under the WLTC standard, and a combined fuel consumption of 2.2L/100km under the WLTC standard. The Tank 500 Hi4-T is equipped with an intelligent 4WD system and the Mlock mechanical locking structure, as well as such intelligent off-road configurations as an intelligent all-terrain system, tank turn-around, CCO (cruise control offroad), and off-road cruise. The vehicle is also equipped with a Level2 intelligent driving assistance system and 3.3kW external discharging, and is qualified for 2.5T traction.</t>
    <phoneticPr fontId="1"/>
  </si>
  <si>
    <t>On June 26, GAC Group held the GAC Tech Day 2023 event in Nansha District, Guangzhou, where multiple new technological results were unveiled. In addition, GAC Group’s GAC R&amp;D Center subsidiary and GAC Trumpchi and GAC Aion independent sub-brands jointly unveiled the hydrogen hybrid version of the E9, China’s first MPV equipped with a hydrogen hybrid system; the world’s first ammonia engine for passenger vehicles; and an all-in-one integrated electric drive system. 1) The hydrogen hybrid version of the E9 is equipped with a GAC in-house developed 2.0L hydrogen engine and the high-torque GMC 2.0 electromechanical coupling system, with a hydrogen consumption of less than 1.4kg/100km and a range of nearly 600km. 2) The ammonia engine for passenger vehicles is fueled by liquid ammonia, with a power of 120kW and an increased carbon reduction rate of 90%. 3) The all-in-one integrated electric drive system deeply integrates power supply, electric drive, and thermal management to achieve the most optimized design, and has a significantly increased computing power by virtue of a new architecture. Compatible with FWD and RWD layouts, the system achieves full coverage of compact models with its high platform expandability. GAC Group also unveiled the ADiGO Magic platform. The platform will be mass produced together with the Hyper GT, GAC Aion’s new battery electric vehicle equipped with the X-Soul architecture.</t>
    <phoneticPr fontId="1"/>
  </si>
  <si>
    <t>Borgward</t>
    <phoneticPr fontId="1"/>
  </si>
  <si>
    <t>According to multiple press releases dated June 25, the 371st list of the “On-road Motor Vehicle Manufacturers and Products” announcement recently released on the official website of the Ministry of Industry and Information Technology of China (MIIT) shows that Beijing Borgward has filed for cancellation of passenger car production qualification. Beijing Borgward will halt the production of relevant products from the date of the release of the announcement and the sales of multiple models from November 1 or December 31.</t>
    <phoneticPr fontId="1"/>
  </si>
  <si>
    <t>https://www.marklines.com/en/global/10422</t>
    <phoneticPr fontId="1"/>
  </si>
  <si>
    <t>According to a MarkLines investigation, AESC Group Ltd. plans to start operations and mass production at its Ibaraki Plant (AESC Ibaraki Ltd.), which is currently under construction, around the spring of 2024. The Ibaraki Plant will produce lithium-ion batteries for electric vehicles (EVs), starting with a production capacity of 6GWh, which will be expanded up to 20GWh.</t>
    <phoneticPr fontId="1"/>
  </si>
  <si>
    <t>On June 22, Mazda Motor Corporation announced its initiatives for reducing Mazda's environmental impact in the MX-30’s multi-tone painting process (two-tone and three-tone body colors). The MX-30 is finished in the base body color on the regular coating line, and then the second and third colors, which have a narrower coating area, are painted on a newly installed dedicated line. The paint spray gun on the dedicated line can spray paint in a concentrated area, reducing paint loss by about 45% compared to the conventional coating line. Additionally, for the drying process, Mazda has adopted newly developed paints that harden at a low temperature of approximately 80°C instead of having to be heated to 140°C to dry. This series of steps has significantly reduced energy use compared to the multi-tone paint painting process on an ordinary line.</t>
    <phoneticPr fontId="1"/>
  </si>
  <si>
    <t>On July 17, Fisker Inc. announced that it will produce 100 Fisker Extreme Vigyan Edition all-electric SUVs for the Indian market. Fisker expects to complete the homologation process for India by September and to commence deliveries in Q4 2023. The Fisker Extreme Vigyan Edition is named after the company's India subsidiary. Pricing will align with Europe where the Fisker Ocean Extreme is priced at EUR 69,950 for the German market, plus import taxes and logistics for India. In Europe, the Fisker Ocean Extreme has a WLTP range of 707km on standard 20-inch wheels and tires, which is the longest range of any electric SUV sold in Europe today.</t>
    <phoneticPr fontId="1"/>
  </si>
  <si>
    <t>https://www.marklines.com/en/global/10539</t>
    <phoneticPr fontId="1"/>
  </si>
  <si>
    <t>On July 14, Northvolt announced that NOVO Energy received permission from the Swedish Land and Environmental Court to build its battery gigafactory adjacent to the Volvo Cars factory in Torslanda, Gothenburg. NOVO Energy is jointly owned by Volvo Cars and Northvolt. The NOVO gigafactory will be one of the largest cell production facilities in Europe, with over 3,000 employees and a potential annual capacity of up to 50 GWh, equivalent to the battery capacity of around half a million cars per year. The start of production is planned for 2026.</t>
    <phoneticPr fontId="1"/>
  </si>
  <si>
    <t>JBM</t>
    <phoneticPr fontId="1"/>
  </si>
  <si>
    <t>https://www.marklines.com/en/global/9591</t>
    <phoneticPr fontId="1"/>
  </si>
  <si>
    <t>Uttar Pradesh</t>
  </si>
  <si>
    <t>On July 13, JBM Auto Limited announced that JBM Auto Limited and its subsidiaries have won orders for approx. 5,000 electric buses for supplying to various STUs in the states of Gujarat, Haryana, Delhi, Telangana, Orissa among others, and multiple Fortune 500 companies coupled with leading corporates of the country. The different applications such as city bus, staff bus, tarmac coach, etc. in both, 9 meters and 12 meters categories will be delivered for these orders.</t>
    <phoneticPr fontId="1"/>
  </si>
  <si>
    <t>On July 13, MAN Truck and Bus participated in the "Mobility Study on Low-Noise Logistics" led by the Fraunhofer Institute for Material Flow and Logistics IML, sponsored by the Ministry for the Environment, Nature Conservation and Transport of North Rhine-Westphalia. The study aims to establish noise emission standards for delivery operations. MAN conducted real-world measurements using a pre-production vehicle of their upcoming MAN eTruck. The results showed that its electric trucks are perceived as about half as loud as comparable diesel trucks, especially at low speeds. The data was collected during measurements on the MAN test track in Munich. The measurements involved comparing the noise levels of the MAN eTruck and a conventional diesel-powered MAN TGX 18.510 of the same weight class.</t>
    <phoneticPr fontId="1"/>
  </si>
  <si>
    <t>Mitsubishi Motors</t>
    <phoneticPr fontId="1"/>
  </si>
  <si>
    <t>Mitsubishi</t>
    <phoneticPr fontId="1"/>
  </si>
  <si>
    <t>https://www.marklines.com/en/global/8808</t>
    <phoneticPr fontId="1"/>
  </si>
  <si>
    <t>According to multiple press releases dated July 13, GMMC recently issued a letter to all employees, saying that the company formally entered a temporary production suspension phase in June and will optimize the personnel structure according to the actual situation, as its sales have fallen far short of expectations and its operations have thus run into trouble, affected by market transformation.</t>
    <phoneticPr fontId="1"/>
  </si>
  <si>
    <t>https://www.marklines.com/en/global/9390</t>
    <phoneticPr fontId="1"/>
  </si>
  <si>
    <t>Anhui</t>
  </si>
  <si>
    <t>On July 12, Chery New Energy announced the holding of a ceremony for the launch of China’s first aluminum-based lightweight platform and to commemorate the first mass-produced Chery eQ7 rolling off the production line at its Phase II Electric Vehicle Plant in Wuhu. The Chery eQ7 is the first model based on the Chery aluminum-based lightweight battery electric platform.</t>
    <phoneticPr fontId="1"/>
  </si>
  <si>
    <t xml:space="preserve">Great Wall </t>
    <phoneticPr fontId="1"/>
  </si>
  <si>
    <t xml:space="preserve">Haval </t>
    <phoneticPr fontId="1"/>
  </si>
  <si>
    <t>https://www.marklines.com/en/global/10395</t>
    <phoneticPr fontId="1"/>
  </si>
  <si>
    <t>On July 7, Great Wall Motor and ADM Jizzakh signed a strategic cooperation agreement to assemble Haval brand cars in Uzbekistan. Both sides will rely on each other's professional strength and resources to jointly expand the automobile market of Uzbekistan. The assembly of cars under the Haval brand will begin in the fall of 2023. Haval plans to introduce a new generation of Jolion, M6, and H6 models to the Uzbek market.</t>
    <phoneticPr fontId="1"/>
  </si>
  <si>
    <t>https://www.marklines.com/en/global/10153</t>
    <phoneticPr fontId="1"/>
  </si>
  <si>
    <t>On July 11, Stellantis announced that the Polo Automotivo Stellantis de Betim has completed 47 years of successful operations, with more than 120 suppliers in the surrounding region, and 16, 000 workers, more than half of the company's workforce in South America. The Polo Automotivo de Betim is the also largest powertrain production center in Latin America. All the models built at the complex were conceived, designed, developed and tested in Brazil, with the Porto Real Tech Center and Betim Design Center having 100% technological autonomy in Latin America.</t>
    <phoneticPr fontId="1"/>
  </si>
  <si>
    <t>https://www.marklines.com/en/global/8835</t>
    <phoneticPr fontId="1"/>
  </si>
  <si>
    <t>https://www.marklines.com/en/global/10143</t>
    <phoneticPr fontId="1"/>
  </si>
  <si>
    <t>https://www.marklines.com/en/global/2833</t>
    <phoneticPr fontId="1"/>
  </si>
  <si>
    <t>https://www.marklines.com/en/global/9483</t>
    <phoneticPr fontId="1"/>
  </si>
  <si>
    <t>Andhra Pradesh</t>
  </si>
  <si>
    <t>On July 14, Kia India dispatched one million vehicles from its manufacturing facility at Anantapur by rolling out the first unit of the new Seltos SUV. The Kia facility at Anantapur has so far manufactured over 532,450 units of Seltos, followed by 332,450 units of the Sonet, 120,516 units of the Carens and 14,584 units of the Carnival.</t>
    <phoneticPr fontId="1"/>
  </si>
  <si>
    <t>https://www.marklines.com/en/global/2435</t>
    <phoneticPr fontId="1"/>
  </si>
  <si>
    <t>Korea</t>
    <phoneticPr fontId="1"/>
  </si>
  <si>
    <t>On July 13, Genesis Motor Europe revealed its European G90 flagship saloon at the Goodwood Festival of Speed. The four-door saloon is now available in Germany and Switzerland. Full product information and pricing will be announced soon. The European model will be available in two lengths: short wheelbase and long wheelbase. The short-wheelbase G90 will be available with a choice of four or five seats. The long wheelbase will have four seats offering heated and ventilated rear seats with massage functions, as well as leg and footrests.</t>
    <phoneticPr fontId="1"/>
  </si>
  <si>
    <t>https://www.marklines.com/en/global/9858</t>
    <phoneticPr fontId="1"/>
  </si>
  <si>
    <t>On July 13, Audi announced that it is adopting a new method of IT-based factory automation called Edge Cloud 4 Production (EC4P). Starting in July 2023, it will be used in series production after testing, controlling worker support systems for two production cycles of Audi e-tron GT quattro, RS e-tron GT, and Audi R8 models at Böllinger Höfe. EC4P will replace high-maintenance industrial PCs and allows for more efficient data processing. Audi is the first car manufacturer to use this centralized server solution in cycle-dependent production. By the end of 2023, all 36 production cycles will be switched to the server-based solution. The server clusters' architecture enables rapid scaling of EC4P in large-scale production.</t>
    <phoneticPr fontId="1"/>
  </si>
  <si>
    <t>https://www.marklines.com/en/global/169</t>
    <phoneticPr fontId="1"/>
  </si>
  <si>
    <t>On July 13, Renault announced the global debut of its all-new Scénic E-Tech EV is scheduled for September 4, 2023, at the IAA Mobility 2023 event in Munich. Previously, the vehicle was introduced as Scénic Vision concept-car at the ChangeNOW Summit in Paris, marking its second step in the C-segment electric vehicle market. It will be manufactured in the Douai ElectriCity factory.</t>
    <phoneticPr fontId="1"/>
  </si>
  <si>
    <t>Skoda</t>
    <phoneticPr fontId="1"/>
  </si>
  <si>
    <t>https://www.marklines.com/en/global/1739</t>
    <phoneticPr fontId="1"/>
  </si>
  <si>
    <t>Czech Republic</t>
    <phoneticPr fontId="1"/>
  </si>
  <si>
    <t>On July 13, Skoda Auto's energy provider subsidiary, SKO-ENERGO announced the project launch to modernize its plant in Mlada Boleslav, Czech Republic, aiming for 100% biomass usage and carbon neutrality. Construction will begin in 2024, and the upgraded heating plant, costing EUR 141 million, will be operational within 3 years. The power plant will undergo a total revamp with all boilers exclusively using biomass, consisting of 70% wood chips and 30% phyto-pellets, resulting in estimated annual CO2 savings of 290,000 tonnes.</t>
    <phoneticPr fontId="1"/>
  </si>
  <si>
    <t>GMC</t>
    <phoneticPr fontId="1"/>
  </si>
  <si>
    <t>https://www.marklines.com/en/global/2459</t>
    <phoneticPr fontId="1"/>
  </si>
  <si>
    <t>On July 13, GMC announced the extended driving range for the 2024 GMC HUMMER EV 3X Pickup, now 381 miles of range on a full charge with the available 24-module battery. On sale this fall to current reservation holders, production of the 3X Pickup and SUV will begin later in 2023 at Factory ZERO home to the GMC HUMMER EV Pickup, HUMMER EV SUV and the upcoming Sierra EV8.</t>
    <phoneticPr fontId="1"/>
  </si>
  <si>
    <t>https://www.marklines.com/en/global/10448</t>
    <phoneticPr fontId="1"/>
  </si>
  <si>
    <t>Arizona</t>
  </si>
  <si>
    <t>On July 13, Bosch announced that it has begun volume production of fuel-cell power modules at its Stuttgart-Feuerbach plant in Germany. U.S.-based Nikola Corp. is the pilot customer with its Class 8 hydrogen fuel cell electric truck assembled in Coolidge, Arizona, which is scheduled to enter the North American market in Q3 2023.</t>
    <phoneticPr fontId="1"/>
  </si>
  <si>
    <t>https://www.marklines.com/en/global/9895</t>
    <phoneticPr fontId="1"/>
  </si>
  <si>
    <t>On July 12, the State government of Brandenburg announced that the application for approval for the expansion of the Tesla plant in Grünheide. This initiates public participation in the approval process. Its production capacity is to be increased from the current maximum of 500,000 vehicles to 1,000,000 vehicles per year in the future. For this purpose, another large hall is to be built to accommodate the additional production units. In addition, changes and optimizations to the production facilities that have already been set up are also planned. The expansion is also to be accompanied by an increase in battery storage production capacity from the current 50 to 100-gigawatt hours per year in the future.</t>
    <phoneticPr fontId="1"/>
  </si>
  <si>
    <t>FPT</t>
    <phoneticPr fontId="1"/>
  </si>
  <si>
    <t>https://www.marklines.com/en/global/1345</t>
    <phoneticPr fontId="1"/>
  </si>
  <si>
    <t>On July 12, FPT Industrial, and Reefilla launched a pilot project aimed at giving a second life to batteries from electric commercial vehicles, in particular the eBS37 model installed in the IVECO eDAILY and minibus. Manufactured by FPT Industrial in its ePowertrain plant in Turin, some of the eBS37 batteries will be delivered to Reefilla when they are no longer suitable for powering electric traction. The startup will recover the batteries' modules and over 50% of their internal components. The components will then be installed in Reefilla's Fillee mobile power banks, for use in recharging electric vehicles.</t>
    <phoneticPr fontId="1"/>
  </si>
  <si>
    <t>UralAZ</t>
    <phoneticPr fontId="1"/>
  </si>
  <si>
    <t>https://www.marklines.com/en/global/803</t>
    <phoneticPr fontId="1"/>
  </si>
  <si>
    <t>On July 12, Rostelecom and the Ural Automobile Plant announced a partnership to introduce modern digital solutions and services, as well as to implement joint projects that increase the efficiency of the company's business. Rostelecom will offer technical solutions to reduce costs and improve the energy efficiency of Ural's production sites. In addition, the companies agreed to pilot predictive analytics modules and integration with car plant maintenance and repair systems. Rostelecom will also provide import substitution in software and hardware systems with solutions using artificial intelligence, the Internet of Things, digital twins, BI systems, and video analytics.</t>
    <phoneticPr fontId="1"/>
  </si>
  <si>
    <t>https://www.marklines.com/en/global/1065</t>
    <phoneticPr fontId="1"/>
  </si>
  <si>
    <t>Pakistan</t>
    <phoneticPr fontId="1"/>
  </si>
  <si>
    <t>On July 12, Indus Motor Company (IMC) signed an agreement with Toyota Egypt to export high-quality products starting July 2023. The first consignment of semi-processed raw material to be shipped to Toyota Egypt will mark the beginning of an era from the export point of view by any OEM in Pakistan and plans are in place to continue in this direction. This partnership with Toyota Egypt is the first step to meet requirements set under the Auto Industry Development and Export Policy (AIDEP) 2021-2026.</t>
    <phoneticPr fontId="1"/>
  </si>
  <si>
    <t>Jiangling</t>
    <phoneticPr fontId="1"/>
  </si>
  <si>
    <t>https://www.marklines.com/en/global/3903</t>
    <phoneticPr fontId="1"/>
  </si>
  <si>
    <t>Jiangxi</t>
  </si>
  <si>
    <t>On July 11, JMC Group announced the signing of a cooperation agreement on an automotive intelligent electric platform project with Beijing Jingwei Hirain Technologies Co., Ltd. (Jingwei Hirain) and the Nanchang Xiaolan Economic and Technological Development Zone (NXETDZ). According to the agreement, JMC Group and Jingwei Hirain will co-build an automotive intelligent electric platform project, which will mainly be used for the R&amp;D, production, and sales of automotive electronics, New Energy Vehicle battery packs, and integrated chassis, in the NXETDZ.</t>
    <phoneticPr fontId="1"/>
  </si>
  <si>
    <t>https://www.marklines.com/en/global/3449</t>
    <phoneticPr fontId="1"/>
  </si>
  <si>
    <t>On July 11, Changan Auto announced the signing of an agreement on deepening strategic cooperation with Tencent in Chongqing. The two parties will strengthen cooperation in multiple fields including the following five: 1) Intelligent cockpits: Both parties will jointly promote the application of new Tencent products and services to Changan Auto and explore the commercialization paths for cockpit services and mobile ecosystem linkage. 2) Navigation and maps: Both parties will launch next-generation in-vehicle intelligent navigation products for human-vehicle co-driving scenarios. 3) Autonomous driving: Both parties will jointly explore feasible points of cooperation in terms of autonomous driving R&amp;D tool chain and cloud platform construction. 4) Overseas ecology: Tencent will actively provide superior resource support for Changan Auto’s global business layout and explore new room for overseas expansion with the automaker. 5) Enterprise digital transformation: Both parties will promote Changan Auto’s transformation and upgrading in multiple fields such as digital marketing, enterprise collaborative office, intelligent parks, and intelligent plants. In addition, both parties will actively explore forward-looking technologies such as AI, 5G, and edge computing.</t>
    <phoneticPr fontId="1"/>
  </si>
  <si>
    <t>Volvo</t>
    <phoneticPr fontId="1"/>
  </si>
  <si>
    <t>Mack Trucks</t>
    <phoneticPr fontId="1"/>
  </si>
  <si>
    <t>https://www.marklines.com/en/global/10303</t>
    <phoneticPr fontId="1"/>
  </si>
  <si>
    <t>Virginia</t>
  </si>
  <si>
    <t>On June 28, Mack Trucks announced that its medium duty Mack MD Electric is now available for order, as the second EV produced by Mack, after the Mack LR Electric which began production in December 2021. The Mack MD Electric will be produced in Class 6 and Class 7 ratings, like its diesel counterpart, at Roanoke Valley Operations (RVO) in Roanoke Valley, Virginia, where Mack began production of the MD Series in 2020.</t>
    <phoneticPr fontId="1"/>
  </si>
  <si>
    <t>On July 12, Volkswagen unveiled the upcoming ninth generation Passat Variant, which will be premiered at the end of August and launched in the first quarter of 2024. The upcoming generation will feature a redesigned cockpit and new infotainment system. The vehicle will be available with a range of engine options, including turbodiesel (TDI), turbocharged gasoline (TSI), mild hybrid turbocharged gasoline (eTSI), and plug-in hybrid (eHybrid) systems.</t>
    <phoneticPr fontId="1"/>
  </si>
  <si>
    <t>https://www.marklines.com/en/global/3145</t>
    <phoneticPr fontId="1"/>
  </si>
  <si>
    <t>Georgia</t>
  </si>
  <si>
    <t>On July 12, Kia announced that is investing over USD 200 million in its West Point assembly plant and creating 200 additional jobs in preparation for the assembly of the all-electric 2024 EV9 three-row SUV in the second quarter of 2024, making it the first EV for Kia to be assembled in North America.</t>
    <phoneticPr fontId="1"/>
  </si>
  <si>
    <t>Lucid Motors</t>
    <phoneticPr fontId="1"/>
  </si>
  <si>
    <t>https://www.marklines.com/en/global/9873</t>
    <phoneticPr fontId="1"/>
  </si>
  <si>
    <t>On July 12, Lucid announced that it produced 2,173 vehicles during Q2 and delivered 1,404 vehicles during the same period. Q2 results were consistent with Q1 2023, when Lucid produced 2,314 vehicles and delivered 1,406 vehicles. The Casa Grande, Arizona manufacturing plant has an annual production capacity of 34,000 vehicles.</t>
    <phoneticPr fontId="1"/>
  </si>
  <si>
    <t>https://www.marklines.com/en/global/10428</t>
    <phoneticPr fontId="1"/>
  </si>
  <si>
    <t>Indonesia</t>
    <phoneticPr fontId="1"/>
  </si>
  <si>
    <t>Reported on July 11, Hyundai has expressed its hope that the government will introduce more incentives to support locally-made EV battery products in the near future. Hyundai has built a battery cell factory in Karawang, West Java, in partnership with LG Energy Solution with a total investment value of over USD 1 billion. In addition, the construction process for the battery pack factory in Cikarang, West Java, with Hyundai's own investment of USD 60 million, has begun in May. These 2 factories will also support Hyundai in developing the electric car ecosystem in Indonesia. Once production at both battery plants begins in 2024, it will also be able to export them worldwide.</t>
    <phoneticPr fontId="1"/>
  </si>
  <si>
    <t>https://www.marklines.com/en/global/10740</t>
    <phoneticPr fontId="1"/>
  </si>
  <si>
    <t>On July 11, SAIC Roewe debuted the official images of the new Roewe D7 DMH mid-to-high-end hybrid sedan, which, along with the Roewe D7 mid-to-high-end battery electric sedan, will be launched in 2023. The Roewe D7 DMH is equipped with the new DMH super hybrid system, with a thermal efficiency of over 43% for the hybrid-dedicated engine, an electric-mode range of 125km under the CLTC standard, a combined range of 1,400km under the CLTC standard, a feeder fuel consumption as low as 4.3L/100km under the CLTC standard, and 10% higher NVH performance than products in its class.</t>
    <phoneticPr fontId="1"/>
  </si>
  <si>
    <t>https://www.marklines.com/en/global/9975</t>
    <phoneticPr fontId="1"/>
  </si>
  <si>
    <t>On July 11, Hyundai expressed optimism that its Indonesia plant will be able to raise the domestic component level (TKDN) of electric cars to 60% by 2024, up from its current TKDN level of 40%. Hyundai also plans to produce other electrified car models from 2024 to help accelerate the Indonesian government’s policy of switching from conventional cars to greener vehicles. Over 50% of Hyundai's production in Indonesia has been exported to 78 countries globally, it added. Hyundai said is ready to increase production capacity according to domestic market demand. During the initial operational period of the Bekasi plant, the production capacity was only 250 units per month due to a shortage of semi-conductor supplies. Starting in 2023, Hyundai has managed to quadruple its monthly production capacity to 1,000 units.</t>
    <phoneticPr fontId="1"/>
  </si>
  <si>
    <t>VW Group</t>
    <phoneticPr fontId="1"/>
  </si>
  <si>
    <t>https://www.marklines.com/en/global/2933</t>
    <phoneticPr fontId="1"/>
  </si>
  <si>
    <t>On July 10, VW halted production on the first shift at its plant in São José dos Pinhais, Brazil, affecting 1,900 employees. The plant’s second shift staff has been in lay-off since June 5. The Sao Bernardo do Campo plant also stopped this week as collective vacations were applied. Workers at the Taubaté plant resumed production activities on July 4.</t>
    <phoneticPr fontId="1"/>
  </si>
  <si>
    <t>https://www.marklines.com/en/global/2931</t>
    <phoneticPr fontId="1"/>
  </si>
  <si>
    <t>https://www.marklines.com/en/global/2935</t>
    <phoneticPr fontId="1"/>
  </si>
  <si>
    <t>Hino</t>
    <phoneticPr fontId="1"/>
  </si>
  <si>
    <t>https://www.marklines.com/en/global/289</t>
    <phoneticPr fontId="1"/>
  </si>
  <si>
    <t>On July 10, Hino Indonesia officially announced the change of its product name. Hino300 Dutro is now called the Hino 300 for light duty truck, Hino500 Ranger becomes Hino 500 for medium duty truck, and Hino700 Profia becomes Hino 700 for heavy duty truck in Indonesia. Also, it has obtained a Certificate of Domestic Component Level (TKDN) for 10 types of products, namely the Hino 300 - 115 SD variant, Hino 300 - 136 MDL, Hino 300 - 136 HD, Hino 300 - 136 HDX, Hino 300/Microbus 115 SDB, Hino 300/Microbus 115 SDBL, Hino Bus GB 150 MT, Hino Bus GB 150 L AT, Hino 500 FG 260 JJ, and Hino 500 FM 280 JD with the sum value of TKDN and Weighted Benefits of the Company (BMP) more than 40%. This enables its vehicles/chassis to be called "Domestic Products". Hino is the first and only commercial vehicle brand to receive this certification, which reflects Hino's commitment to using locally made components supplied by over 150 local partners in producing Hino vehicles.</t>
    <phoneticPr fontId="1"/>
  </si>
  <si>
    <t>https://www.marklines.com/en/global/9872</t>
    <phoneticPr fontId="1"/>
  </si>
  <si>
    <t>On July 10, Wuhu Chery Resources Technology Co., Ltd. (Chery Resources), a Chery Holding Group wholly-owned subsidiary, announced that it recently formed a strategic partnership with Jiecheng New Energy. The two parties will conduct all-round cooperation focusing on key areas such as construction of the Chery New Energy Decommissioned Power Battery Recycling System and joint technological innovation utilizing their respective technical advantages.</t>
    <phoneticPr fontId="1"/>
  </si>
  <si>
    <t>https://www.marklines.com/en/global/3955</t>
    <phoneticPr fontId="1"/>
  </si>
  <si>
    <t>On July 8, Dongfeng Nissan Venucia announced the official launch of the V-Online DD-i, its first compact plug-in hybrid SUV. Some models are equipped with such functions as the V-Pilot Level 2 intelligent driving assistance system, ICC (Intelligent Cruise Control).</t>
    <phoneticPr fontId="1"/>
  </si>
  <si>
    <t>https://www.marklines.com/en/global/2517</t>
    <phoneticPr fontId="1"/>
  </si>
  <si>
    <t>Missouri</t>
  </si>
  <si>
    <t>On July 6, GMC announced the 2024 Canyon, with the Ultifi end-to-end software platform and the first ever Canyon AT4X AEV Edition, with a turbocharged 2.7-liter I4 L3B gasoline engine. Start of regular production for the 2024 GMC Canyon, built on the updated GMT 31XX-2 platform, will commence on October 30 at the Wentzville plant.</t>
    <phoneticPr fontId="1"/>
  </si>
  <si>
    <t>https://www.marklines.com/en/global/4315</t>
    <phoneticPr fontId="1"/>
  </si>
  <si>
    <t>On July 4, SAIC Maxus announced the recent unveiling of the new Xingji pickup truck sub-brand and the simultaneous launch of the new Xingji Pickup Truck lineup consisting of six models. The Xingji L is equipped with a flat-bottomed truck bed, a high-speed-ratio rear axle, an automatic transmission. The diesel-powered version of the Xingji H is equipped with an SAIC π Bi-Turbo diesel engine with a maximum power of 160kW and a peak torque of 500Nm, and the gasoline-powered version is equipped with an SAIC NetBlue NF2 2.0T gasoline engine with a maximum power of 192kW and a peak torque of 410Nm. With the BorgWarner part-time 4WD system and rear axle differential locks. The lineup also includes the Explorer Xingji H recreational vehicle coming standard with ADAS, the Xingji Bull Demon King with legal towing qualification on leaving the factory, the Xingji EV battery electric pickup truck with a considerable range.</t>
    <phoneticPr fontId="1"/>
  </si>
  <si>
    <t>On May 31, South Korea's Hyundai Mobis celebrated the construction launch of a new battery system plant in Bekasi, West Java, Indonesia. The total investment will be USD 60 million, and the company aims to launch mass production in H1/2024. The company plans to receive battery cells from HLI Green Power to produce modularized controllers and thermal management devices. Then, it will supply them as large battery systems to automakers, including Hyundai Motor.</t>
    <phoneticPr fontId="1"/>
  </si>
  <si>
    <t>On July 12, Maruti Suzuki India Limited introduced Fronx S-CNG in their premium retail channel Nexa for a starting price of INR 841.5 thousand and going to INR 927.5 thousand. The Fronx SUV is powered by the advanced 1.2L K-Series DualJet, Dual VVT engine, which develops a peak power output of 57kW at 6,000 rpm/77.5PS at 6,000 rpm and max torque of 98.5Nm at 4,300rpm in CNG mode.</t>
    <phoneticPr fontId="1"/>
  </si>
  <si>
    <t>https://www.marklines.com/en/global/1295</t>
    <phoneticPr fontId="1"/>
  </si>
  <si>
    <t>On July 12, Volvo Cars India announced that C40 Recharge will be assembled locally at the company plant at Hoskote near Bengaluru. The bookings for the all-electric crossover will open in August, with deliveries scheduled to commence in September.</t>
    <phoneticPr fontId="1"/>
  </si>
  <si>
    <t>Iconiq</t>
    <phoneticPr fontId="1"/>
  </si>
  <si>
    <t>https://www.marklines.com/en/global/10641</t>
    <phoneticPr fontId="1"/>
  </si>
  <si>
    <t>On July 11, NWTN Inc. announced that its wholly-owned subsidiary NWTN Technologies Industries signed a memorandum of understanding (MOU) with the Abu Dhabi Department of Economic Development (DED). NWTN will establish and construct an integrated production line, as well as expand its factory in the Emirate of Abu Dhabi in adherence to the highest international standards. The DED will help NWTN to obtain industrial licenses. The DED has agreed to promote and support the integration of Emirati nationals into the workforce of NWTN and NWTN has agreed to provide necessary training and professional development opportunities to the Emirati candidates. The MOU is valid for an initial period of two years, with the option to renew.</t>
    <phoneticPr fontId="1"/>
  </si>
  <si>
    <t>https://www.marklines.com/en/global/395</t>
    <phoneticPr fontId="1"/>
  </si>
  <si>
    <t>Fukuoka</t>
  </si>
  <si>
    <t>According to an announcement by Toyota Motor Kyushu, Inc., the company resumed operations at all three of its plants from the 1st shift on July 11. The three plants include the Miyata Plant, which produces Lexus models, the Kanda Plant, which produces engines, and the Kokura Plant, which produces hybrid units. The three plants suspended operations on the 2nd shift of July 10 due to heavy rain.</t>
    <phoneticPr fontId="1"/>
  </si>
  <si>
    <t>https://www.marklines.com/en/global/397</t>
    <phoneticPr fontId="1"/>
  </si>
  <si>
    <t>https://www.marklines.com/en/global/393</t>
    <phoneticPr fontId="1"/>
  </si>
  <si>
    <t>https://www.marklines.com/en/global/3233</t>
    <phoneticPr fontId="1"/>
  </si>
  <si>
    <t>Kentucky</t>
  </si>
  <si>
    <t>On July 11, Toyota Motor Corp. said it will start production of its hydrogen fuel cell drivetrains on a dedicated line at Toyota's assembly plant in Georgetown, Kentucky in December 2023, building integrated dual fuel cell modules for heavy-duty commercial trucks. The dual fuel cell modules will weigh about 1,400 pounds and can deliver up to 160 kw of continuous power. </t>
    <phoneticPr fontId="1"/>
  </si>
  <si>
    <t>On July 10, Toyota Motor Kyushu, Inc. announced its decision to suspend operations on the 2nd shift on that date at its three plants due to heavy rain. The three plants include the Miyata Plant, which produces Lexus models, the Kanda Plant, which produces engines, and the Kokura Plant, which produces hybrid units. The three plants will resume operations from the 1st shift on July 11.</t>
    <phoneticPr fontId="1"/>
  </si>
  <si>
    <t>On July 7, 2023, Daihatsu Motor Co., Ltd. (Daihatsu) announced it will gradually resume production at its four vehicle assembly plants in Japan. Production was temporarily suspended at the four plants due to parts shortages resulting from a fire at its supplier, Asano Gear Co., Ltd., on June 18. The Shiga (Ryuo) Plant 2nd District will resume production from July 10. The plant had suspended production for 12 days, through July 7 (June 22 to 23, June 26 to 30, and July 3 to 7). Daihatsu Motor Kyushu Co., Ltd., a subsidiary of Daihatsu, extended a 10-day suspension period (June 26 to 30 and July 3 to 7) to 12 days (adding July 10 and 11) at its Oita (Nakatsu) Plant No. 1. The plant will resume production from July 12. Oita (Nakatsu) Plant No. 2 also extended a 10-day suspension period (June 26 to 30 and July 3 to 7) to 11 days (adding July 10). The plant will resume production from July 11. In addition, the Copen Factory, which is located on the premises of the Head (Ikeda) Plant, also extended its 5-day suspension period (July 3 to 7) to 7 days (adding July 10 and 11). The plant will resume production from July 12.</t>
    <phoneticPr fontId="1"/>
  </si>
  <si>
    <t>https://www.marklines.com/en/global/9812</t>
    <phoneticPr fontId="1"/>
  </si>
  <si>
    <t>Tesla began notifying battery assembly line employees at Gigafactory Shanghai of layoffs the week of July 3, according to sources. Gigafactory Shanghai’s battery line assembles modules and packs from LG Energy Solution Ltd. and Contemporary Amperex Technology Co. Ltd. (CATL) cells. Gigafactory Shanghai recently stopped production on its Phase 1 battery line, as the company has decided to replace it with Phase 2.2 built just over six months ago. A local report says Tesla is reorganizing ahead of the start of production of the updated Model 3, expected to begin in September 2023.</t>
    <phoneticPr fontId="1"/>
  </si>
  <si>
    <t>https://www.marklines.com/en/global/10671</t>
    <phoneticPr fontId="1"/>
  </si>
  <si>
    <t>Mexico</t>
    <phoneticPr fontId="1"/>
  </si>
  <si>
    <t>On July 7, Nuevo León governor Samuel Alejandro García Sepúlveda announced that local authorities had received and checked all the paperwork for permits for the environment, energy, water, and other required items, and approvals for Tesla’s  Gigafactory Mexico are advancing quickly. A ground-breaking date is expected to be announced soon, but reports from June suggest an early 2025 start-of-production date for a new generation EV.</t>
    <phoneticPr fontId="1"/>
  </si>
  <si>
    <t>On June 30, Mazda Motor Corporation announced on its official website that orders for the current Roadster compact open-top sports car and the Roadster RF (2022 model year product upgrade) have ended in Japan. Sales of both models will be discontinued as soon as dealership stocks run out. The company plans to make product improvements and will announce when sales will resume.</t>
    <phoneticPr fontId="1"/>
  </si>
  <si>
    <t>On July 10, the CEO of Stellantis held a meeting with the Minister of Enterprise and Made in Italy. They agreed on the need to immediately reverse the negative production trend of the last twenty years in the coming years and build together the roadmap to produce one million vehicles in Italy. The CEO of Stellantis announced that the Melfi plant will produce a fifth model in addition to the four already announced. They will be high-value premium models for foreign brands, plus an Italian one on the brand new STLA-M platform, presented last week.</t>
    <phoneticPr fontId="1"/>
  </si>
  <si>
    <t>https://www.marklines.com/en/global/2285</t>
    <phoneticPr fontId="1"/>
  </si>
  <si>
    <t>On July 11, BMW produced its one millionth fourth generation MINI vehicle. The one millionth MINI of the current generation is an all-electric MINI Cooper SE, delivered to the customer in Canada and the car was built at Oxford Plant in the UK, coincidentally celebrating its 110th anniversary this year.</t>
    <phoneticPr fontId="1"/>
  </si>
  <si>
    <t>On July 11, the URAL automobile plant (URAL AZ) signed an agreement with power grid company Rosseti Ural, under which the electric vehicle will be transferred to the customer for trial operation. It will create conditions for the development of the production of electric vehicles. Besides, in the process of trial operation, possible directions will be determined for which new types of equipment on a hybrid platform will be developed. The vehicle will be used in real working conditions. Both companies will test the next modification of a more powerful model in the Rosseti Ural power grid complex in off-road conditions in 2025.</t>
    <phoneticPr fontId="1"/>
  </si>
  <si>
    <t>Dongfeng</t>
    <phoneticPr fontId="1"/>
  </si>
  <si>
    <t>https://www.marklines.com/en/global/9602</t>
    <phoneticPr fontId="1"/>
  </si>
  <si>
    <t>On July 11, multiple sources reported that Dongfeng Motor Rus, the Russian division of Dongfeng, and Motorinvest launched a partnership. Dongfeng Motor Rus transfers to Motorinvest the rights to distribute and promote passenger models of the Dongfeng brand product line in the Russian market. They are planning 60 new service and sales points in Russian cities by the end of 2023. Dongfeng is also planning to localize production in the future.</t>
    <phoneticPr fontId="1"/>
  </si>
  <si>
    <t>Canoo</t>
    <phoneticPr fontId="1"/>
  </si>
  <si>
    <t>https://www.marklines.com/en/global/10491</t>
    <phoneticPr fontId="1"/>
  </si>
  <si>
    <t>Oklahoma</t>
  </si>
  <si>
    <t>On July 10, Canoo Technologies announced that the U.S. Department of Defense’s Defense Innovation Unit (DIU) is significantly expanding the scope of its previously announced partnership to further develop a new high-power battery pack. Canoo has a battery module manufacturing facility at MidAmerica Industrial Park in Pryor, Oklahoma, which in phase one will create over 200 advanced manufacturing jobs.</t>
    <phoneticPr fontId="1"/>
  </si>
  <si>
    <t>Sollers</t>
    <phoneticPr fontId="1"/>
  </si>
  <si>
    <t>https://www.marklines.com/en/global/687</t>
    <phoneticPr fontId="1"/>
  </si>
  <si>
    <t>On July 10, PJSC Sollers started serial production of diesel engines at the Sollers plant in the Alabuga SEZ. The maximum capacity of the enterprise is 50 thousand engines per year. The production lines of the plant are 95% automated. In the next two years, it is planned to master the production of cast iron castings, crankshafts, and a piston group.</t>
    <phoneticPr fontId="1"/>
  </si>
  <si>
    <t>VDL</t>
    <phoneticPr fontId="1"/>
  </si>
  <si>
    <t>https://www.marklines.com/en/global/10549</t>
    <phoneticPr fontId="1"/>
  </si>
  <si>
    <t>On July 10, VDL Bus &amp; Coach announced that its Roeselare, Belgium plant will be officially opened in the first half of 2024 but the new generation Citea which is fully electric, is already rolling off the line here. It has more than 20,000 square meters of area with a roof full of solar panels, underfloor heating, and green roofs. VDL Bus &amp; Coach also announced that it will participate in Busworld 2023 in Brussels from October 7 to 12, 2023. It will present the new generation Citea for public transport as well as the future vision for coaches with a third-generation VDL Futura innovation platform.</t>
    <phoneticPr fontId="1"/>
  </si>
  <si>
    <t>On July 10, Renault announced that its Prototype Production Center in Douai, France, will produce over sixty representatives of electric Renault 5 vehicles which will undergo testing in extreme conditions and over long distances to refine services for future customers' benefit. Currently, "vehicle check" prototypes, resembling the final design, are being produced and tested on European roads under camouflage for final adjustments. The well-coordinated processes, tools, and parts allow the factory teams to focus on ramping up production, with support from trained factory operators from the Prototyping Center. Software, connectors, and electronics are thoroughly tested, and Technocentre's proximity enables quick analysis and resolution of any issues.</t>
    <phoneticPr fontId="1"/>
  </si>
  <si>
    <t>Koenigsegg</t>
    <phoneticPr fontId="1"/>
  </si>
  <si>
    <t>https://www.marklines.com/en/global/2683</t>
    <phoneticPr fontId="1"/>
  </si>
  <si>
    <t>On July 10, Koenigsegg inaugurated the Gripen Atelier which consists of 11,000 square meters of development, design, production, office, and showroom space dedicated to the Gemera lineup and future models, bringing the total footprint of Koenigsegg facilities to 30,000 square meters. It enables Koenigsegg to efficiently develop the Gemera program in parallel with its two-seater lineup. The Gemera is the world's first 4-seater Megacar, defined by its power of over 1 megawatt. It has the "Light Speed Tourbillon Transmission". It has a "Dark Matter" E-motor, an 800 hp, 1250 Nm patent-pending Raxial Flux E-motor.</t>
    <phoneticPr fontId="1"/>
  </si>
  <si>
    <t>https://www.marklines.com/en/global/4307</t>
    <phoneticPr fontId="1"/>
  </si>
  <si>
    <t>According to multiple press releases dated July 5, BYD’s Denza sub-brand recently unveiled its latest plans for a total of seven products including two SUVs and three sedans. After launching the D9 mid-to-large-size MPV and the N7 midsize battery electric SUV, Denza is about to unveil the N8, which is its third model and is positioned as a mid-to-large-size SUV. The vehicle can be considered as an extension of the Denza X midsize SUV, and is equipped with such configurations as differential locks and a trailer hook. Launch of the vehicle is expected at the end of July or in early August. In addition, Denza will unveil two new models, the N8 Max and the N9, which are expected to be launched at the end of 2024.</t>
    <phoneticPr fontId="1"/>
  </si>
  <si>
    <t>Singulato</t>
    <phoneticPr fontId="1"/>
  </si>
  <si>
    <t>https://www.marklines.com/en/global/9550</t>
    <phoneticPr fontId="1"/>
  </si>
  <si>
    <t>According to multiple press releases dated July 5, Anhui Singulato added a new bankruptcy review, which was filed by 10 petitioners and handled by the Tongling Municipal Intermediate People’s Court of Anhui Province.</t>
    <phoneticPr fontId="1"/>
  </si>
  <si>
    <t>Yulon Motor</t>
    <phoneticPr fontId="1"/>
  </si>
  <si>
    <t>https://www.marklines.com/en/global/3823</t>
    <phoneticPr fontId="1"/>
  </si>
  <si>
    <t>According to multiple press releases dated July 5, recent information from the National Enterprise Credit Information Publicity System shows that Dongfeng Yulon has changed its registration information, with two major shareholders, Dongfeng Motor Corp. and Yulon China Investment Ltd., withdrawing, and Hangzhou Dajiangdong State-Owned Capital Investment Management Co., Ltd. becoming its wholly-owned shareholder.</t>
    <phoneticPr fontId="1"/>
  </si>
  <si>
    <t>https://www.marklines.com/en/global/3473</t>
    <phoneticPr fontId="1"/>
  </si>
  <si>
    <t>On July 5, Honda China announced the debut of a next-generation fuel cell system at FCVC 2023. The system, co-developed by Honda and General Motors, is one-third the cost of its previous generation. Thanks to corrosion-resistant materials and degradation control technology, the durability has been more than doubled, and the start-up time at minus 30 degrees Celsius has been greatly reduced. It is mainly applied to fuel cell electric vehicles, commercial vehicles, fixed power supply, and engineering machinery. In terms of commercial vehicles, Honda is researching fuel cell heavy-duty trucks with Isuzu and is conducting driving tests and validation of next-generation fuel cells in commercial vehicles with Dongfeng Motor.</t>
    <phoneticPr fontId="1"/>
  </si>
  <si>
    <t>https://www.marklines.com/en/global/10439</t>
    <phoneticPr fontId="1"/>
  </si>
  <si>
    <t>On July 5, SAIC GM announced the official groundbreaking of the Dong Yue Ultium Center, its third Ultium Center, at its Dong Yue site in Yantai, Shandong. The Center, one of the key projects concerning new technologies for electrification and intelligent connectivity in which SAIC GM invested CNY 70 billion, is expected to start official mass production in the first half of 2025. SAIC GM announced that the second Ultium-based Cadillac model will be unveiled in 2023. Jointly supported by the three Ultium Centers in Jinqiao of Shanghai, Jiangxia of Wuhan, and Dongyue of Yantai, a total of 10 Ultium-based electric models will have been introduced by 2025.</t>
    <phoneticPr fontId="1"/>
  </si>
  <si>
    <t>https://www.marklines.com/en/global/10642</t>
    <phoneticPr fontId="1"/>
  </si>
  <si>
    <t>https://www.marklines.com/en/global/3621</t>
    <phoneticPr fontId="1"/>
  </si>
  <si>
    <t>https://www.marklines.com/en/global/3697</t>
    <phoneticPr fontId="1"/>
  </si>
  <si>
    <t>Shandong</t>
  </si>
  <si>
    <t>NIO</t>
    <phoneticPr fontId="1"/>
  </si>
  <si>
    <t>https://www.marklines.com/en/global/9503</t>
    <phoneticPr fontId="1"/>
  </si>
  <si>
    <t>On July 4, NIO Capital announced that it recently backed a new round of financing worth CNY hundreds of millions of Sichuan ConvenientPower Semiconductor Co., Ltd. (ConvenientPower). ConvenientPower will use the funds raised for developing automotive-grade power management chips and new automotive-grade chips.</t>
    <phoneticPr fontId="1"/>
  </si>
  <si>
    <t>King Long</t>
    <phoneticPr fontId="1"/>
  </si>
  <si>
    <t>https://www.marklines.com/en/global/3803</t>
    <phoneticPr fontId="1"/>
  </si>
  <si>
    <t>On July 4, Innoreagen Technology Co., Ltd. (Innoreagen) announced the recent signing of a strategic cooperation agreement with Higer Bus. The two parties will conduct comprehensive cooperation in such fields as R&amp;D, customized sales services, and after-sales maintenance of various models of hydrogen fuel cell buses, planning to reach the target of placing 500 units across China in three years. The market cooperation area will be further expanded from the key layout of Innoreagen in such regions as Beijing and Sichuan.</t>
    <phoneticPr fontId="1"/>
  </si>
  <si>
    <t>On July 10, the URAL automobile plant announced that it will present the first truck in Russia with hybrid technology (Gas + Electric) at INNOPROM-2023. It can travel 500 km in a single fill/charge. It has traction batteries with an innovative high-temperature control system and thermoregulation. It has already successfully passed preliminary trials and after certification, it will be sent for other trial operations. URAL is also planning to produce fully electric and hydrogen cars by 2025. At INNOPROM-2023, it will also present the Arctic bus. With insulated and lightweight components, the bus can work in extreme conditions (up to -50 degrees), and transport up to 22 passengers.</t>
    <phoneticPr fontId="1"/>
  </si>
  <si>
    <t>https://www.marklines.com/en/global/799</t>
    <phoneticPr fontId="1"/>
  </si>
  <si>
    <t>On July 10, Sollers PJSC and the Government of the Ulyanovsk Region signed an agreement on the implementation of new projects for the production of light commercial vehicles (LCV) and the localization of automotive components in the region, at INNOPROM industrial exhibition. The total investment in the project will be at least RUB 3 billion. It will create 500 new jobs. Sollers will create a full-cycle production of the Sollers Argo light commercial vehicle, as well as new models of commercial vehicles under the Sollers brand in the region in the period 2023-2025. The document also provides for the creation of new facilities for the production of high-tech auto components in the Ulyanovsk region.</t>
    <phoneticPr fontId="1"/>
  </si>
  <si>
    <t>https://www.marklines.com/en/global/2205</t>
    <phoneticPr fontId="1"/>
  </si>
  <si>
    <t>On July 9, BMW announced that its Munich plant marked 100th anniversary and the company is constructing three new buildings for body construction, assembly, and logistics areas for Neue Klasse's production starting in 2026. Construction will begin shortly.</t>
    <phoneticPr fontId="1"/>
  </si>
  <si>
    <t>https://www.marklines.com/en/global/1061</t>
    <phoneticPr fontId="1"/>
  </si>
  <si>
    <t>On July 7, Pak Suzuki Motors announced that due to the continued shortage of inventory level, the management of the company has decided to extend the shutdown of automobile and motorcycle plants till July 19, 2023.</t>
    <phoneticPr fontId="1"/>
  </si>
  <si>
    <t>https://www.marklines.com/en/global/2207</t>
    <phoneticPr fontId="1"/>
  </si>
  <si>
    <t>On July 7, BMW Group announced that its Dingolfing plant will source 50% of its process hot water needs from regional biomass and its own residual wood stocks starting in 2025. A supply contract for nearly 100,000 MWh of thermal energy per year has been signed with UP Energiewerke GmbH. This will result in a reduction of approximately 20,000 tons of CO2 emissions annually compared to conventional fossil fuels. The energy deliveries are scheduled to begin by the second quarter of 2025, with a 20-year supply contract in place. The biomass heating plant will be located near the BMW Group vehicle plant in Dingolfing.</t>
    <phoneticPr fontId="1"/>
  </si>
  <si>
    <t>Daimler Buses</t>
    <phoneticPr fontId="1"/>
  </si>
  <si>
    <t>https://www.marklines.com/en/global/2137</t>
    <phoneticPr fontId="1"/>
  </si>
  <si>
    <t>On July 6, Daimler Truck announced the testing of eCitaro fuel cell which underwent in extreme alpine conditions before series production. The test vehicle, one of four prototypes, successfully started up in freezing temperatures. Mercedes-Benz engineers conducted tests in the Alps to assess cold-starting behavior, thermal management, fuel cell functionality, and performance at extreme altitudes. The eCitaro fuel cell will undergo additional tests before entering series production, including safety tests and evaluations under hot conditions i.e. the cell underwent testing in the truck climate chamber at the Wörth facility in Rheinland-Pfalz.</t>
    <phoneticPr fontId="1"/>
  </si>
  <si>
    <t>Mercedes-Benz Truck</t>
    <phoneticPr fontId="1"/>
  </si>
  <si>
    <t>https://www.marklines.com/en/global/2243</t>
    <phoneticPr fontId="1"/>
  </si>
  <si>
    <t>https://www.marklines.com/en/global/2227</t>
    <phoneticPr fontId="1"/>
  </si>
  <si>
    <t>On July 5, Daimler Truck announced the topping-out ceremony for its InnoLab Battery laboratory in Mannheim plant. The facility will be ready for use in August, housing a pilot line for prototypical battery cell production and assembly. The existing building, covering 7,500 square meters and known as building number 18, underwent a comprehensive renovation within 15 months, adding a new extension covering approximately 3,500 square meters. InnoLab Battery features approximately 400 square meters of facade greening, along with a green roof and photovoltaic systems equivalent to the energy supply of around 50 single-family houses.</t>
    <phoneticPr fontId="1"/>
  </si>
  <si>
    <t>https://www.marklines.com/en/global/2847</t>
    <phoneticPr fontId="1"/>
  </si>
  <si>
    <t>On July 3, GM resumed production, although at a slower pace, at the São José dos Campos plant after pausing operations on June 12, with the second shift being laid off for up to 10 months. The shift reduction will also affect production at the attached powertrain plant that makes the Duramax 2.8-liter I4 XLD28 turbodiesel engine and transmissions for both models. The current Chevrolet S10 and TrailBlazer SUV have been produced for more than a decade at the plant, and the planned next-gen models will be only a major refresh of the current ones.</t>
    <phoneticPr fontId="1"/>
  </si>
  <si>
    <t>https://www.marklines.com/en/global/2829</t>
    <phoneticPr fontId="1"/>
  </si>
  <si>
    <t>On June 29, Mercedes-Benz announced it is winding down in operations in Campinas, Brazil though outsourcing some functions by the end of 2024, including remanufacturing of components, and transferring after-sales activities and other administrative functions to São Bernardo do Campo in the first half of 2024. It has already used outsourcing at its truck plant in São Bernardo do Campo to carry out the internal transport of parts, storage and supply of components.</t>
    <phoneticPr fontId="1"/>
  </si>
  <si>
    <t>On July 20, Indus Motor Company, the manufacturer of Toyota vehicles in Pakistan announced that the company has insufficient inventory levels to maintain production, therefore, the company cannot continue its production activities. In view of the above, the company has decided to shut down its production plant from July 21 to August 3, 2023 (both days inclusive).</t>
    <phoneticPr fontId="1"/>
  </si>
  <si>
    <t>https://www.marklines.com/en/global/10431</t>
    <phoneticPr fontId="1"/>
  </si>
  <si>
    <t>Tennessee</t>
  </si>
  <si>
    <t>On July 20, Magna announced it will invest USD 790 million to build the first two supplier facilities at Ford’s BlueOval City supplier park in Stanton, Tennessee, including a new 800,000-square-foot frame and battery enclosures facility and a 140,000-square-foot seating facility. A new 400,000-square-foot stamping and assembly plant in Lawrenceburg, Tennessee, will produce truck frames. All three facilities are scheduled to begin operations in 2025 to supply components for Ford’s second-gen electric truck.</t>
    <phoneticPr fontId="1"/>
  </si>
  <si>
    <t>https://www.marklines.com/en/global/2769</t>
    <phoneticPr fontId="1"/>
  </si>
  <si>
    <t>Argentina</t>
    <phoneticPr fontId="1"/>
  </si>
  <si>
    <t>On July 20, Mercedes Benz Camiones y Buses Argentina announced it is investing USD 30 million to add to the USD 20 million announced seven months ago to build a logistics and industrial center in Zárate. The new USD 50 million auto parts and spare parts logistics center will start operating during the second half of 2024 and support production of Accelo and Atego truck models, Sprinter vans, and OH and OF bus chassis at the Juan Manuel Fangio Plant in Puerto Madero.</t>
    <phoneticPr fontId="1"/>
  </si>
  <si>
    <t>https://www.marklines.com/en/global/8604</t>
    <phoneticPr fontId="1"/>
  </si>
  <si>
    <t>On July 18, Gonzalo Ibarzábal, president of Nissan in Brazil, said that despite market fluctuations, Nissan guarantees that it will maintain operating in two production shifts, as it has since April 2022, at its plant in Resende through the end of 2023. Nissan is currently investing USD 250 million to modernize the factory in Resende and launch new products for the domestic market. Nissan also seeks to increase its market share in Brazil by expanding the dealer network.</t>
    <phoneticPr fontId="1"/>
  </si>
  <si>
    <t>https://www.marklines.com/en/global/3425</t>
    <phoneticPr fontId="1"/>
  </si>
  <si>
    <t>On July 18, Foton Motor signed a strategic cooperation agreement with Mogo Auto to jointly promote the large-scale development of autonomous driving in such fields as intelligent sanitation vehicles, intelligent traffic, and intelligent cities. According to the agreement, the two parties will open up the service and operation scenarios of municipal infrastructure and urban terminals, develop intelligent city operation solutions, jointly promote project implementation, improve operational efficiency, and realize cost reduction and efficiency enhancement for urban public services. Foton Brock, a Foton Motor sub-brand specializing in sanitation vehicles, will develop and operate next-generation multi-model autonomous driving sanitation vehicles with Mogo Auto, and Mogo Auto will effectively support relevant Foton Motor products with its “vehicle-road-cloud integration” autonomous driving full-stack technology.</t>
    <phoneticPr fontId="1"/>
  </si>
  <si>
    <t>Tesla Gigafatory Texas has almost completed the installation of Megapack units for its own Battery Energy Storage System (BESS), shown by a Texas LCRA document to be consisting of 68 Megapacks of 2MW each, with a total capacity of 136 MW upon completion. Tesla has already installed 44 Megapacks, the remaining units could be installed in the next two weeks.</t>
    <phoneticPr fontId="1"/>
  </si>
  <si>
    <t>According to a Jimo District press release dated July 17, the first phase of the Chery Parts Industrial Park in Jimo District, Qingdao City, Shandong Province was recently officially commissioned. The second phase is planned to be completed at the end of 2023. With a total investment of CNY 10 billion, the Chery Parts Industrial Park will be built into a leading open intelligent eco-friendly modern industrial park in China. For the first phase of the Park, such companies as CITC-Rayhoo and Gaopu Auto have settled nine projects concerning vehicle bodies, chassis, automotive electronics, interior, exterior, and modularization.</t>
    <phoneticPr fontId="1"/>
  </si>
  <si>
    <t>https://www.marklines.com/en/global/10441</t>
    <phoneticPr fontId="1"/>
  </si>
  <si>
    <t>On July 15, BYD announced the recent holding of brand launch and new model launch conferences in Chile and Morocco. For the Chilean market, the Dolphin small electric vehicle was officially launched. For the Moroccan market, three battery electric vehicles (BEVs): the Han EV large SUV, the Tang EV luxury midsize SUV, and the Atto 3 compact SUV were officially launched. The Dolphin is equipped with a highly integrated 8-in-1 electric drive system, greatly enhancing safety and range. A BYD blade battery, which enables an NEDC range of 405km.</t>
    <phoneticPr fontId="1"/>
  </si>
  <si>
    <t>https://www.marklines.com/en/global/10364</t>
    <phoneticPr fontId="1"/>
  </si>
  <si>
    <t>On July 19, Punch Powertrain announced that the Peugeot 3008 and 5008 SUV, and the Peugeot 408 have performed exceptionally during testing at Aandalusia, Spain with mild hybrid eDCT/DT2 transmissions supplied by Punch Powertrain and Stellantis JV. At Peugeot, the 3008 and 5008 SUVs are the first to benefit from this novel 48-volt Hybrid technology which will gradually be rolled out to other Peugeot models and several of the Stellantis group's brands. The testing process involves assessing various aspects such as powertrain calibration, energy management, drivability, and overall system efficiency with a focus on fine-tuning the control algorithms that govern the interaction between the engine, the electric motor, and the battery pack.</t>
    <phoneticPr fontId="1"/>
  </si>
  <si>
    <t>https://www.marklines.com/en/global/153</t>
    <phoneticPr fontId="1"/>
  </si>
  <si>
    <t>VinFast</t>
    <phoneticPr fontId="1"/>
  </si>
  <si>
    <t>Vinfast</t>
    <phoneticPr fontId="1"/>
  </si>
  <si>
    <t>https://www.marklines.com/en/global/10565</t>
    <phoneticPr fontId="1"/>
  </si>
  <si>
    <t>North Carolina</t>
  </si>
  <si>
    <t>On July 19, VinFast announced it will hold the groundbreaking ceremony for its EV manufacturing plant in North Carolina on July 28, with production operations planned to commence in 2025 with a capacity of 150,000 vehicles per year. The factory will consist of two main areas: electric vehicle production and assembly, while the larger complex will also house supplementary supplier businesses.</t>
    <phoneticPr fontId="1"/>
  </si>
  <si>
    <t>https://www.marklines.com/en/global/3187</t>
    <phoneticPr fontId="1"/>
  </si>
  <si>
    <t>Mississippi</t>
  </si>
  <si>
    <t>On July 19, Nissan announced it has reached an agreement with Tesla to adopt the North American Charging Standard (NACS) beginning in 2025 for its EVs sold in the U.S. and Canadian markets. From 2024, Nissan will make available a NACS charging adapter for Ariya models, which are currently equipped with the Combined Charging System 1 (CCS1) for DC fast charging. Nissan is targeting more than 40% of its U.S. vehicle sales to be fully electric by 2030, including two all-new EVs to be assembled at the in Canton plant in Mississippi, beginning in late 2025.</t>
    <phoneticPr fontId="1"/>
  </si>
  <si>
    <t>https://www.marklines.com/en/global/459</t>
    <phoneticPr fontId="1"/>
  </si>
  <si>
    <t>On July 19, Nissan Motor Co., Ltd. announced its Yokohama Plant produced its 40 millionth engine in June. The Yokohama Plant commenced engine production in 1935, and built its 10 millionth engine in 1976, its 20 millionth in 1986 and its 30 millionth in 1997. In addition to engine production, the plant has been producing drive motors for electrified models from 2010. Furthermore, a pilot line will be established in the plant to develop all-solid-state batteries by fiscal year 2024.</t>
    <phoneticPr fontId="1"/>
  </si>
  <si>
    <t>On July 18, Mercedes-Benz extended the lay-off time of its second shift that is underway at its plant in São Bernardo do Campo, Brazil by another month at least thru the end of August, affecting1,200 workers. The São Bernardo do Campo plant, which continues to produce vehicles with just one shift, normally has a staff of approximately 8,000 workers, 6,000 of whom are allocated to production. </t>
    <phoneticPr fontId="1"/>
  </si>
  <si>
    <t>https://www.marklines.com/en/global/570</t>
    <phoneticPr fontId="1"/>
  </si>
  <si>
    <t>On July 18, Hino Motors, Ltd. announced it will suspend production on July 19 and 20 at its Koga Plant, due to a supply shortage of some parts. The Koga Plant produces heavy-duty trucks (HINO Profia/HINO700 Series) and medium-duty trucks (HINO Ranger/HINO500 Series) for Japanese domestic and overseas markets.</t>
    <phoneticPr fontId="1"/>
  </si>
  <si>
    <t>Energy Absolute</t>
    <phoneticPr fontId="1"/>
  </si>
  <si>
    <t>https://www.marklines.com/en/global/10346</t>
    <phoneticPr fontId="1"/>
  </si>
  <si>
    <t>Chachoengsao</t>
  </si>
  <si>
    <t>Reported on July 18, Thailand SET-listed Energy Absolute Plc (EA) plans to increase its EV battery manufacturing capacity to 8 GWh per year to serve the growing EV market in Thailand. EA's battery factory in Chachoengsao, which was initially set up with a capacity of 1 GWh, is now under the second phase of development to increase the capacity to 4 GWh. The capacity expansion is scheduled to be completed by 2023 and is expected to require an investment of THB 2 billion per 1 GWh. EA also plans to apply for investment privileges under the Board of Investment to support its new investment project to further increase the battery production capacity. EA has aimed to reach a capacity of 50 GWh per year in the future.</t>
    <phoneticPr fontId="1"/>
  </si>
  <si>
    <t>According to multiple press releases dated July 18, Henan Jidian New Energy Vehicle Technology Co., Ltd. was recently officially registered and established in Nanyang, Henan. The new company has a registered capital of CNY 1 million, with its business scope including R&amp;D of emerging energy technologies, energy storage technologies and services, manufacturing of battery parts, and manufacturing of automotive parts and accessories. The company is wholly owned by Quzhou Jidian Electric Vehicle Technology Co., Ltd., a wholly-owned subsidiary of Zhejiang Geely Industrial Investment Holding Co., Ltd.</t>
    <phoneticPr fontId="1"/>
  </si>
  <si>
    <t>On July 17, Volkswagen announced it will lay off up of 800 workers from the factory in Taubaté, Brazil through the temporary suspension of employment contracts, taking effect on August 1 and lasting up to five months, to enable the company to adjust production volumes to meet the market, the same reason that led it to stop the first shift in São José dos Pinhais for a week.</t>
    <phoneticPr fontId="1"/>
  </si>
  <si>
    <t>FAW</t>
    <phoneticPr fontId="1"/>
  </si>
  <si>
    <t>Hongqi</t>
    <phoneticPr fontId="1"/>
  </si>
  <si>
    <t>https://www.marklines.com/en/global/3337</t>
    <phoneticPr fontId="1"/>
  </si>
  <si>
    <t>Jilin</t>
  </si>
  <si>
    <t>On July 17, FAW Hongqi announced the official launch of the new HS3 compact crossover SUV. The 1.5T version of the HS3 is equipped with a 1.5T turbocharged engine (maximum power 124kW and peak torque 258Nm), mated to a 7-speed dual-clutch transmission, with a front-engine FWD layout and a combined fuel consumption of 6.8L/100km under the WLTC standard. Some models are equipped with such safe driving assistance functions as SACC (Super Adaptive Cruise Control), and automatic parking.</t>
    <phoneticPr fontId="1"/>
  </si>
  <si>
    <t>https://www.marklines.com/en/global/3981</t>
    <phoneticPr fontId="1"/>
  </si>
  <si>
    <t>On July 16, Dongfeng Honda unveiled the new “Creating the Future 2030” strategy, announcing that it will explore all fields focusing on the technological routes of battery electric, hybrid, and plug-in hybrid to firmly promote electrification. It is expected that Dongfeng Honda will no longer launch new ICE vehicles by 2027 and launch a total of over 10 battery electric models by 2030. Concurrently, the automaker will equip all its models with the latest intelligent technologies such as Honda Sensing and Honda Connect. In addition, Dongfeng Honda will drive the electrification transformation with digitalization and initiate changes in all fields such as marketing, manufacturing, R&amp;D, and customer operations.</t>
    <phoneticPr fontId="1"/>
  </si>
  <si>
    <t>https://www.marklines.com/en/global/1801</t>
    <phoneticPr fontId="1"/>
  </si>
  <si>
    <t>On July 15, multiple sources reported that the roof of a hall under construction caught fire in the BMW Steyr plant, Austria. The fire was caused by ignited bitumen and tar, resulting in heavy smoke. It took about an hour and a half to put out the fire. The cause of the fire is still unknown and no injuries were reported. The damage to the building, which is undergoing reconstruction for future electric drive production, is manageable.</t>
    <phoneticPr fontId="1"/>
  </si>
  <si>
    <t>https://www.marklines.com/en/global/10714</t>
    <phoneticPr fontId="1"/>
  </si>
  <si>
    <t>On July 15, FAW Group announced the recent holding of the signing ceremony for a memorandum of understanding on deepening strategic cooperation with VW Group and Audi in Changchun, Jilin. FAW Group and VW Group will further expand the VW product lineup, promote the development of electrified models, and strengthen the introduction of China’s local technologies. With the establishment of Volkswagen (China) Technology Co., Ltd., VW Group’s new NEV (New Energy Vehicle) R&amp;D site in China, FAW VW will accelerate product launch and achieve the goal of cost optimization to continuously VW’s brand image and advantages in the markets of ICE vehicles and high-end SUVs. The two parties will continue to support the sustainable development of the Jetta sub-brand, and will further promote the construction of China’s NEV ecosystem and infrastructure by supporting CAMS, a charging joint venture. A significant reduction in carbon emissions will be achieved by 2030 to contribute to China’s goal of achieving carbon neutrality by 2060. FAW Group and Audi will further expand their high-end product lineups in China. The two parties will continue to strengthen cooperation on manufacturing and sales. Audi FAW New Energy Vehicle Co., Ltd. will put PPE-platform-based Audi models into production for the Chinese market at the end of 2024 as planned. In addition, both parties will further strengthen and optimize the sales structure to optimize the process of product launch.</t>
    <phoneticPr fontId="1"/>
  </si>
  <si>
    <t>https://www.marklines.com/en/global/10485</t>
    <phoneticPr fontId="1"/>
  </si>
  <si>
    <t>https://www.marklines.com/en/global/3481</t>
    <phoneticPr fontId="1"/>
  </si>
  <si>
    <t>https://www.marklines.com/en/global/3333</t>
    <phoneticPr fontId="1"/>
  </si>
  <si>
    <t>Beiben</t>
    <phoneticPr fontId="1"/>
  </si>
  <si>
    <t>https://www.marklines.com/en/global/3593</t>
    <phoneticPr fontId="1"/>
  </si>
  <si>
    <t>Inner Mongolia</t>
  </si>
  <si>
    <t>On July 15, Beiben Trucks Group Co., Ltd. (Beiben Trucks) announced that it signed a strategic cooperation agreement with Jiangsu OptimumNano Energy Co., Ltd. (OptimumNano Energy) to conduct in-depth cooperation on the implementation of New Energy project indicators in Baotou City, Inner Mongolia Autonomous Region (IMAR) and execute a New Energy project in the IMAR.</t>
    <phoneticPr fontId="1"/>
  </si>
  <si>
    <t>https://www.marklines.com/en/global/4093</t>
    <phoneticPr fontId="1"/>
  </si>
  <si>
    <t>On July 15, GAC Toyota announced the recent signing of a strategic cooperation framework agreement on digital ecology with Tencent in Shenzhen, Guangdong. The two parties will conduct comprehensive cooperation in such fields as automotive cloud platforms, connectivity safety, V2X (Vehicle-to-Everything), and digital marketing to support GAC Toyota in accelerating its digital transformation and upgrading. In addition, based on Tencent Auto Intelligence (TAI), both parties will tap into innovative cockpit application scenarios and user operation business models and drive intelligent growth in the number of users with data.</t>
    <phoneticPr fontId="1"/>
  </si>
  <si>
    <t>On July 15, ,HiPhi, a sub-brand of Human Horizons Technology (Human Horizons), announced the official launch of the new HiPhi Y mid-to-large-size battery electric SUV. The HiPhi Y is available in three CLTC ranges of 560km, 765km, and 810km, and comes standard. The HiPhi Y is based on the H-SOA electronic and electrical architecture. The 560km- and 810km-range versions are both equipped with a single motor (maximum power 247kW and peak torque 410Nm) with an RWD layout, which is mated to a 76.6kWh blade battery and a 115kWh CATL ternary lithium battery, respectively. The 765km-range version is equipped with dual motors (124kW/210Nm for the one in the front and 247kW/410Nm for the one in the rear) and an adaptive 4WD system, mated to a 115kWh CATL ternary lithium battery, with a 0 to 100km/h acceleration time of 4.7 seconds. The HiPhi Y comes standard with a Qualcomm 8155 chip, the HiPhi Pilot system, and the HiBS system.</t>
    <phoneticPr fontId="1"/>
  </si>
  <si>
    <t>Lexus</t>
    <phoneticPr fontId="1"/>
  </si>
  <si>
    <t>According to Lexus' official website, production of the UX200 (gasoline model), a compact crossover in the UX lineup, will end in December 2023.</t>
    <phoneticPr fontId="1"/>
  </si>
  <si>
    <t>https://www.marklines.com/en/global/3533</t>
    <phoneticPr fontId="1"/>
  </si>
  <si>
    <t>Hebei</t>
  </si>
  <si>
    <t>On July 14, GWM announced the recent official signing of a strategic cooperation agreement with the National Innovation Center of Intelligent and Connected Vehicles (CICV Innovation Center). The two parties will conduct in-depth cooperation in such fields as major national issues, cutting-edge common technologies, automobile digitalization, and automotive ecology to support the intelligentization of China’s automotive industry.</t>
    <phoneticPr fontId="1"/>
  </si>
  <si>
    <t>https://www.marklines.com/en/global/10739</t>
    <phoneticPr fontId="1"/>
  </si>
  <si>
    <t>Chonburi</t>
  </si>
  <si>
    <t>Announced on July 10, SVOLT celebrated the beginning of construction of a module and pack factory, the first factory of its kind in the Southeast Asian country, at Sri Racha in Thailand’s Chon Buri province. Construction of this plant is well underway and is scheduled to be completed by the end of 2023. Its production lines will use independently developed pouch cells and prismatic cells, with advanced automated welding processes and monitoring equipment ensuring efficient, high-quality production.</t>
    <phoneticPr fontId="1"/>
  </si>
  <si>
    <t>https://www.marklines.com/en/global/265</t>
    <phoneticPr fontId="1"/>
  </si>
  <si>
    <t>On July 7, Daihatsu Indonesia celebrated the 8 millionth unit production at its  PT Astra Daihatsu Motor (ADM), Sunter Assembly Plant, Jakarta.</t>
    <phoneticPr fontId="1"/>
  </si>
  <si>
    <t>https://www.marklines.com/en/global/267</t>
    <phoneticPr fontId="1"/>
  </si>
  <si>
    <t>https://www.marklines.com/en/global/4301</t>
    <phoneticPr fontId="1"/>
  </si>
  <si>
    <t>https://www.marklines.com/en/global/269</t>
    <phoneticPr fontId="1"/>
  </si>
  <si>
    <t>Reported on July 7, China-based batteries and energy storage systems maker Svolt Energy Technology announced a THB 1.25 billion investment to build an EV battery plant in Thailand, aiming to serve Chinese and Japanese EV makers, including Great Wall’s models and Hozon Auto’s Neta EVs. Products from this Chon Buri plant will be sold locally and exported to Vietnam and Indonesia. According to Svolt, it plans to launch 2 production lines for batteries, one for modules for HEVs and the other one making modules and packs for PHEVs and BEVs. The plant’s initial annual production capacity is 60,000 sets of module packs, then expected to jump to 118,000 sets in the future, depending on the Thai and ASEAN market. The plant’s construction is scheduled to be finished in 8 months and ready to serve customers by Q1/2024. Amid the rising demand for EVs, Svolt also considers investing in battery recycling business in Thailand over the next 3 years.</t>
    <phoneticPr fontId="1"/>
  </si>
  <si>
    <t>https://www.marklines.com/en/global/10015</t>
    <phoneticPr fontId="1"/>
  </si>
  <si>
    <t>Techno Art Research Co., Ltd. announced on June 21 that it was in charge of interior design for the all-new Alphard (4th generation), which went on sale in Japan on the same day.</t>
    <phoneticPr fontId="1"/>
  </si>
  <si>
    <t>https://www.marklines.com/en/global/2209</t>
    <phoneticPr fontId="1"/>
  </si>
  <si>
    <t>On July 19, BMW produced its one-million BMW X1 series in Regensburg plant. The one-millionth vehicle is the BMW iX1 battery electric vehicle (BEV) Alpine White. This marks a major milestone in the 40 years history of the facility. Starting later this year, the plant will also produce the BMW iX2, another fully-electric vehicle, in Upper Palatinate for the high-volume compact class.</t>
    <phoneticPr fontId="1"/>
  </si>
  <si>
    <t>On July 18, Verkor announced that the European Investment Bank (EIB) is renewing its confidence with a further commitment of EUR 600 million to build its first Gigafactory in Dunkirk, which is a 16 GWh electric vehicles battery cell manufacturing plant. EIB already provided EUR 49 million in 2022 to support the construction of the recently inaugurated Verkor Innovation Centre. The total cost of the Gigafactory project is EUR 1,980 million. The project concerns capital investments for the production of lithium-ion electrodes and battery cells.</t>
    <phoneticPr fontId="1"/>
  </si>
  <si>
    <t>https://www.marklines.com/en/global/9820</t>
    <phoneticPr fontId="1"/>
  </si>
  <si>
    <t>On July 18, Mercedes-Benz unveiled all-new AMG performance version of its GLC SUV. The powertrain is developed and installed at the Affalterbach plant in Germany. The entry-level model is GLC 43 4MATIC features AMG 2.0-litre four-cylinder engine (M 139) with an electric exhaust gas turbocharger that produces 421 hp and an additional boost of 14 hp from the belt-driven starter-generator at lower speeds plus the maximum torque of 500 Nm is available. The first performance plug-in hybrid SUV GLC 63 S E Performance PHEV features 2.0-liter four-cylinder engine and electric motor that combine to produce 680 hp and maximum torque of 1,020 Nm is available.</t>
    <phoneticPr fontId="1"/>
  </si>
  <si>
    <t>https://www.marklines.com/en/global/10717</t>
    <phoneticPr fontId="1"/>
  </si>
  <si>
    <t>On July 18, Volkswagen Group of America, Inc. (VWGoA) announced it is boosting its automotive research in the U.S. to accelerate electric mobility and sustainable transportation innovation. Volkswagen’s Innovation Hub in Knoxville, Tennessee is driving applied materials science in collaboration with the University of Tennessee (UT) and Oakridge National Lab (ORNL) for automotive lightweight composites, recyclable interior materials, and EV wireless charging. </t>
    <phoneticPr fontId="1"/>
  </si>
  <si>
    <t>https://www.marklines.com/en/global/2473</t>
    <phoneticPr fontId="1"/>
  </si>
  <si>
    <t>On July 17, GM announced it will be adding a third shift at its Lansing Delta Township Assembly plant in 2024. GM presently has 2,800 workers building the current generation Chevrolet Traverse and Buick Enclave at the plant, and in early 2024, the company will begin production of the GMC Acadia SUV and all-new 2024 Traverse. GM forecasts sales of mid-size SUVs to increase by 23% over the next five years.</t>
    <phoneticPr fontId="1"/>
  </si>
  <si>
    <t>Buick</t>
    <phoneticPr fontId="1"/>
  </si>
  <si>
    <t>Lion Electric</t>
    <phoneticPr fontId="1"/>
  </si>
  <si>
    <t>https://www.marklines.com/en/global/10596</t>
    <phoneticPr fontId="1"/>
  </si>
  <si>
    <t>On July 17, Lion Electric announced that it has entered into subscription agreements with investors for aggregate gross proceeds of approximately USD 142 million, which the company intends to use to fund working capital, strengthen its financial position, and allow it to continue to pursue its growth strategy, including the company's capacity expansion projects in Mirabel, Quebec and Joliet, Illinois.</t>
    <phoneticPr fontId="1"/>
  </si>
  <si>
    <t>https://www.marklines.com/en/global/10673</t>
    <phoneticPr fontId="1"/>
  </si>
  <si>
    <t>https://www.marklines.com/en/global/2541</t>
    <phoneticPr fontId="1"/>
  </si>
  <si>
    <t>On July 13, GM unexpectedly idled its CAMI Assembly electric vehicle plant in Ingersoll, Ontario, with workers expected to return to work July 31, apparently due to a battery shortage. Production was already limited before the shutdown, with workers working on rotating shifts, two weeks on and four weeks off. While sales for the BrightDrop Zevo 600 and Zevo 400 electric delivery vans built there have been strong, there has been high demand for the Ultium battery in other GM EVs. GM currently makes Ultium batteries only at the Ultium Cells plant in Lordstown, Ohio.</t>
    <phoneticPr fontId="1"/>
  </si>
  <si>
    <t>https://www.marklines.com/en/global/9976</t>
    <phoneticPr fontId="1"/>
  </si>
  <si>
    <t>Ohio</t>
  </si>
  <si>
    <t>https://www.marklines.com/en/global/857</t>
    <phoneticPr fontId="1"/>
  </si>
  <si>
    <t>On July 13, Ford CEO Jim Farley announced BlueCruise 1.3, which will initially begin rolling out in Mustang Mach-E crossovers built in Cuautitlan, Mexico. Later in the summer, existing BlueCruise-equipped Mach-E's will receive a software update as well.</t>
    <phoneticPr fontId="1"/>
  </si>
  <si>
    <t>On July 13, Great Wall Motor (GWM)’s Haval sub-brand announced that its first next-generation Haval H5 large SUVs officially rolled off the production line at GWM’s Jingmen site. The new vehicle is positioned as a hardcore all-purpose large SUV, combining the advantages of an SUV, an MPV, and a pickup truck. Based on the Tank global intelligent professional off-road platform, the next-generation Haval H5 is designed with a non-load-bearing body and is equipped with a powertrain consisting of a 2.0T diesel- or gasoline-powered engine and a ZF 8-speed automatic transmission, as well as a two-speed electronically controlled part-time 4WD system and Eaton mechanical differential locks.</t>
    <phoneticPr fontId="1"/>
  </si>
  <si>
    <t>https://www.marklines.com/en/global/3951</t>
    <phoneticPr fontId="1"/>
  </si>
  <si>
    <t>On July 13, Zhengzhou Nissan announced that it officially started accepting pre-orders for the next-generation Paladin mid-to-large-size off-road SUV. The next-generation Paladin is equipped with a powertrain consisting of a 2.0T Mitsubishi engine and a ZF 8-speed automatic transmission, with a maximum power of 168kW, a peak torque of 360Nm, and a minimum combined fuel consumption of 9.0L/100km. The 4WD version is equipped with a next-generation professional-grade part-time 4WD system, and some models adopt a three differential lock design. The vehicle comes standard with such functions as automatic parking (Auto Hold), and EPB (Electronic Parking Brake), and some models are equipped with such functions as a Level 2 ADAS (advanced driving assistance system).</t>
    <phoneticPr fontId="1"/>
  </si>
  <si>
    <t>https://www.marklines.com/en/global/737</t>
    <phoneticPr fontId="1"/>
  </si>
  <si>
    <t>On July 17, KAMAZ announced the "Bridges project" for the production of parts and assemblies of the K5 drive axle and its assembly. It will be implemented in 2026, and the complete reengineering of the aggregate part will be carried out in 2030. KAMAZ will retire worn-out automatic lines. New equipment will be purchased for processing axle shafts, steering knuckle housings, ball bearings, trunnions, differential cups, shafts, etc. The automatic steering knuckle line will be replaced by six machining centers. Deliveries of equipment will begin in the second quarter of next year. All data will be fed into the automatic control system of the line and displayed along with planned and actual indicators on the andon monitors of the workshop in real-time. The production of some parts will be localized at the sites of aggregate production, some will be outsourced.</t>
    <phoneticPr fontId="1"/>
  </si>
  <si>
    <t>https://www.marklines.com/en/global/8751</t>
    <phoneticPr fontId="1"/>
  </si>
  <si>
    <t>On July 17, multiple sources reported that Sollers automobile plant in Vladivostok restarted production. It is the former joint venture plant with Mazda. It has started the production of pilot batches of a new line of pickups. Serial production and the official rollout of new pickup models will take place in early September. Sollers will also expand the range of cars produced on-site in Vladivostok.</t>
    <phoneticPr fontId="1"/>
  </si>
  <si>
    <t>https://www.marklines.com/en/global/757</t>
    <phoneticPr fontId="1"/>
  </si>
  <si>
    <t>On July 17, Moskvich announced that it would be included in the investment contract of the technology partner KAMAZ PJSC. As part of the signed agreement, a strategy was developed for developing the Moskvich plant and plans for localizing production in the Russian Federation for cars with internal combustion engines and electric vehicles (EVs). Currently, SKD assembly of the Moskvich 3 car and the Moskvich 3e electric car is being carried out at the production site. Along-with-this, Moskvich also revealed its plans to establish a welding and body painting process with the involvement of Russian suppliers by 2024. Moskvich also plans of producing EVs using localized components - an electric motor, a traction battery, and other elements by 2026.</t>
    <phoneticPr fontId="1"/>
  </si>
  <si>
    <t>SEAT</t>
    <phoneticPr fontId="1"/>
  </si>
  <si>
    <t>https://www.marklines.com/en/global/1955</t>
    <phoneticPr fontId="1"/>
  </si>
  <si>
    <t>On July 17, SEAT S.A. announced its plans to build a battery cell assembly plant in Martorell, applying to the new Battery PERTE VEC. The project will create over 400 direct jobs and 100 indirect jobs. An investment of EUR 300 million will be made for the facility, which will assemble cells produced by PowerCo at the Sagunto Gigafactory, Valencia. The plant will cover an area of 64,000 square meters and it will be connected to Workshop 10 to manufacture some of the Volkswagen Group's electric cars, including the CUPRA Raval, then optimizing logistics and reducing carbon footprint. Construction starts soon and aims for completion in 2025.</t>
    <phoneticPr fontId="1"/>
  </si>
  <si>
    <t>https://www.marklines.com/en/global/10650</t>
    <phoneticPr fontId="1"/>
  </si>
  <si>
    <t>Cupra</t>
    <phoneticPr fontId="1"/>
  </si>
  <si>
    <t>On July 17, Chevrolet presented the all-new 2024 Traverse midsize SUV, to be available in early 2024, with production at GM’s Lansing Delta Township facility in Michigan. All models are powered by an all-new 2.5-liter turbocharged engine that delivers 315 hp and 317 lb-ft of torque, paired with an eight-speed automatic transmission and available all-wheel drive, including an off-road-capable twin-clutch AWD system unique to the new Z71 model. </t>
    <phoneticPr fontId="1"/>
  </si>
  <si>
    <t>https://www.marklines.com/en/global/10376</t>
    <phoneticPr fontId="1"/>
  </si>
  <si>
    <t>On July 17, Ford announced that final upgrades at its Rouge Electric Vehicle Center in Dearborn will lead to greater availability of a built-to-order truck as early as October. Currently, the Rouge Electric Vehicle Center is temporarily closed to complete the final upgrades to triple the plant’s annual run rate to a targeted 150,000 F-150 Lightning trucks beginning this fall. The updated MSRP for the F-150 Lightning Pro model will be USD 49,995, down from USD 59,974, but closer to the USD 39,974 price originally set in 2022.</t>
    <phoneticPr fontId="1"/>
  </si>
  <si>
    <t>On July 15, Telsa officially began regular production of the Cybertruck at Gigafactory Texas. Delivery details have still not been announced but are expected to begin by the end of September, though the first units may go to Tesla employees. According to CEO Elon Musk, there will be a slow ramp-up this year to reach a more significant level of Cybertruck production in 2024.</t>
    <phoneticPr fontId="1"/>
  </si>
  <si>
    <t>https://www.marklines.com/en/global/9255</t>
    <phoneticPr fontId="1"/>
  </si>
  <si>
    <t>The BMW Group plant in San Luis Potosi, Mexico produced a total of 54,641 units in the first half of 2023, an increase of 87.7% compared to the same period in 2022, when 29,118 units were produced, according to figures by Mexico’s INEGI. Of the units produced in H1 2023, 40,788 units were exported to other markets, 74.6% of total production.</t>
    <phoneticPr fontId="1"/>
  </si>
  <si>
    <t>Isuzu</t>
    <phoneticPr fontId="1"/>
  </si>
  <si>
    <t>https://www.marklines.com/en/global/10633</t>
    <phoneticPr fontId="1"/>
  </si>
  <si>
    <t>On July 14, Isuzu Motors Limited (Isuzu) announced that as of July 12, it sold its shares in its Russian subsidiary Isuzu-RUS (ISZR) to Sollers Public Joint Stock Company (Sollers), a major Russian automobile manufacturer. Sollers will continue after-sales service in Russia. ISZR halted production in Russia in March 2022. Isuzu judges that it would be difficult to continue the business because of the uncertain situation surrounding Russia. ISZR has 211 employees (as of the end of June 2023).</t>
    <phoneticPr fontId="1"/>
  </si>
  <si>
    <t>https://www.marklines.com/en/global/729</t>
    <phoneticPr fontId="1"/>
  </si>
  <si>
    <t>On July 27, multiple sources reported that AvtoVAZ is discussing cooperation with the Russian transport group Fesco to organize the supply of cars to Africa and Latin America. AvtoVAZ is working on the issue of acquiring special ships, and shuttles that will be able to send its products. Last year, AvtoVAZ and FESCO agreed at the Eastern Economic Forum (EEF) in the field of intermodal transportation from the countries of the Asia-Pacific Region (APR).</t>
    <phoneticPr fontId="1"/>
  </si>
  <si>
    <t>Lamborghini</t>
    <phoneticPr fontId="1"/>
  </si>
  <si>
    <t>https://www.marklines.com/en/global/1357</t>
    <phoneticPr fontId="1"/>
  </si>
  <si>
    <t>On July 26, Automobili Lamborghini announced that their first V12 plug-in hybrid HPEV supercar, Revuelto achieved significant milestones shortly after its launch, with orders covering production for over two years. As part of Lamborghini's ambitious Direzione Cor Tauri project, Revuelto marks the company's entry into the second phase, involving a total investment of EUR 1.9 billion to hybridize the entire model range by 2024 and introduce the first full-electric model, a 2+2 grand tourer, in 2028. The vehicle revolutionizes production processes with Manifattura Lamborghini Next Level. Carbon fiber plays a crucial role in the Revuelto, used extensively in the chassis and body elements. The value of carbon fiber processing prompted the expansion and upgrade of the CFK plant in Sant’Agata Bolognese, now covering 16,200 square meters, with approximately 500 production operators dedicated to the Revuelto.</t>
    <phoneticPr fontId="1"/>
  </si>
  <si>
    <t>On July 26, Stellantis Spain announced that the Facendo 4.0 project, which is an R&amp;D initiative led by Stellantis Vigo and involving CTAG, Gradiant, Aimen, and University of Vigo, has successfully completed its development after 31 months of execution. Facendo 4.0 is aimed at enhancing industrial competitiveness and promoting skills in Galicia's business sector. It involved 800,000 hours of research and advanced engineering, leading to the creation of 10 registered patents. With the collaboration of 400 technicians and researchers, 157 actions were executed in areas like the Factory of the Future, Vehicle of the Future, and Connectivity and Information Technologies.</t>
    <phoneticPr fontId="1"/>
  </si>
  <si>
    <t>https://www.marklines.com/en/global/10545</t>
    <phoneticPr fontId="1"/>
  </si>
  <si>
    <t>On July 26, BMW inaugurated its Future Mobility Development Center (FMDC) in Sokolov, Czechia, with a total investment of EUR 300 million. The FMDC is the first development location of its kind in central Europe and will be crucial for the company's future mobility development. It provides real-world conditions for testing highly and fully automated driving and parking up to level 4, complementing virtual simulations to meet the highest safety standards. Spanning 600 hectares of land, the center offers maximum flexibility and efficiency to test various driving conditions, including city, countryside, freeway, and automated parking. The innovation hub employs over one hundred skilled workers and has transformed the former mining region into an innovation hub. The center utilizes green electricity and an innovative rainwater collection system for track irrigation.</t>
    <phoneticPr fontId="1"/>
  </si>
  <si>
    <t>At least 21 micro, small and medium-sized enterprises (MSMEs) in the state of Queretaro have received requests for quotations as they seek to become indirect suppliers of components and services that they would supply to those companies that directly supply the new Tesla Gigafactory Mexico plant in Santa Caterina.  The companies are engaged in plastic injection molding, the metal-mechanical sector, stamping, springs, packaging, furniture for the installation of production lines, as well as training and marketing services.</t>
    <phoneticPr fontId="1"/>
  </si>
  <si>
    <t>On July 26, Audi announced that the new Premium Platform Electric (PPE) is in its final stages, with the Audi Q6 e-tron leading the brand's largest model offensive to date. Redefining performance, range, and charging standards, Audi Q6 e-tron is the first fully electric model from Audi's Ingolstadt production line. At current stage, camouflaged prototypes offer insights into key technological advancements, including innovation in lighting technology.</t>
    <phoneticPr fontId="1"/>
  </si>
  <si>
    <t>Bentley</t>
    <phoneticPr fontId="1"/>
  </si>
  <si>
    <t>https://www.marklines.com/en/global/1378</t>
    <phoneticPr fontId="1"/>
  </si>
  <si>
    <t>On July 26, Bentley announced that it has installed 1200-litre biofuel bowser at the Crewe production site which enables Bentley Heritage Collection and press fleet vehicles to reduce their CO2 impact by approximately 85% compared to regular gasoline. The second-generation biofuel meets the global EN228 standard for gasoline, making it a seamless replacement for normal pump fuel. It's created from fermented waste biomass, not food crops. No engine modifications are required, even for the oldest Bentley models. The installation of the biofuel bowser will further reduce the site's environmental impact.</t>
    <phoneticPr fontId="1"/>
  </si>
  <si>
    <t>https://www.marklines.com/en/global/10320</t>
    <phoneticPr fontId="1"/>
  </si>
  <si>
    <t>Samut Prakan</t>
    <phoneticPr fontId="1"/>
  </si>
  <si>
    <t>On July 26, Hino held the grand opening ceremony of the Hino Suvarnabhumi Monozukuri Center. Jointly developed by Hino Motors Manufacturing (Thailand), Hino Powertrain Manufacturing, and Hino Motors Asia, this latest center in Thailand will integrate and strengthen the functions to plan, develop, and produce products in Thailand and consistently develop, manufacture, and supply optimal vehicles in ASEAN countries as a hub of development and manufacturing of trucks and buses in ASEAN countries. This center’s total project cost is THB 3.56 billion.</t>
    <phoneticPr fontId="1"/>
  </si>
  <si>
    <t>https://www.marklines.com/en/global/10245</t>
    <phoneticPr fontId="1"/>
  </si>
  <si>
    <t>On July 25, Mercedes-Benz announced that it is adapting job profiles due to digitalization and AI, investing over EUR 2 billion in global workforce qualification through the Turn2Learn initiative by 2030. Pilot programs like D.SHIFT and Data Worker, to train employees to become data and AI specialists. Currently, more than 600 employees from production, production-related areas, and administration are undergoing the programs. After 11 employees successfully completed retraining in Berlin, D.SHIFT program extended to the powertrain site in Stuttgart-Untertürkheim, with 22 colleagues transitioning to data specialists at the Sindelfingen site. The response has been significant, with hundreds of employees applying for 22 spots in Untertürkheim.</t>
    <phoneticPr fontId="1"/>
  </si>
  <si>
    <t>https://www.marklines.com/en/global/2235</t>
    <phoneticPr fontId="1"/>
  </si>
  <si>
    <t>https://www.marklines.com/en/global/2233</t>
    <phoneticPr fontId="1"/>
  </si>
  <si>
    <t>https://www.marklines.com/en/global/2225</t>
    <phoneticPr fontId="1"/>
  </si>
  <si>
    <t>https://www.marklines.com/en/global/1089</t>
    <phoneticPr fontId="1"/>
  </si>
  <si>
    <t>Tamil Nadu</t>
  </si>
  <si>
    <t>On July 25, Renault Nissan Automotive Pvt Ltd (RNAIPL) announced that it has manufactured 2.5 million cars at its state-of-the-art Chennai manufacturing facility. The plant has on average produced over 192 thousand Renault and Nissan cars every year. In total, 20 models of cars across Renault and Nissan have been manufactured by the plant since commencing operations. RNAIPL has exported more than 1.15 million vehicles from Chennai's Kamarajar Port Ltd (formerly Ennore Port Ltd.) to more than 108 destinations.</t>
    <phoneticPr fontId="1"/>
  </si>
  <si>
    <t>On July 25, GM CEO Mary Barra said that the company has experienced delays in its EV ramp up because its automation equipment supplier has issues that are constraining battery module assembly capacity. To improve delivery times of the battery modules assembled from Ultium’s battery cells produced in Ohio, GM has deployed its own engineers to work on site with the automation supplier and has added manual module assembly lines  GM is also installing more module assembly capacity at its North American EV plants beginning with Factory ZERO and Spring Hill this summer, Ramos Arizpe in the fall and CAMI in Q2 2024.</t>
    <phoneticPr fontId="1"/>
  </si>
  <si>
    <t>https://www.marklines.com/en/global/2523</t>
    <phoneticPr fontId="1"/>
  </si>
  <si>
    <t>https://www.marklines.com/en/global/867</t>
    <phoneticPr fontId="1"/>
  </si>
  <si>
    <t>https://www.marklines.com/en/global/10334</t>
    <phoneticPr fontId="1"/>
  </si>
  <si>
    <t>According to multiple press releases dated July 25, in view of the recent production situation, GAC Toyota has terminated contracts with about 1,000 dispatched employees in advance in accordance with its agreement with the labor dispatching company. The automaker will provide financial compensation for the laid-off employees in accordance with the law and recommend re-employment positions to them in conjunction with the labor dispatching company. The laid-off employees worked at the GAC Toyota Guangzhou Plant, which has an annual vehicle capacity of about 1 million units and a workforce of about 19,000 employees.</t>
    <phoneticPr fontId="1"/>
  </si>
  <si>
    <t>https://www.marklines.com/en/global/10503</t>
    <phoneticPr fontId="1"/>
  </si>
  <si>
    <t>On July 26, multiple sources reported that Avtovaz had suspended the production of cars until July 30, 2023. The winter part of the planned break has been postponed to July, which had to be done due to a shortage of components in production. It will not impact the production plan for 2023.</t>
    <phoneticPr fontId="1"/>
  </si>
  <si>
    <t>https://www.marklines.com/en/global/2033</t>
    <phoneticPr fontId="1"/>
  </si>
  <si>
    <t>On July 26, the all-new 6th-generation Mitsubishi Triton made its world premiere in Thailand. This will be followed by its launch in ASEAN and Oceania’s markets, before entering Japan in early 2024, for the first time in 12 years. Its production is expected to reach 200,000 units in over 100 countries. The model has been fully redesigned for the first time in 9 years and is powered by a newly-developed 4N16 2.4-liter clean diesel turbo engine with 3 output options (mated to either a 6-speed AT or MT).</t>
    <phoneticPr fontId="1"/>
  </si>
  <si>
    <t>https://www.marklines.com/en/global/3971</t>
    <phoneticPr fontId="1"/>
  </si>
  <si>
    <t>On July 23, the Hubei Automotive-Grade Chip Industry Technology Innovation Consortium held the first general conference and innovative technology forum for 2023, where Dongfeng Motor (DFM) unveiled multiple core technological achievements such as the tape-out of three China-made blank automotive-grade chips, the design of China’s first automotive-grade MCU chip based on the RISC-V instruction set architecture, and over 50 invention patents and integrated circuit layout designs.</t>
    <phoneticPr fontId="1"/>
  </si>
  <si>
    <t>https://www.marklines.com/en/global/10380</t>
    <phoneticPr fontId="1"/>
  </si>
  <si>
    <t>On July 21, Symbio announced its partnership with Hype to deploy the world's first hydrogen taxis fleet (Crit’Air 0) for people with limited mobility. The agreement is part of Stellantis and Hype's global partnership, aiming to have up to 1,000 hydrogen-based taxis on the road by the end of 2024. In the partnership agreement, Symbio will provide technical expertise and after-sale support for Hype in operating Stellantis vehicles with Symbio Fuel Cell Systems and Hype will share vehicle feedback with Symbio to support fuel cell technology's large-scale deployment.</t>
    <phoneticPr fontId="1"/>
  </si>
  <si>
    <t>Scania (TRATON)</t>
    <phoneticPr fontId="1"/>
  </si>
  <si>
    <t>https://www.marklines.com/en/global/1691</t>
    <phoneticPr fontId="1"/>
  </si>
  <si>
    <t>On July 21, Irizar announced the delivery of 10 new 15-meter Irizar i6S Efficient buses based on Scania chassis to LUX Express, an Estonian-based transport company. In addition, Irizar announced an order for 17 units of the same model, which will get delivered by next year. With this agreement, Irizar, in collaboration with Scania, intends to make a strong market presence in Baltic countries in the coach segment, with an increase in sales forecast for 2024.</t>
    <phoneticPr fontId="1"/>
  </si>
  <si>
    <t>IRIZAR</t>
    <phoneticPr fontId="1"/>
  </si>
  <si>
    <t>https://www.marklines.com/en/global/10672</t>
    <phoneticPr fontId="1"/>
  </si>
  <si>
    <t>On July 21, Ollin, a Foton Motor sub-brand, announced the official holding of the launch conference for its New Energy business strategy and new hybrid products in Chengdu. For the small light-duty truck market, Ollin will comprehensively introduce New Energy products based on the Ollin M truck platform, covering battery capacities from 50kWh to 100kWh, ranges from 120km to 300km. Also, the brand will introduce new redesigned products in 2024. For the light-duty truck market, Ollin will comprehensively introduce battery electric, hybrid, and hydrogen fuel cell products. The battery electric products will cover 4.5T, 6T, and 7.5T platforms. In terms of battery capacity, products with high battery capacities of 81kWh, 86kWh, 100kWh, and 120kWh will be introduced to meet the needs for ranges from 200km to more than 300km. Concurrently, the brand will introduce battery swappable products in the second half of 2023. In addition, the Ollin Zhilan HL super hybrid light-duty truck was officially launched. The 7.5T model is equipped with a P2 hybrid system, mated to an Aucan 2.5L hybrid-dedicated engine, a 6-speed automatic manual transmission, and a 14kWh hybrid-dedicated ternary lithium battery, with a combined range of 950km.</t>
    <phoneticPr fontId="1"/>
  </si>
  <si>
    <t>https://www.marklines.com/en/global/3685</t>
    <phoneticPr fontId="1"/>
  </si>
  <si>
    <t>Yema</t>
    <phoneticPr fontId="1"/>
  </si>
  <si>
    <t>https://www.marklines.com/en/global/4229</t>
    <phoneticPr fontId="1"/>
  </si>
  <si>
    <t>Sichuan</t>
  </si>
  <si>
    <t>According to multiple press releases dated July 21, Yema Auto recently added a new bankruptcy review, which was filed by Chongqing Senmai Auto Parts Co., Ltd. and handled by the Longquanyi District People’s Court of Chengdu Municipality of Sichuan Province.</t>
    <phoneticPr fontId="1"/>
  </si>
  <si>
    <t>Letin</t>
    <phoneticPr fontId="1"/>
  </si>
  <si>
    <t>https://www.marklines.com/en/global/10529</t>
    <phoneticPr fontId="1"/>
  </si>
  <si>
    <t>https://www.marklines.com/en/global/3687</t>
    <phoneticPr fontId="1"/>
  </si>
  <si>
    <t>On July 21, Baojun, announced that the new Yunduo large 5-seater battery electric vehicle (BEV) about to be launched will come with a next-generation battery, motor, and electronic controller system consisting of a 3-in-1 flat-wire water-cooled electric drive system, a 100kW motor, and a 50.6kWh battery, with a CLTC maximum electric-mode range of 460km.</t>
    <phoneticPr fontId="1"/>
  </si>
  <si>
    <t>https://www.marklines.com/en/global/9039</t>
    <phoneticPr fontId="1"/>
  </si>
  <si>
    <t>https://www.marklines.com/en/global/4153</t>
    <phoneticPr fontId="1"/>
  </si>
  <si>
    <t>BAW</t>
    <phoneticPr fontId="1"/>
  </si>
  <si>
    <t>https://www.marklines.com/en/global/10520</t>
    <phoneticPr fontId="1"/>
  </si>
  <si>
    <t>On July 21, Beijing Automobile Works (BAW) announced the recent holding of the 2023 brand strategy launch conference in Zhangjiakou. BAW will specifically plan models for the young, tourism talents, and retirees, such as the range-extended, CNG, and non-load-bearing diesel-powered versions of the Wangpai MPV, the New Energy version of the Calorie pickup truck, and diesel-powered and flat-front micro trucks. In the future, BAW will launch new vans to form a powerful product lineup consisting of the four categories of MPVs, vans, pickup trucks, and micro trucks with over 20 versions.</t>
    <phoneticPr fontId="1"/>
  </si>
  <si>
    <t>https://www.marklines.com/en/global/10447</t>
    <phoneticPr fontId="1"/>
  </si>
  <si>
    <t>Aiways</t>
    <phoneticPr fontId="1"/>
  </si>
  <si>
    <t>https://www.marklines.com/en/global/9552</t>
    <phoneticPr fontId="1"/>
  </si>
  <si>
    <t>According to multiple press releases dated July 21, Aiways issued the “Notification of the Establishment of an Interim Working Group on Shareholder Governance”. The Notification shows that the company will establish an interim working group on shareholder governance in charge of the operation and management of the company, and that in terms of organization, 10 working groups will be formed, including a work and production resumption group, an R&amp;D group, an overseas group, a domestic sales group, a strategic investment introduction group, and an IT group. The above decisions will be implemented with immediate effect, implying that Aiways, which has been shut down and stopped paying its employees for months, will resume work and production. Aiways suffered from sluggish sales performance, and has been experiencing such problems as operating difficulties and salary arrears since the beginning of 2023.</t>
    <phoneticPr fontId="1"/>
  </si>
  <si>
    <t>https://www.marklines.com/en/global/9583</t>
    <phoneticPr fontId="1"/>
  </si>
  <si>
    <t>According to multiple press releases dated July 20, SAIC Motor reached an agreement with Audi on jointly accelerating the development of electric vehicles (EVs). SAIC Motor has technologies in such electrification fields as 800V electrical architecture, CTB (Cell to Body), chips, and intelligent driving systems. The advantages of R&amp;D cost and supply chain in China will contribute to Audi developing more cost-competitive EVs.</t>
    <phoneticPr fontId="1"/>
  </si>
  <si>
    <t>IM</t>
    <phoneticPr fontId="1"/>
  </si>
  <si>
    <t>https://www.marklines.com/en/global/10383</t>
    <phoneticPr fontId="1"/>
  </si>
  <si>
    <t>According to multiple press releases dated July 20, Zhejiang Jixin Resource Recycling Technology Co., Ltd., which is wholly owned by Geely Auto Group, was established. The company has a registered capital of CNY 20 million, with its business scope including R&amp;D of resource recycling technologies, recycling of productive scrap metal, recycling and cascade utilization of waste power storage batteries for New Energy Vehicles (NEVs), remanufacturing of automotive parts, sales of NEVs, and recycling and dismantling of end-of-life electric vehicles.</t>
    <phoneticPr fontId="1"/>
  </si>
  <si>
    <t>JAC</t>
    <phoneticPr fontId="1"/>
  </si>
  <si>
    <t>https://www.marklines.com/en/global/3865</t>
    <phoneticPr fontId="1"/>
  </si>
  <si>
    <t>On July 20, Anhui Jianghuai Automobile Group Corp., Ltd. (JAC) announced the recent official signing of an agreement on comprehensively deepening strategic cooperation with Hangzhou Hongjing Drive Technology Co., Ltd. (Hongjing Drive) in Hefei. According to the agreement, the two parties will conduct cooperation on the mass production of intelligent driving technologies and the R&amp;D of forward-looking technologies. They will jointly explore the development and scenario application of autonomous driving technologies and automotive software and hardware products to create competitive intelligent driving solutions. In addition, the companies will establish a joint pre-research team on jointly identified forward-looking technologies to overcome technological difficulties, and conduct strategic cooperation on data centers to co-build a closed-loop system for autonomous driving data.</t>
    <phoneticPr fontId="1"/>
  </si>
  <si>
    <t>On July 24, Daimler Truck announced that its Woerth plant installed 6,400 photovoltaic modules, producing 2,800 kWp of total output. Annually, the solar systems generate 3,000 MWh of CO2 free electricity. The move aligns with Daimler Truck's sustainable strategy for CO2 neutral production globally by 2039. European production sites, including Woerth, have been CO2 neutral since 2022 through green electricity purchases.</t>
    <phoneticPr fontId="1"/>
  </si>
  <si>
    <t>On July 24, Kamaz announced that the production of the main products is suspended for the period of a two-week corporate holiday. The production will be restarted on August 7, 2023. The holiday will be used to rationally organize production.</t>
    <phoneticPr fontId="1"/>
  </si>
  <si>
    <t>https://www.marklines.com/en/global/9057</t>
    <phoneticPr fontId="1"/>
  </si>
  <si>
    <t>https://www.marklines.com/en/global/10385</t>
    <phoneticPr fontId="1"/>
  </si>
  <si>
    <t>https://www.marklines.com/en/global/1419</t>
    <phoneticPr fontId="1"/>
  </si>
  <si>
    <t>Middle East</t>
    <phoneticPr fontId="1"/>
  </si>
  <si>
    <t>Turkey</t>
    <phoneticPr fontId="1"/>
  </si>
  <si>
    <t>On July 24, Ford Otosan announced a shutdown period in its plants due to scheduled annual vacation. During this time, periodical maintenance will take place in all its plants. There will also be preparations in production lines in Yeniköy Plant for new investment. No impact is expected on the total production estimates for the year 2023. Gölcük Transit Line, Gölcük Custom Line, Yeniköy Plant, and Eskişehir Plant will be closed from July 31 to August 14, 2023. Craiova Plant will be closed from August 14 to August 31, 2023.</t>
    <phoneticPr fontId="1"/>
  </si>
  <si>
    <t>https://www.marklines.com/en/global/1861</t>
    <phoneticPr fontId="1"/>
  </si>
  <si>
    <t>Romania</t>
    <phoneticPr fontId="1"/>
  </si>
  <si>
    <t>https://www.marklines.com/en/global/8682</t>
    <phoneticPr fontId="1"/>
  </si>
  <si>
    <t>https://www.marklines.com/en/global/1420</t>
    <phoneticPr fontId="1"/>
  </si>
  <si>
    <t>After announcing the lay-offs of approximately 800 workers at the Volkswagen plant in Taubaté on July 17, Volkswagen has cancelled its decision and will instead grant ten-day vacations for the plant’s two shifts starting on July 31. The lay-offs were originally expected to take place starting on August 1. Volkswagen stated that its decision to cancel the lay-offs was based on the strong domestic sales performance of the Volkswagen Polo.</t>
    <phoneticPr fontId="1"/>
  </si>
  <si>
    <t>https://www.marklines.com/en/global/1426</t>
    <phoneticPr fontId="1"/>
  </si>
  <si>
    <t>On July 23, Anadolu Isuzu announced that its self-driving electric bus had passed the autonomous driving test and its new generation midibuses and buses are ready for autonomous driving. Anadolu Isuzu, in collaboration with Leo Drive, transformed its 8-meter electric bus Novociti Volt into an autonomous driving platform equipped with advanced LIDAR cameras, sensors, processors and controllers and connected driving systems. The bus was tested in many different scenarios with and without passengers and obtained a level 3 rating and displayed a safe driving ability in different traffic scenarios.</t>
    <phoneticPr fontId="1"/>
  </si>
  <si>
    <t>On July 21, BMW Group announced that its Dingolfing plant recently began production of the new BMW 5 Series, including the all-new fully-electric BMW i5 during 50 years celebration of BMW automotive production in 2023. The company plans to increase the share of pure battery-electric vehicles to over 40% of total production at the plant next year. In the process of integrating the BMW iX, BMW 7 Series, and BMW 5 Series at the Dingolfing vehicle plant, the BMW Group has invested over EUR 1 billion. The plant is expected to rise to over 300,000 vehicles production with the addition of BMW 5 Series Touring and eighth-generation BMW M5 models in the coming year.</t>
    <phoneticPr fontId="1"/>
  </si>
  <si>
    <t>The Lion Electric Company celebrated the official opening of its manufacturing facility in Joliet, Illinois, U.S. By the end of 2023, the plant is expected to have a manufacturing capacity of 2,500 fully electric school buses. At full capacity, the plant is expected to be capable of producing 20,000 vehicles per year comprised of a combination of fully electric buses and trucks.</t>
    <phoneticPr fontId="1"/>
  </si>
  <si>
    <t>https://www.marklines.com/en/global/9836</t>
    <phoneticPr fontId="1"/>
  </si>
  <si>
    <t>On July 21, Havale Motor Rus LLC started sales of crossover HAVAL M6 in Russia. It has a 1.5-liter gasoline engine that generates 143 hp power and a maximum torque of 202 Nm. It will be available with a choice of manual and robotic transmissions. The car has features like automatic climate control, cruise control, a rear-view camera with parking sensors, a large multimedia screen, emergency braking assistance systems, etc.</t>
    <phoneticPr fontId="1"/>
  </si>
  <si>
    <t>https://www.marklines.com/en/global/1771</t>
    <phoneticPr fontId="1"/>
  </si>
  <si>
    <t>On July 21, Skoda Auto announced that its fourth-generation Superb will be premiered in November 2023. The vehicle will be manufactured at the Bratislava plant in Slovakia and will be available in both hatchback and estate formats. For the gasoline variant, the entry-level engine is a 1.5 TSI with mild-hybrid technology and features active cylinder technology (ACT+). There are also two 2.0 TSI engine variants. The diesel variant comes with 2.0 TDI engine with all-wheel drive as standard. The estate format offers a plug-in hybrid engine that comes with a 1.5 TSI iV with an electric motor paired with 6-speed DSG. All gasoline and diesel engines are paired with a 7-speed DSG transmission and all six powertrain options meet the Euro 6e emissions standard.</t>
    <phoneticPr fontId="1"/>
  </si>
  <si>
    <t>https://www.marklines.com/en/global/1925</t>
    <phoneticPr fontId="1"/>
  </si>
  <si>
    <t>On July 20, QEV Technologies (QEV) announced that it is in conversation with Spear Investments, a special purpose acquisition company (SPAC) launched by AZ Capital and STJ Advisors, to expand its business and get itself listed at the Euronext, Amsterdam. With 250 vehicles delivered to date and 1000 to be delivered by the end of the year, QEV expects to reach revenues of more than EUR 60 million by 2023. With the capital raised in collaboration with Spear Investments, QEV Technologies aims to support its business plan and sell about 16,000 vehicles by 2027.</t>
    <phoneticPr fontId="1"/>
  </si>
  <si>
    <t>Farizon</t>
    <phoneticPr fontId="1"/>
  </si>
  <si>
    <t>https://www.marklines.com/en/global/9345</t>
    <phoneticPr fontId="1"/>
  </si>
  <si>
    <t>On July 20, Farizon Auto, announced the completion of a Series A financing worth USD 600 million co-led by Boyu Capital and Yuexiu Industrial Fund and followed by multiple strategic investors and well-known investment institutions. The funds raised will mainly be used for continued investment in R&amp;D and construction of market ecology to enhance the core competitiveness of the company. In addition, Farizon Auto issued the “Report of Farizon on Green and Sustainable Development”, the first report on green and sustainable development of China’s New Energy commercial vehicle industry, announcing that its overall strategic carbon emission goals in the mid-to-long term are to achieve operational carbon neutrality by 2025 and full-lifecycle carbon neutrality by 2030.</t>
    <phoneticPr fontId="1"/>
  </si>
  <si>
    <t>https://www.marklines.com/en/global/1593</t>
    <phoneticPr fontId="1"/>
  </si>
  <si>
    <t>Vietnam</t>
    <phoneticPr fontId="1"/>
  </si>
  <si>
    <t>Reported on July 20, Mercedes-Benz Vietnam has launched the locally-made Mercedes-AMG C 43 4MATIC, which becomes the first high-performance car series assembled in Vietnam. Its M139 2.0L turbocharged 4-cylinder engine, imported from Germany, that supports 48V Mild Hybrid technology provides power for the belt-start generator (RSG). The engine paired with an AMG SPEEDSHIFT MCT 9G (Multi-Clutch Transmission) and AMG Performance 4MATIC all-wheel drive system.</t>
    <phoneticPr fontId="1"/>
  </si>
  <si>
    <t>https://www.marklines.com/en/global/10209</t>
    <phoneticPr fontId="1"/>
  </si>
  <si>
    <t>According to multiple press releases dated July 19, BMW officially opened a new R&amp;D center in Shanghai. BMW officials said that the opening of the center marks that BMW Group has established the largest and most complete R&amp;D system outside its German headquarters. Currently, the BMW Chinese R&amp;D team has over 3,200 designers, engineers, and experts in New Energy Vehicles (NEVs) and software. In addition, China is the only country other than Germany that has set up the Skylab human-machine interaction (HMI) design team and the Usability Lab, covering all core design functions such as user experience design, visual design, and HMI development. So far, BMW has established R&amp;D institutions in four Chinese cities: Beijing, Shanghai, Nanjing, and Shenyang.</t>
    <phoneticPr fontId="1"/>
  </si>
  <si>
    <t>https://www.marklines.com/en/global/10211</t>
    <phoneticPr fontId="1"/>
  </si>
  <si>
    <t>Liaoning</t>
  </si>
  <si>
    <t>https://www.marklines.com/en/global/3485</t>
    <phoneticPr fontId="1"/>
  </si>
  <si>
    <t>https://www.marklines.com/en/global/10678</t>
    <phoneticPr fontId="1"/>
  </si>
  <si>
    <t>According to multiple press releases dated July 19, the first Seal DM-i, a new midsize plug-in hybrid sedan of the BYD Ocean series, rolled off the production line in volume at the BYD Zhengzhou site. The Seal DM-i, the first new model produced at the site, was officially unveiled at Auto Shanghai 2023 under the name of Chaser 07. BYD announced on July 14 that the vehicle was officially named Seal DM-I. Launch of the vehicle is expected in Q3 2023.</t>
    <phoneticPr fontId="1"/>
  </si>
  <si>
    <t>Skywell</t>
    <phoneticPr fontId="1"/>
  </si>
  <si>
    <t>https://www.marklines.com/en/global/10327</t>
    <phoneticPr fontId="1"/>
  </si>
  <si>
    <t>On July 19, Skyworth Auto announced the holding of an event for the launch of Xiaowei GPT and its 2nd-generation products in Xuzhou, Jiangsu, where it unveiled 800V+4C super fast charging, a cutting-edge technology; the new Skylink 2.0 intelligent in-vehicle system; Xiaowei GPT; and a new product strategy. Skyworth Auto unveiled the “2314” product strategy, i.e., dual powertrain solutions and dual drive configurations, the BE, CE, and AE intelligent platforms for New Energy passenger vehicles, and 14 models, to make all-out efforts in the market of New Energy Vehicles.</t>
    <phoneticPr fontId="1"/>
  </si>
  <si>
    <t>https://www.marklines.com/en/global/3749</t>
    <phoneticPr fontId="1"/>
  </si>
  <si>
    <t>On July 18, European Commission approved under the EU Merger Regulation the acquisition of joint control of Symbio SAS by PSA Automobiles SA, Spika SAS, and Faurecia Exhaust International SAS. Symbio assembles and supplies fuel cell systems, while PSA Automobiles is a subsidiary of the Stellantis Group. Spika is a subsidiary of Compagnie Générale des Etablissements Michelin, and Faurecia Exhaust International is a subsidiary of Faurecia SE. The Commission determined that the acquisition would not significantly impact the market structure and therefore raised no competition concerns.</t>
    <phoneticPr fontId="1"/>
  </si>
  <si>
    <t>https://www.marklines.com/en/global/3335</t>
    <phoneticPr fontId="1"/>
  </si>
  <si>
    <t>On July 18, FAW Jiefang Group Co., Ltd. (FAW Jiefang) issued an announcement on the approval from China FAW Group Corp., Ltd. (FAW Group) of matters concerning the issuance of A shares to specific targets in 2023. According to the announcement, FAW Jiefang recently received the “Approval of Matters Concerning the Issuance of A Shares to Specific Targets by FAW Jiefang in 2023” from FAW Group, its controlling shareholder. FAW Group approved of FAW Jiefang’s overall plan to issue A shares of not more than 15% of the total pre-issuance share capital to specific targets to raise a total amount of funds of not more than CNY 3,713,331,000. The funds to be raised from the private placement will be used for a comprehensive R&amp;D capability enhancement project for New Energy intelligent connected vehicles, a vehicle production line upgrading and construction project, a powertrain production line upgrading and construction project, and supplementing working capital.</t>
    <phoneticPr fontId="1"/>
  </si>
  <si>
    <t>Hozon Auto</t>
    <phoneticPr fontId="1"/>
  </si>
  <si>
    <t>Neta</t>
    <phoneticPr fontId="1"/>
  </si>
  <si>
    <t>https://www.marklines.com/en/global/10712</t>
    <phoneticPr fontId="1"/>
  </si>
  <si>
    <t>On July 17, Neta Auto officially signed a strategic cooperation framework agreement with Avnet, a globally leading technology distributor and solution provider, in Shanghai. According to the agreement, the two parties will conduct more in-depth and higher-level cooperation on New Energy Vehicles (NEVs). Through this cooperation, Neta Auto aims to secure stronger support for its R&amp;D, production, and supply chain management leveraging Avnet’s existing resource advantages. So far, the two parties have conducted in-depth cooperation on such applications as intelligent driving, intelligent cockpits, electric drives, and next-generation super computing platform.</t>
    <phoneticPr fontId="1"/>
  </si>
  <si>
    <t>https://www.marklines.com/en/global/2834</t>
    <phoneticPr fontId="1"/>
  </si>
  <si>
    <t>During a press conference on July 20, Stellantis South America COO Antonio Filosa said that the Stellantis plant in Goiana, Pernambuco, Brazil will increase its production by 12%. The Pernambuco plant is currently operating in three shifts and will add a number of workstations while also increasing the pace of the assembly lines. The increased production is in response to the strong demand for the Ram Rampage.</t>
    <phoneticPr fontId="1"/>
  </si>
  <si>
    <t>Ram</t>
    <phoneticPr fontId="1"/>
  </si>
  <si>
    <t>On August 4, Fisker Inc. announced that it had updated its 2023 production outlook to 20,000-23,000 units as a key supplier required additional time to ramp its capacity to meet its second-half-2023 timeline. 1,022 vehicles were produced in the second quarter of 2023. In July 2023, 1,009 Fisker Oceans were produced up from 741 units in June 2023, while the assembly rate per day reached 140 at the end of July, up from 80 per day at the end of June. July had reduced shifts and fewer working days due to the planned Magna Steyr annual summer shutdown.</t>
    <phoneticPr fontId="1"/>
  </si>
  <si>
    <t>Tata Motors</t>
    <phoneticPr fontId="1"/>
  </si>
  <si>
    <t>Tata</t>
    <phoneticPr fontId="1"/>
  </si>
  <si>
    <t>https://www.marklines.com/en/global/1263</t>
    <phoneticPr fontId="1"/>
  </si>
  <si>
    <t>Maharashtra</t>
  </si>
  <si>
    <t>On August 4, Tata Motors introduced upgraded CNG variants for its Tiago and Tigor models, along with the launch of the new Punch iCNG. The Punch iCNG is equipped with a 1.2 Revtron Engine that generates 73.4 ps power at 6,000 rpm and 103 Nm torque at 3,230 rpm. It features a 70L (water capacity) CNG tank (twin cylinders) placed under the luggage areas that ensures boot space like that in ICE SUVs.</t>
    <phoneticPr fontId="1"/>
  </si>
  <si>
    <t>https://www.marklines.com/en/global/1253</t>
    <phoneticPr fontId="1"/>
  </si>
  <si>
    <t>Haryana</t>
  </si>
  <si>
    <t>On August 3, Maruti Suzuki India Limited achieved a 4.5 million customer milestone for the Alto hatchback. The vehicle was launched in the year 2000, and by 2004 it had already become India's no.1 selling car.</t>
    <phoneticPr fontId="1"/>
  </si>
  <si>
    <t>https://www.marklines.com/en/global/2917</t>
    <phoneticPr fontId="1"/>
  </si>
  <si>
    <t>On August 3, Toyota announced that it will end production of the Etios at its plant in Sorocaba, Brazil on August 31. Toyota said it is ending production this month so as to prepare the plant for production of “a new compact hybrid flex model”.  While not announced, the model is expected to be based on the Yaris Cross, and be positioned below the Corolla Cross in the brand's Brazilian line-up.</t>
    <phoneticPr fontId="1"/>
  </si>
  <si>
    <t>https://www.marklines.com/en/global/3237</t>
    <phoneticPr fontId="1"/>
  </si>
  <si>
    <t>Indiana</t>
  </si>
  <si>
    <t>On August 2, Toyota Indiana celebrated the start of production of the first-ever 2024 Grand Highlander, an all-new three row SUV, at its Princeton plant. In 2021, Toyota announced an USD 803 million investment in Indiana to produce two all-new SUV’s.</t>
    <phoneticPr fontId="1"/>
  </si>
  <si>
    <t>On August 2, Apollo Intelligent Driving (Apollo), a Baidu subsidiary, announced that Great Wall Motor (GWM) and Hubei ECARX Technology Co., Ltd. (ECARX) became the first exploration partners to it for application of ERNIE-based intelligent cockpits. Based on the capabilities of ERNIE, Apollo has explored and practiced automotive interaction scenarios with GWM and ECARX, respectively, and has validated multiple innovative functions on platforms for production models.</t>
    <phoneticPr fontId="1"/>
  </si>
  <si>
    <t>Subaru</t>
    <phoneticPr fontId="1"/>
  </si>
  <si>
    <t>https://www.marklines.com/en/global/3215</t>
    <phoneticPr fontId="1"/>
  </si>
  <si>
    <t>On August 2, Subaru announced its new management policy and update on electrification plan. In May 2023, the company announced that it will increase annual BEV production capacity in Japan from 200,000 units to 400,000 units. On top of that, it will start production of the next-generation e-BOXER HEVs and BEVs in the U.S. Vehicle production capacity for transitional period will raise to 1.2 million-plus units per year.</t>
    <phoneticPr fontId="1"/>
  </si>
  <si>
    <t>On August 1, GAC Group announced that to improve its industrial chain layout in such core fields as intelligent connectivity, intelligent driving, and high-precision maps, GAC Capital Co., Ltd. (GAC Capital, contribution ratio 19%), a GAC Group wholly-owned subsidiary, and Guangzhou Yingpeng Investment Management Co., Ltd. (contribution ratio 0.5%), a GAC Capital wholly-owned subsidiary, intend to contribute CNY 40 million to establish Guangdong Guangqi Yutu Equity Investment Partnership (Limited Partnership) with such partners as Nanjing Institute of Surveying, Mapping &amp; Geotechnical Investigation, Co., Ltd. (contribution ratio 77.6%). The new company has a total fund scale of CNY 205 million, focusing on investments in high-precision map-related technologies, intelligent connectivity, and automobile intelligentization.</t>
    <phoneticPr fontId="1"/>
  </si>
  <si>
    <t>https://www.marklines.com/en/global/4167</t>
    <phoneticPr fontId="1"/>
  </si>
  <si>
    <t>On August 1, Changan Ford and FMeT jointly issued a statement that according to Ford Motor’s strategic transformation and business adjustment in the Chinese market, Changan Ford will officially take over the operation of the Mustang Mach-E battery electric SUV in the market. The Mustang Mach-E, Changan Ford’s first battery electric model, will contribute to accelerating the automaker’s exploration of the NEV market to provide consumers with diversified mobility options from personalized ICE vehicles to high-horsepower hybrid vehicles to battery electric SUVs.</t>
    <phoneticPr fontId="1"/>
  </si>
  <si>
    <t>https://www.marklines.com/en/global/10572</t>
    <phoneticPr fontId="1"/>
  </si>
  <si>
    <t>On July 31, Haval announced that the B26, a new model of its Dragon lineup, was officially named Raptor. Other models of the lineup that were previously unveiled were the Fierce Dragon and the Fierce Dragon Max. Positioned as a plug-in hybrid off-road SUV, the Raptor is equipped with a 1.5T engine and the new Great Wall Motor Hi4 intelligent 4WD hybrid technology, and comes with a rear axle differential lock.</t>
    <phoneticPr fontId="1"/>
  </si>
  <si>
    <t>On July 31, GAC Energy announced the holding of a strategic cooperation agreement signing ceremony with Goldenport Motor Culture Development (Beijing) Co., Ltd. (Goldenport Enterprises) at GAC Aion. According to the agreement, the two parties will promote cooperation in such fields as charging and battery swapping, comprehensive intelligent energy for parks, energy storage, sales of New Energy Vehicles (NEVs), international businesses and auto racing, vehicle modification, and supercars, and will co-build an NEV demonstration operation park.</t>
    <phoneticPr fontId="1"/>
  </si>
  <si>
    <t>On July 31, Geely Auto Group announced that it will unveil the industry-first full-stack in-house developed all-scenario AI large model in the second half of 2023 and launch the Galaxy L6, the industry-first AI plug-in hybrid sedan, in September. Geely Auto Group has been exploring AIGC (Artificial Intelligence Generated Content)-related technological fields since 2021, and has developed in-house the industry-first AI large model with 10 billion parameters so far, sitting on a large number of innovative AI technologies. Relevant technologies will be applied to the Galaxy L6 powered by a Qualcomm Snapdragon 8155 chip.</t>
    <phoneticPr fontId="1"/>
  </si>
  <si>
    <t>https://www.marklines.com/en/global/3837</t>
    <phoneticPr fontId="1"/>
  </si>
  <si>
    <t>On July 31, Leapmotor officially launched the LPEE 3.0 centrally integrated electronic and electrical architecture, which realizes central supercomputing through one SoC (system-on-chip) and one MCU (microcontroller unit) and integrates the four domains of cockpit, intelligent driving, power, and body. The architecture is available in standard, medium, and high specifications. The LPEE 3.0 architecture is compatible with two SoC mainboard solutions: Qualcomm 8295 and Qualcomm 8155. The 8295 solution supports the deep integration of the cockpit and intelligent driving domains, enabling Level 2 intelligent driving features such as ACC (Adaptive Cruise Control). The MCU mainboard supports two solutions: the medium and high specifications of NXP S32G, achieving integration of multiple controllers for vehicle, body, and gateway. Leapmotor has reduced the number of controllers from 42 to 28 and the length of wiring harnesses from 1,800m to 1,500m and increased the data bandwidth from 100Mbps to 1,000Mbps and the number of power management modes from 10 to over 30 for the LPEE 3.0 architecture. The LPEE 3.0 architecture has over 500 reserved interfaces and features a service-oriented software architecture, become an automotive-grade non-sensory online OTA update platform. In addition, the LPEE 3.0 architecture offers four technological cooperation modes such as “central supercomputing + peripheral controllers” and “central supercomputing + peripheral controllers + batteries + electric drives”.</t>
    <phoneticPr fontId="1"/>
  </si>
  <si>
    <t>Jetour</t>
    <phoneticPr fontId="1"/>
  </si>
  <si>
    <t>https://www.marklines.com/en/global/3969</t>
    <phoneticPr fontId="1"/>
  </si>
  <si>
    <t>On July 30, Jetour, a Chery sub-brand, announced the official launch of the new X70 Pro midsize SUV. The X70 Pro adopts a front-engine FWD layout and is equipped with a turbocharged engine, with the following powertrains available: a 1.5T engine (115kW/230Nm) and a 6-speed dual-clutch transmission; a 1.6T engine (145kW/290Nm) and a 6-speed manual or 7-speed dual-clutch transmission; and a 2.0T engine (187kW/390Nm) and a 7-speed dual-clutch transmission. Some models are equipped with Level 2.5 assisted autonomous driving features.</t>
    <phoneticPr fontId="1"/>
  </si>
  <si>
    <t>Ebusco</t>
    <phoneticPr fontId="1"/>
  </si>
  <si>
    <t>https://www.marklines.com/en/global/10553</t>
    <phoneticPr fontId="1"/>
  </si>
  <si>
    <t>Netherlands</t>
    <phoneticPr fontId="1"/>
  </si>
  <si>
    <t>On July 27, Ebusco announced that as a result of previous supply chain disruptions and ongoing labor shortages, it is adjusting its expectations for 2023. By accelerating production capacity increases with assembly partners, it is targeting an improved result for the second half of 2023. To meet current orders and facilitate future growth in its order book, Ebusco is now pushing to accelerate the scale-up of its production capacity with the help of three assembly partners in Europe and abroad. Moreover, with the planned opening of the production facility in Rouen, France, and an external casco assembly partner, Ebusco is working to further scale its casco production.</t>
    <phoneticPr fontId="1"/>
  </si>
  <si>
    <t>On August 1, QEV Technologies, and SPEAR Investments I, a special purpose purchase company (SPAC), closed the signing of the merger agreement for their businesses. QEV Technologies will maintain its tax domicile, headquarters, and operations in Barcelona, and will focus its business plan on the implementation of the D-Hub (Decarbonization Hub). The D-Hub will have a maximum production capacity of 180,000 vehicles per year. The implicit valuation of the company is EUR 209 million. The operation has made it possible to commit, so far, EUR 23 million of capital to support QEV Tech's business plan, which expects to quadruple revenue by 2023 and aims to sell more than 16,000 electric vehicles a year from 2027.</t>
    <phoneticPr fontId="1"/>
  </si>
  <si>
    <t>On August 3, Kamaz announced that its subsidiary PJSC "NEFAZ" is building a site for running passenger buses during acceptance tests as part of the project "Development of production capacities for the production of passenger buses up to 3,000 units per year". All construction work is scheduled to be completed in September this year. The site will include a motor road with three sections of artificial irregularities ("ripples", "waves", and "cobbles of even paving") with a length of 100 meters each. A flyover 7.2 meters high will also be erected to test passenger transport for ascent and descent. In addition to testing the chassis, it will be possible to make noise measurements. In addition to the produced buses and electric buses this year, NEFAZ will start mass production of KAMAZ-62825 low-floor trolleybuses. The site will also be prepared for their tests.</t>
    <phoneticPr fontId="1"/>
  </si>
  <si>
    <t>On August 2, Daimler Truck announced the testing of the prototype battery-electric eActros 600 on the former military training ground in Münsingen, Germany, and nearby public roads. The Swabian Alb's diverse topography makes it an ideal location to test the electric truck in both semitrailer tractor and rigid variants under various conditions. Acoustics testing is conducted on the quiet acoustics test track in Münsingen. The eActros 600 is scheduled for series production in 2024, boasting a range of approximately 500 km without intermediate charging.</t>
    <phoneticPr fontId="1"/>
  </si>
  <si>
    <t>https://www.marklines.com/en/global/1901</t>
    <phoneticPr fontId="1"/>
  </si>
  <si>
    <t>On August 2, the University of Porto announced that Azitek, a startup incubated at UPTEC - Science and Technology Park of the University of Porto, was chosen by Ford Motor Company to implement an asset tracking system at the Ford factory in Valencia. Azitek has produced an asset tracking system that will allow Ford to reduce up to 7% of losses of returnable transport items. Azitek's solution is currently tracking around six of the 20,000 KLT plastic containers, a small load carrier, responsible for transporting materials and goods between the various locations in the factory.</t>
    <phoneticPr fontId="1"/>
  </si>
  <si>
    <t>On August 2, AvtoTOR started industrial production of BAIC BJ40. The preparation was started in June 2023. The BAIC BJ40 is a mid-size SUV equipped with a 218 hp 2.0-liter gasoline turbo engine. Specialists of the AvtoTOR Innovation and Technology Center, in cooperation with representatives of BAIC, carried out work on the preparation of operating cards, equipping a production line designed to produce a new model, setting up and reprogramming tools and equipment, and training line personnel. At the final stage of work on the development of production, AvtoTOR and BAIC specialists carried out a set of special control measures per the established brand standards.</t>
    <phoneticPr fontId="1"/>
  </si>
  <si>
    <t>Omoda</t>
    <phoneticPr fontId="1"/>
  </si>
  <si>
    <t>https://www.marklines.com/en/global/3879</t>
    <phoneticPr fontId="1"/>
  </si>
  <si>
    <t>On August 1, JSC Chery Automobiles Rus announced that OMODA Russia will introduce and start sales of the JAECOO brand in September 2023. The car is also being prepared for launch in Eastern Europe and then will appear in Central and South America, the Middle East, Australia, and other regions. The new crossover JAECOO J7 has impeccable off-road performance, thanks to the unique ARDIS (All road drive intelligent system) system. The JAECOO J7 multimedia system is based on the high-performance Qualcomm 8155 chip and features a large 14.8-inch interactive display.</t>
    <phoneticPr fontId="1"/>
  </si>
  <si>
    <t>https://www.marklines.com/en/global/10748</t>
    <phoneticPr fontId="1"/>
  </si>
  <si>
    <t>Pathum Thani</t>
    <phoneticPr fontId="1"/>
  </si>
  <si>
    <t>Reported on August 1, Topbest Co., Ltd., the sole manufacturer, and distributor of MAN Truck &amp; Bus in Thailand, is building a THB 3 billion assembly plant for MAN Truck &amp; Bus’s commercial vehicles. Construction is scheduled to be completed by the end of 2023, with around 700 new jobs to be created. Situated in Rangsit, Pathum Thani province, spanning an area of 100-rai (around 160,000 sqm), the new plant’s planned annual production capacity is 8,000 units (6,000 truck bodies and 2,000 bus bodies). The company planned to sell commercial vehicles locally, supported by tourism recovery, as well as in overseas markets. </t>
    <phoneticPr fontId="1"/>
  </si>
  <si>
    <t>On July 31, Verkor announced that the "Gigafactory Verkor" will rely on the technical expertise of 1,200 people to produce the batteries of tomorrow. It will be modeled on Industry 5.0, which is based on the fusion of the creativity and know-how of human beings with the productivity and speed of execution of machines and robots through the use of data. Its first Gigafactory will stand out as the most modern and efficient in the world thanks to data architecture and industrial digitalization at a level never before achieved. These solutions are designed by Verkor's internal teams and are currently being tested at the Verkor Innovation Center and the R&amp;D Lab before being deployed in mass production at the Gigafactory in Dunkirk.</t>
    <phoneticPr fontId="1"/>
  </si>
  <si>
    <t>On July 31, Nikola announced in a social media post that it has officially started production of its Class 8 hydrogen fuel cell electric trucks at the plant in Coolidge, Arizona. On August 2, Nikola announced that it had 202 sales orders for its FCEV trucks from 18 customers.</t>
    <phoneticPr fontId="1"/>
  </si>
  <si>
    <t>On July 31, Stellantis presented the ethanol engine it has been developing at its Betim plant for the light vehicle segment. Technical details regarding the engine, as well as which models it may appear in, are not yet known. Differing from a flex-fuel engine, Stellantis created the engine to run on pure ethanol through improved thermal dynamics of the engine, application of a variable geometry turbocharger and new injection parameters. In 2019, then FCA - Fiat Chrysler Automóveis announced BRL 500 million for the production of engines in Betim, one of which was to be a turbo ethanol engine named E4.</t>
    <phoneticPr fontId="1"/>
  </si>
  <si>
    <t>https://www.marklines.com/en/global/9927</t>
    <phoneticPr fontId="1"/>
  </si>
  <si>
    <t>Miyagi</t>
  </si>
  <si>
    <t>Primearth EV Energy Co., Ltd. announced on July 28 that it has expanded the area of solar panels on the roof of its Miyagi Plant. This has increased the system capacity from 400 kW to 1,690 kW and increased the annual CO2 reduction from approximately 185 tons to approximately 785 tons. The company has set a target of being 'plant carbon neutral by 2035' and is working to reduce CO2 emissions.</t>
    <phoneticPr fontId="1"/>
  </si>
  <si>
    <t>Toyota added the RX350h to the new Lexus RX line-up and launched it in Japan on July 27. The new 5th-generation RX is a luxury crossover SUV that was fully remodelled in 2022. Of the complete RX500h/RX450h+/RX350h/RX lineup, the RX350h is the only model whose introduction onto the Japanese market has been delayed. The RX350h adopts a hybrid system that combines a highly efficient 2.5-liter in-line four-cylinder engine and motor for its powertrain. The drive system is available as either FWD or E-Four (motor-driven AWD). All new RX models for Japan, including the RX350h, are produced at Toyota Motor Kyushu, Inc.'s Miyata Plant.</t>
    <phoneticPr fontId="1"/>
  </si>
  <si>
    <t>On July 26, Mitsubishi Fuso Truck and Bus Corporation (MFTBC) announces it has signed an agreement with US-based startup Ample Inc. to begin a collaboration on a pilot project on battery swapping technology for electric trucks in Japan. The all-new electric light-duty truck “eCanter”, launched in March in Japan, will be used in the first test deployment. The two companies will install an eCanter with Ample modular batteries that can be automatically exchanged at Ample battery swapping stations in a target time of five minutes. The vehicle’s trial on public roads is scheduled for this winter in Japan.</t>
    <phoneticPr fontId="1"/>
  </si>
  <si>
    <t>https://www.marklines.com/en/global/27</t>
    <phoneticPr fontId="1"/>
  </si>
  <si>
    <t>Taiwan</t>
    <phoneticPr fontId="1"/>
  </si>
  <si>
    <t>Honda Taiwan Co., Ltd., held a press preview of the all-new CR-V (SUV), the sixth generation model to be locally produced, on July 19. The pre-order price ranges from TWD 1.08 million to TWD 1.28 million with the model officially being launched in August. The new CR-V is 4,690 mm long (+65 mm compared to the current model) x 1,865 mm wide (+10 mm) x 1,680 mm high (±0 mm) and has a wheelbase of 2,700 mm (+40 mm). In addition to a dynamic new design on the exterior, the A-pillar has been moved back and the side mirrors have been relocated from the base of the A-pillar to above the door to increase the driver's field of vision. The rear seats can slide 190 mm forward and back, and the backrest angle can be adjusted in 16 positions. The powertrain is powered by a 1.5-liter direct injection VTEC turbo engine (maximum output 193 PS / maximum torque 24.8 kg-m) that delivers maximum torque from a lower rpm than the current model and is combined with a CVT. Fuel economy is 15.0 km/L (VTi-S/S grade) and 14.7 km/L (Prestige grade). All models are also equipped with Honda SENSING, an advanced driving safety support system with millimeter-wave radar with a wider viewing angle (120 degrees), and the S/Prestige grade is the first to adopt Honda CONNECT, a new generation of connected technology.</t>
    <phoneticPr fontId="1"/>
  </si>
  <si>
    <t>On August 2, AvtoVAZ announced that in the coming months, it will increase the rate of production of new cars, accelerating "Line No. 1 (Vesta)" to 40 cars per hour, and "Line No. 5 (Granta)" - up to 52 cars per hour. The company confirms its plan to produce more than 400,000 vehicles in 2023. During seven months of the current year, 172,996 LADA cars were sold in Russia, which is two times more than in the same period last year, when the Russian car market was going through a severe crisis.</t>
    <phoneticPr fontId="1"/>
  </si>
  <si>
    <t>Mahindra &amp; Mahindra</t>
    <phoneticPr fontId="1"/>
  </si>
  <si>
    <t>Pininfarina</t>
    <phoneticPr fontId="1"/>
  </si>
  <si>
    <t>https://www.marklines.com/en/global/1367</t>
    <phoneticPr fontId="1"/>
  </si>
  <si>
    <t>On August 1, Automobili Pininfarina unveiled its new Pura Vision design concept, an electric Luxury Utility Vehicle (e-LUV). Pura Vision e-LUV will make its public debut at Monterey Car Week from August 17th to August 20th, 2023, along with the company's newly revealed Battista Edizione Nino Farina hyper GT. The new Pura Vision e-LUV is designed and developed by Pininfarina at the same facility where the Battista hyper GT is assembled.</t>
    <phoneticPr fontId="1"/>
  </si>
  <si>
    <t>On August 1, Ford announced it has resumed production of the F-150 Lightning following a six-week shutdown to expand and retool the Rouge Electric Vehicle Center plant to triple annual production capacity to 150,000 units. The plant is scheduled to build more than 70,000 F-150 Lightning trucks in calendar year 2023. The Rawsonville Components Plant is ramping up battery pack production and the Van Dyke Electric Powertrain Center is increasing production of EV power units to match F-150 Lightning production.</t>
    <phoneticPr fontId="1"/>
  </si>
  <si>
    <t>https://www.marklines.com/en/global/2571</t>
    <phoneticPr fontId="1"/>
  </si>
  <si>
    <t>https://www.marklines.com/en/global/2577</t>
    <phoneticPr fontId="1"/>
  </si>
  <si>
    <t>https://www.marklines.com/en/global/2213</t>
    <phoneticPr fontId="1"/>
  </si>
  <si>
    <t>On July 31, BMW Group announced that its Regensburg plant is embracing electromobility, with 50 out of 160 cars being fully electric and equipped with charging points for green electricity. Additionally, employee parking lots at the Regensburg and Wackersdorf plants have over 200 AC charging points. The company plans to expand the charging infrastructure further, intending to have charging stations in all 110 parking spaces in the vehicle park next year. There are also considerations for installing a carport roof with a photovoltaic system to self-generate green electricity for charging. Furthermore, BMW Group will introduce its first all-electric works bus in September to reduce individual traffic and noise at their Upper Palatinate locations, leading to a yearly saving of around 3,000 tons of CO2 emissions.</t>
    <phoneticPr fontId="1"/>
  </si>
  <si>
    <t>https://www.marklines.com/en/global/839</t>
    <phoneticPr fontId="1"/>
  </si>
  <si>
    <t>On July 31, 28 years after Ram production began at the Saltillo Truck Assembly Plant, Stellantis announced the 5 millionth unit off the production line, a heavy duty Ram 2500 Power Wagon with a 6.4-liter V8 HEMI engine. More than 4,000 employees assemble Ram 1500 Classic and Heavy Duty models (2500, 3500, 4000, 4500 and 5500) in more than 100 versions.</t>
    <phoneticPr fontId="1"/>
  </si>
  <si>
    <t>https://www.marklines.com/en/global/10438</t>
    <phoneticPr fontId="1"/>
  </si>
  <si>
    <t>On July 31, Toyota decided to further strengthen the local R&amp;D of intelligentization and electrification technologies to provide satisfying and competitive electrified products for Chinese customers. The specific measures are as follows: (1) Toyota Motor Engineering &amp; Manufacturing (China) Co., Ltd., the largest Toyota R&amp;D site in China, will be officially renamed Intelligent ElectroMobility R&amp;D Center by Toyota (China) Co., Ltd. (IEM by Toyota) on August 1. (2) Engineers from the R&amp;D centers of three Toyota joint ventures in China (FAW Toyota Motor Co., Ltd., GAC Toyota Motor Co., Ltd., and BYD Toyota EV Technology Co., Ltd.) will be placed on R&amp;D projects led by IEM by Toyota. (3) In terms of electrification, the local R&amp;D of electrified vehicles (battery electric vehicles, plug-in hybrid electric vehicles, hybrid electric vehicles, and fuel cell electric vehicles) will be comprehensively strengthened. In addition, Denso Group (China) and Aisin (China) Investment Co., Ltd. will be involved in IEM by Toyota’s R&amp;D activities to accelerate the R&amp;D of electrified powertrains. (4) In terms of intelligentization, intelligent cockpits for a better user experience, as well as autonomous driving and advanced safety technologies that better fit the actual road conditions in China, will be designed and developed by making flexible use of space designs and AI technologies. (5) For both electrification and intelligentization, manufacturing costs will be significantly reduced through measures to “develop more local suppliers”, “improve parts designs”, and “reform manufacturing technologies and processes”.</t>
    <phoneticPr fontId="1"/>
  </si>
  <si>
    <t>https://www.marklines.com/en/global/3471</t>
    <phoneticPr fontId="1"/>
  </si>
  <si>
    <t>https://www.marklines.com/en/global/3493</t>
    <phoneticPr fontId="1"/>
  </si>
  <si>
    <t>Tianjin</t>
  </si>
  <si>
    <t>https://www.marklines.com/en/global/10030</t>
    <phoneticPr fontId="1"/>
  </si>
  <si>
    <t>https://www.marklines.com/en/global/10031</t>
    <phoneticPr fontId="1"/>
  </si>
  <si>
    <t>https://www.marklines.com/en/global/10029</t>
    <phoneticPr fontId="1"/>
  </si>
  <si>
    <t>https://www.marklines.com/en/global/2475</t>
    <phoneticPr fontId="1"/>
  </si>
  <si>
    <t>Production of the soon-to-be-discontinued sixth-generation 2024 Chevrolet Camaro will begin on August 7 at the GM Lansing Grand River plant in Michigan with a condensed list of available offerings. The production run for the 2024 Camaro will be shorter than a normal production run, with fewer units planned. Among the options no longer offered for the 2024 model year is the turbocharged 2.0-liter I4 LTG gasoline engine.</t>
    <phoneticPr fontId="1"/>
  </si>
  <si>
    <t>On July 28, VinFast officially broke ground at its EV manufacturing site, located within Triangle Innovation Point in Chatham County, North Carolina. The plant, which has a Phase 1 total investment of up to USD 2 billion, is divided into five main production areas, including body shop, general assembly, press shop, paint shop and an energy center, as well as other functional facilities within the factory premises. In the initial phase, the factory will focus on building VinFast’s VF 7, VF 8 and VF 9 electric with an expected production capacity of 150,000 vehicles per year starting in 2025.</t>
    <phoneticPr fontId="1"/>
  </si>
  <si>
    <t>https://www.marklines.com/en/global/9500</t>
    <phoneticPr fontId="1"/>
  </si>
  <si>
    <t>On July 28, BYD signed a strategic cooperation agreement with State Power Investment Corp. (SPIC). According to the agreement, the two parties will conduct comprehensive in-depth cooperation in such fields as clean energy, household energy storage, integrated intelligent zero-carbon power plants, technology R&amp;D, green energy replacement for industrial parks, and international businesses.</t>
    <phoneticPr fontId="1"/>
  </si>
  <si>
    <t>Nano</t>
    <phoneticPr fontId="1"/>
  </si>
  <si>
    <t>https://www.marklines.com/en/global/10725</t>
    <phoneticPr fontId="1"/>
  </si>
  <si>
    <t>On July 28, KZCF Auto announced the official signing of a strategic cooperation agreement with DFM Nano, a DFM subsidiary for New Energy Vehicles (NEVs). The two parties will conduct in-depth cooperation in various fields such as development of DFM Nano store networks to provide one-stop solutions of NEV use for China’s automotive after-market and ordinary families.</t>
    <phoneticPr fontId="1"/>
  </si>
  <si>
    <t>https://www.marklines.com/en/global/3451</t>
    <phoneticPr fontId="1"/>
  </si>
  <si>
    <t>On July 25, Changan Automobile Group presented the Changan CS75 crossover in Russia. It has a dimension of 4700x1865x1710 mm. It is equipped with a powerful 1.5-liter turbocharged engine with 178 hp. It generates 265 Nm of torque. The motor is paired with a six-speed Aisin automatic transmission that sends power to the front axle.</t>
    <phoneticPr fontId="1"/>
  </si>
  <si>
    <t>https://www.marklines.com/en/global/1659</t>
    <phoneticPr fontId="1"/>
  </si>
  <si>
    <t>On July 22, multiple sources reported that Stellantis is in advanced negotiations to sell its Bielsko-Biała plant to Polish Armaments Group (PGZ), a Polish state owned defence industry company. PGZ is planning to conduct financial and legal analyses, with the help of an external auditor, to assess the possibility of purchasing the Bielsko plant in Poland.</t>
    <phoneticPr fontId="1"/>
  </si>
  <si>
    <t>https://www.marklines.com/en/global/1173</t>
    <phoneticPr fontId="1"/>
  </si>
  <si>
    <t>Rajasthan</t>
  </si>
  <si>
    <t>On July 31, Honda Cars India announced that it started the production of the Honda Elevate at the Tapukara manufacturing plant in Rajasthan, India. It makes India the first country to manufacture the Elevate globally.</t>
    <phoneticPr fontId="1"/>
  </si>
  <si>
    <t>On July 31, multiple sources reported that AvtoVAZ has resumed car production after an unscheduled corporate holiday, which was started on July 26, 2023.</t>
    <phoneticPr fontId="1"/>
  </si>
  <si>
    <t>On July 31, Kama JSC opened pre-orders for the electric car "Atom". The car will be launched in 2025. The production will start in 2024. At present Kama has built 10 prototypes of this car. The car has a 77-kWh battery capacity. It will have a range of up to 500 km. In winter, Atom will be able to drive up to 400 km thanks to thermostatic and thermal control systems that are responsible for maintaining the optimum temperature of the power units and the passenger compartment. The car has a set of ADAS driver assistance systems of level 2.5.</t>
    <phoneticPr fontId="1"/>
  </si>
  <si>
    <t>https://www.marklines.com/en/global/493</t>
    <phoneticPr fontId="1"/>
  </si>
  <si>
    <t>Shizuoka</t>
  </si>
  <si>
    <t>On July 31, Maruti Suzuki India Limited announced its Board of Directors, approved the termination of the contract manufacturing agreement with Suzuki Motor Gujarat Private Limited (SMG) and exercising the option to acquire the shares of SMG from Suzuki Motor Corporation (SMC). Presently, SMC holds 100% equity capital of SMG which has a turnover of INR 318,525 million (FY 2022-23 ending March). The mode of acquisition including consideration to be paid to SMC shall be decided in a subsequent board meeting. In terms of actual production, logistics, sales, and the cost thereof, there will be no change as the cars earlier supplied by SMG as a contract manufacturer, will now continue to be supplied as before. Maruti Suzuki India Ltd (MSIL) mentioned that it would need to increase its production capacity to about 4 million cars per annum by 2030-31, almost double from current levels. This would happen over several locations, some of which are known and some being studied.</t>
    <phoneticPr fontId="1"/>
  </si>
  <si>
    <t>https://www.marklines.com/en/global/1251</t>
    <phoneticPr fontId="1"/>
  </si>
  <si>
    <t>Delhi</t>
  </si>
  <si>
    <t>https://www.marklines.com/en/global/9588</t>
    <phoneticPr fontId="1"/>
  </si>
  <si>
    <t>On July 31, JBM Auto Limited announced that JBM Electric Vehicles Private Limited, a subsidiary of the Company has commenced its commercial operation at its new Electric Buses manufacturing plant situated at 81 KM Milestone, Delhi – Agra Highway NH-2, Banchari, Palwal, Haryana - 121106. The facility is widespread over a 4 million square feet area and showcases state-of-the-art innovation centers and test labs with new-age materials, science and technologies, integrated electronics manufacturing, and a vendor park. Owing to the highest levels of automation, frugal engineering systems, digitalized processes with Industry 4.0, MES, and virtual manufacturing, this facility shall demonstrate the fastest time to market.</t>
    <phoneticPr fontId="1"/>
  </si>
  <si>
    <t>Seres</t>
    <phoneticPr fontId="1"/>
  </si>
  <si>
    <t>DFSK</t>
    <phoneticPr fontId="1"/>
  </si>
  <si>
    <t>https://www.marklines.com/en/global/9888</t>
    <phoneticPr fontId="1"/>
  </si>
  <si>
    <t>On July 31, Regal Automobiles Industries Limited announced that it signed an agreement with SF Motors to market and manufacture their EV cars in Pakistan under the brand name "Seres". Regal Automobiles and SF Motors plan to introduce two models in September 2023 for which CBU units have already been shipped. The booking for CKD units will commence in September end and deliveries will start in December 2023. The CKD operations for both cars will commence in November 2023.</t>
    <phoneticPr fontId="1"/>
  </si>
  <si>
    <t>On July 31, GM began shipping the new 2024 Chevrolet Blazer EV to U.S. dealers from its plant in Ramos Arizpe, Mexico. The Blazer EV RS AWD are followed with the RS RWD and 2LT AWD launching in fall 2023, with the SS trim, FWD variants of the RS and 2LT, and the Police Pursuit Vehicle coming in 2024.</t>
    <phoneticPr fontId="1"/>
  </si>
  <si>
    <t>On July 31, the NextStar Energy battery plant in Windsor, Canada announced it has begun hiring workers for its Windsor headquarters, as well as 100 engineers and technicians for the launch team. Production capacity is now planned for 49 GWh hours to focus on the higher-energy cells needed for BEVs and abandoning plans to also produce PHEV batteries. The module plant will hire 200 to 300 people that will begin in April 2024 with production in the plant starting at the beginning of July 2024. The cell plant will begin production in January 2025 and employ approximately 2,200 people when full production is reached at the end of that year.</t>
    <phoneticPr fontId="1"/>
  </si>
  <si>
    <t>Freightliner</t>
    <phoneticPr fontId="1"/>
  </si>
  <si>
    <t>https://www.marklines.com/en/global/3073</t>
    <phoneticPr fontId="1"/>
  </si>
  <si>
    <t>Oregon</t>
  </si>
  <si>
    <t>On July 31, Daimler Truck North America (DTNA) announced it is delivering three battery electric Freightliner eCascadia Class 8 trucks to Titan Freight Systems as the first of DTNA’s customers in Oregon. Additionally, Titan will receive three Freightliner eM2 medium-duty electric box trucks by the end of 2023. The eCascadias are built at the company’s Portland Truck Manufacturing Plant.</t>
    <phoneticPr fontId="1"/>
  </si>
  <si>
    <t>Lancia</t>
    <phoneticPr fontId="1"/>
  </si>
  <si>
    <t>On July 28, the managing director of Lancia confirmed the production of the first unit of its new Lancia Ypsilon in the Zaragoza plant, Spain. The official debut is scheduled for the first quarter of 2024.</t>
    <phoneticPr fontId="1"/>
  </si>
  <si>
    <t>On July 28, Stellantis announced that it has completed its 33.3% acquisition in Symbio. Faurecia and Michelin are also equal shareholders. The move marks a significant milestone in the effort to decarbonize the mobility industry, showcasing Symbio's technological excellence in hydrogen fuel cell innovations.</t>
    <phoneticPr fontId="1"/>
  </si>
  <si>
    <t>On July 27, Nanjing Lingxing Technology Co., Ltd. (T3 Go), a Chinese national core intelligent mobility platform, secured CNY hundreds of millions in a Series A+ financing from Hongtai Aplus. The funds raised will mainly be used for expansion of user and transport capacity scales, incubation of ecological products and services, and investment in the R&amp;D of commercial operation platforms for autonomous driving. Initiated by the Ministry of Industry and Information Technology of China, the State-owned Assets Supervision and Administration Commission of the State Council of China, and the Ministry of Science and Technology of China, and co-founded by the five leading industry players of FAW Group, Dongfeng Motor, Changan Auto, Tencent, and Alibaba, T3 Go is dedicated to becoming a core operator in the era of autonomous driving.</t>
    <phoneticPr fontId="1"/>
  </si>
  <si>
    <t>https://www.marklines.com/en/global/3429</t>
    <phoneticPr fontId="1"/>
  </si>
  <si>
    <t>On July 27, Auman, a Foton Daimler sub-brand, held a new product launch, where a range of new products such as the new Auman Galaxy high-end heavy-duty truck, the Xinghui version of the Auman EST, and the Auman iBlue bottom battery swapping heavy-duty truck were officially launched. Concurrently, Foton Cummins launched the next-generation Fukang A Pro series engines specially developed for Auman, which cover displacements from 8.5L to 15L and meet four stages of fuel consumption standards, with another 10% enhancement in fuel saving performance. In addition, the Super Power Chain 4.0 for Auman heavy-duty trucks was officially unveiled.</t>
    <phoneticPr fontId="1"/>
  </si>
  <si>
    <t>https://www.marklines.com/en/global/10684</t>
    <phoneticPr fontId="1"/>
  </si>
  <si>
    <t>Yutong</t>
    <phoneticPr fontId="1"/>
  </si>
  <si>
    <t>https://www.marklines.com/en/global/10540</t>
    <phoneticPr fontId="1"/>
  </si>
  <si>
    <t>On July 26, Yutong Group announced the signing of a strategic cooperation framework agreement with Hebei Langfang Transportation Group Co., Ltd. (Langfang Transportation) in Zhengzhou, Henan. The two parties will conduct comprehensive strategic cooperation on urban green logistics transportation to jointly promote the popularization and application of New Energy logistics vehicles such as buses and heavy-duty trucks in Langfang.</t>
    <phoneticPr fontId="1"/>
  </si>
  <si>
    <t>Voyah</t>
    <phoneticPr fontId="1"/>
  </si>
  <si>
    <t>https://www.marklines.com/en/global/9165</t>
    <phoneticPr fontId="1"/>
  </si>
  <si>
    <t>On July 26, the 2023 Junshan New City Promotion Event was held in the Wuhan Economic &amp; Technological Development Zone of Hubei Province (WEDZ), where Voyah signed a strategic cooperation agreement with Junshan New City. Voyah will build its headquarters in the “Heart of Auto Valley”. The WEDZ is making all-out efforts to build a modern auto valley industry taking Junshan New City as the strategic pivot.</t>
    <phoneticPr fontId="1"/>
  </si>
  <si>
    <t>On July 26, Farizon announced that the world’s first methanol-powered range-extended bus developed in-house by Geely Interstellar Bus, a Farizon sub-brand, officially rolled off the production line in Nanchong, Sichuan. This methanol-powered range-extended bus adopts the new methanol-based range extending hybrid technology and a low friction technology, with a high compression ratio of 12.5 and a thermal efficiency of up to 41.5%. The vehicle can automatically match the optimal control strategy in different driving scenarios.</t>
    <phoneticPr fontId="1"/>
  </si>
  <si>
    <t>On July 26, VW China announced that the VW brand signed a technological framework agreement with XPeng. In the early stage of cooperation, the two parties will co-develop two VW-branded electric vehicles (EVs) for China’s midsize vehicle segment, which will supplement the MEB-platform-based product portfolio and be based on both parties’ core capabilities and the XPeng G9 platform, with a launch planned in 2026. VW Group is investing approximately USD 700 million in XPeng and will ultimately hold about 4.99% stake in XPeng at USD 15 per ADS. Upon completion of the transaction, the Group will hold a seat as an observer on the XPeng board of directors. In addition, Audi signed a strategic memorandum with SAIC Motor, its Chinese joint venture partner, to further deepen their existing partnership. Through joint development, the two parties will expand the portfolio of intelligent connected EVs in the premium segment swiftly and efficiently. Audi will develop segments where it does not as yet have a presence in China by launching new EVs. EVs co-developed by both parties will come with state-of-the-art software and hardware. The two agreements both envisage the future joint development of a new local platform for next-generation intelligent connected vehicles. Volkswagen (China) Technology Co., Ltd., a recently established company, will become the development partner for XPeng.</t>
    <phoneticPr fontId="1"/>
  </si>
  <si>
    <t>https://www.marklines.com/en/global/9486</t>
    <phoneticPr fontId="1"/>
  </si>
  <si>
    <t>https://www.marklines.com/en/global/9485</t>
    <phoneticPr fontId="1"/>
  </si>
  <si>
    <t>On July 26, FAW Jiefang announced the holding of a ceremony for the signing of strategic cooperation agreements with ZTO Digital Logistics and FAW Logistics and for the delivery of the first ZTO Digital Logistics vehicles in Changchun, Jilin. The three parties will conduct long-term cooperation on such businesses as R&amp;D of vehicle interaction, development of customized New Energy solutions, innovation of cooperation models for the automotive after-market, and construction of an intelligent logistics service platform. At the ceremony, FAW Logistics signed a memorandum of cooperation with ZTO Digital Logistics.</t>
    <phoneticPr fontId="1"/>
  </si>
  <si>
    <t>On July 31, Dürr Group and Mercedes-Benz announced a partnership in the field of painting technology equipment to make vehicle painting CO2-free. The Mercedes-Benz paint shop in Sindelfingen is to be equipped with the latest technologies from Dürr in the coming years. Dürr is expected to receive the supply order from Mercedes-Benz next year. Further projects may follow. It is planned to reduce energy consumption per painted car body to less than 400 kilowatt hours. This represents an absolute record level and corresponds to less than half the current consumption. In addition, painting will be possible without fossil fuels in the future. Instead, energy needs are to be met by green electricity.</t>
    <phoneticPr fontId="1"/>
  </si>
  <si>
    <t>https://www.marklines.com/en/global/10715</t>
    <phoneticPr fontId="1"/>
  </si>
  <si>
    <t>Egypt</t>
    <phoneticPr fontId="1"/>
  </si>
  <si>
    <t>On July 28, multiple sources reported that AvtoVAZ is planning to resume the assembly of Lada at its Al Amal plant in Egypt in 2024. Assembled Lada in Egypt will be delivered to Africa. AvtoVAZ has resumed the negotiation process and hopes that Al Amal can become the transport and logistical hub for the entire African continent. It is also considering cooperation with other African nations, including Algeria.</t>
    <phoneticPr fontId="1"/>
  </si>
  <si>
    <t>On July 27, IVECO announced that it will produce and market heavy-duty battery electric vehicles (BEV) and heavy-duty fuel cell electric vehicles (FCEV) under its brand, following the acquisition of the German company formerly known as Nikola Iveco Europe. IVECO HD BEV and FCEV feature an electric axle by FPT Industrial, batteries from Proterra, and fuel cell technology from Bosch. These born-electric vehicles are based on the IVECO S-Way truck platform, specially redesigned for both fuel cell and battery propulsion. Both vehicles are manufactured in Ulm, Germany, and will be marketed and supported by IVECO's extensive dealer network across Europe.</t>
    <phoneticPr fontId="1"/>
  </si>
  <si>
    <t>Alpine</t>
    <phoneticPr fontId="1"/>
  </si>
  <si>
    <t>https://www.marklines.com/en/global/167</t>
    <phoneticPr fontId="1"/>
  </si>
  <si>
    <t>On July 27, Renault announced that Alpine is using linen instead of carbon in parts for Alpine A110 E-ternité prototype. The shift to linen, a natural and lightweight material sourced locally in Normandy near Alpine's birthplace in Dieppe. Linen is utilized in various parts like the bonnet, roof, rear window, seat shells, and future rear skirt, offering benefits such as bio-sourced origin, lower energy-intensive production compared to carbon, and added features like low density, resistance, and acoustic properties. The prototype serves as a mobile testing lab for innovative ideas that will shape Alpine's Dream Garage. It maintains the agility that made the lightest electric model in its class, weighing 1,378 kg with 392 kg of batteries, 258 kg heavier than the ICE A110.</t>
    <phoneticPr fontId="1"/>
  </si>
  <si>
    <t>https://www.marklines.com/en/global/1443</t>
    <phoneticPr fontId="1"/>
  </si>
  <si>
    <t>On July 27, Tofaş (Türk Otomobil Fabrikası A.S) announced the production of its 7-millionth vehicle at its automobile factory in Turkey. Tofaş, a joint venture between Koç Holding and Stellantis N.V., is a leading production and R&amp;D centre in Turkey, with approximately 6,000 employees and a production capacity of 450,000 units annually. The Fiat Egea Cross Wagon from the Egea model family was the 7 millionth vehicle produced at the Tofaş Factory.</t>
    <phoneticPr fontId="1"/>
  </si>
  <si>
    <t>https://www.marklines.com/en/global/9569</t>
    <phoneticPr fontId="1"/>
  </si>
  <si>
    <t>On July 25, JAC Group announced that JAC No. 1 Truck, its sub-brand, participated in 2023 Modern Logistics Innovation and Development Forum held in Hefei, Anhui with the latest New Energy Vehicles (NEVs) such as the Shuailing ES6 battery electric truck and the Lanmao M1 battery electric logistics vehicle. The Shuailing ES6 comes with a 100.46kWh CATL power battery, with a constant-speed range of 445km and an NEDC combined range of 280km. The vehicle has such functions as braking energy recovery. The Lanmao M1, a closed logistics NEV of JAC No. 1 Truck, has a CLTC range of 276km.</t>
    <phoneticPr fontId="1"/>
  </si>
  <si>
    <t>According to multiple press releases dated July 25, in view of the recent production situation, GAC Toyota has terminated contracts with about 1,000 dispatched employees in advance in accordance with its agreement with the labor dispatching company. The automaker will provide financial compensation for the laid-off employees in accordance with the law and recommend re-employment positions to them in conjunction with the labor dispatching company.</t>
    <phoneticPr fontId="1"/>
  </si>
  <si>
    <t>On July 24, SAIC Motor announced that IM Motors recently unveiled an all-domain 800V dual silicon carbide platform, which will be first equipped in the LS6, its third new vehicle, and will be mass produced and launched in 2023. The 4WD version of the LS6 is equipped with dual silicon carbide electric drives in the front and rear, with a maximum power of 579kW (379kW for the rear one), a peak torque of 800Nm, a maximum speed of 252km/h, and a 0 to 100km/h acceleration time of less than 3.5 seconds. All power elements of the vehicle, such as the battery, the motor, the electronic controller, the thermal management system, and the charging system, operate at 800V. The 800V version of the LS6 has a maximum charging power of 396kW and a maximum operating voltage of 875V. The model will be unveiled at Chengdu Motor Show 2023.</t>
    <phoneticPr fontId="1"/>
  </si>
  <si>
    <t>https://www.marklines.com/en/global/3611</t>
    <phoneticPr fontId="1"/>
  </si>
  <si>
    <t>On July 22, Great Wall Motor (GWM) introduced the TANK 500 in Kazakhstan. The TANK 500 combines intelligent off-road and luxury business tones. As a car market with an annual sales volume of more than 100,000 units, Kazakhstan is an important strategic support point for GWM to explore the Eurasian market.</t>
    <phoneticPr fontId="1"/>
  </si>
  <si>
    <t>On July 21, the People’s Government of Heilongjiang Province and Geely Group officially signed an agreement for strategic cooperation in such fields as manufacturing of commercial vehicles (CVs) and core parts, construction of methanol fuel production and refueling systems, promotion and application of New Energy Vehicles (NEVs) and methanol-powered vehicles, renewable energy, and New Energy transition of agricultural machinery and equipment. Geely Group will break ground on a New Energy specialty vehicle manufacturing site in Daqing, Heilongjiang that mainly manufactures methanol-powered vehicles, striving to build the province into a key manufacturing, promotion, and application site for methanol-powered CVs in China. Also, the two parties will co-build a “green and low-carbon methanol” preparation plant and jointly explore new methanol preparation methods such as straw biomass to methanol. On the same day, the Daqing Municipal Government signed a cooperation agreement on methanol-powered CVs with Geely New Energy Commercial Vehicles Group, and Heilongjiang Boneng Green Energy Technology Co., Ltd. signed a strategic cooperation agreement on green methanol with the Geely Collaborative Innovation Center.</t>
    <phoneticPr fontId="1"/>
  </si>
  <si>
    <t>https://www.marklines.com/en/global/2907</t>
    <phoneticPr fontId="1"/>
  </si>
  <si>
    <t>As of July 25,  the Renault plant in São José dos Pinhais, Brazil continues with a reduced production pace, operating on just one shift, with the second in lay-off until the domestic market returns to higher volumes. The company has been preparing the production line to begin the pre-production series of a new global SUV based on the CMF-B platform, with engine and transmissions also on schedule. The plant currently produces 380 units per day, or 75 vehicles per hour, with 60 of those being passenger vehicles, and 15 units being commercial vehicles.</t>
    <phoneticPr fontId="1"/>
  </si>
  <si>
    <t>Lotus</t>
    <phoneticPr fontId="1"/>
  </si>
  <si>
    <t>https://www.marklines.com/en/global/9860</t>
    <phoneticPr fontId="1"/>
  </si>
  <si>
    <t>On August 10, Lotus announced a significant increase in its order book with 17,000 units for its Electre hyper SUV and Emira, a mid-engine sports car. Lotus produced over 2,200 units of Emira models at its UK sportscar manufacturing facility, up by 321% compared to the same time in FY22, making Emira's order book fully booked for the next two years. The company also ramped up the production of the Electre SUV at its all-electric vehicle factory in China. Lotus began its deliveries for Electre SUV in China in March 2023 and expects to deliver to UK and European customers later this year.</t>
    <phoneticPr fontId="1"/>
  </si>
  <si>
    <t>https://www.marklines.com/en/global/2353</t>
    <phoneticPr fontId="1"/>
  </si>
  <si>
    <t>https://www.marklines.com/en/global/10660</t>
    <phoneticPr fontId="1"/>
  </si>
  <si>
    <t>https://www.marklines.com/en/global/2269</t>
    <phoneticPr fontId="1"/>
  </si>
  <si>
    <t>On August 9, Volkswagen Commercial Vehicles announced that it will carry out extensive modernization projects at the Hanover plant during the three weeks summer break. These aimed to maintain successful production of T6.1 until next summer while meeting production goals for ID. Buzz and Multivan. Over 550 measures were undertaken across the press shop, body shop, paint shop, and assembly including energy-saving and ergonomic system conversions. Notably, the paint shop saw the replacement of 6,500 lights with efficient LED lamps, resulting in an annual energy reduction of 1,100 megawatts. Full LED conversion is expected by year-end.</t>
    <phoneticPr fontId="1"/>
  </si>
  <si>
    <t>Opel</t>
    <phoneticPr fontId="1"/>
  </si>
  <si>
    <t>On August 9, Stellantis announced that it will unveil Opel Experimental concept, an electric crossover, at the IAA Mobility event in Munich from September 5 to 10, 2023. The vehicle is built on the Stellantis BEV platform in Rüsselsheim, Germany, following the tradition of innovative concept cars. It includes electric all-wheel drive, a streamlined silhouette, intelligent aero solutions like front and rear aero-flaps, and an adaptable rear diffuser for enhanced aerodynamics. Despite its compact exterior, the concept offers a roomy D-segment interior.</t>
    <phoneticPr fontId="1"/>
  </si>
  <si>
    <t>https://www.marklines.com/en/global/9279</t>
    <phoneticPr fontId="1"/>
  </si>
  <si>
    <t>Announced on August 9, the Indonesian Ministry of Industry welcomed Mitsubishi Motor Corporation (MMC)’s plan to add IDR 5.7 trillion in its Indonesian production activities, which will raise its annual capacity to 250,000 units in 2024. According to the ministry, the production of Minicab-MiEV BEV will start in December 2023.  Total production of MMC in Indonesia is projected to reach 176,000 units in 2023 and is targeted to tally 231,000 units in 2024. Its exports are expected to reach 98,000 units in 2024. MMC also added that the production of L300 pickup in Indonesia has been restarted since April 2023. Besides, the Indonesia-made Pajero Sport will be shipped to Australia in December 2023.</t>
    <phoneticPr fontId="1"/>
  </si>
  <si>
    <t>On August 9, Ford informed its workers in Cologne, Germany workers that it is postponing the market launch of its electric Explorer SUV by about half a year until summer 2024, citing new global drivetrain safety rules. Initial plans included slowly ramping up electric Explorer production through 2023, with a market launch expected to begin in early 2024.</t>
    <phoneticPr fontId="1"/>
  </si>
  <si>
    <t>On August 8, Stellantis announced refinements for the 2024 Fastback line to bring an even more sophisticated look, along with the recently launched Turbo 200 Automatic version. The Fiat Fastback is manufactured at the Betim plant in Brazil.</t>
    <phoneticPr fontId="1"/>
  </si>
  <si>
    <t>On August 10, Mitsubishi Motors made the world premiere of its all-new Xforce compact SUV at the 30th Gaikindo Indonesia International Auto Show (GIIAS). The Xforce will be first launched in Indonesia, where its production takes place, followed by other ASEAN countries such as Vietnam and the Philippines, as well as South Asia, Latin America, the Middle East, and Africa. Designed with the concept of Silky &amp; Solid, this SUV, which gets its powers from a 1.5L DOHC 16-valve MIVEC engine, paired with a CVT, has been developed to be ideal for ASEAN roads.</t>
    <phoneticPr fontId="1"/>
  </si>
  <si>
    <t>On August 9, Kamaz announced that it is testing two Russian-made passive industrial exoskeletons at its engine plant in Russia. Exoskeletons help workers to safely lift and hold heavy parts without fear of compression injury. Another exoskeleton design involves soft knee pads and elastomers - they protect the knees. The second exoskeleton was handed over to the workers of the thermogalvanic production which will help workers to load gears and shafts into thermal units. The Exoskeletons are under trial. Based on the feedback from the workshops, the issue of purchasing will be decided.</t>
    <phoneticPr fontId="1"/>
  </si>
  <si>
    <t>Cadillac</t>
    <phoneticPr fontId="1"/>
  </si>
  <si>
    <t>On August 9, Cadillac unveiled the first-ever all-electric 2025 Escalade IQ full-size SUV.  Pricing of the Escalade IQ will start at around USD 130,000 once regular production begins in summer 2024 at GM’s Factory ZERO, where it is built on the Ultium Platform, incorporating Ultifi software platform. </t>
    <phoneticPr fontId="1"/>
  </si>
  <si>
    <t>https://www.marklines.com/en/global/9270</t>
    <phoneticPr fontId="1"/>
  </si>
  <si>
    <t>On August 9, Kia revealed the all-new Kia K3. Produced in Nuevo Leon, Mexico, the all-new Kia K3 will be available in select markets starting from the fourth quarter of 2023, with a 1.6-liter four-cylinder engine mated to either either a six-speed manual or automatic transmission, 2.0-liter engine.In the new sporty GT-Line trim mated to a six-speed automatic transmission, or export-oriented 1.4-liter engine.</t>
    <phoneticPr fontId="1"/>
  </si>
  <si>
    <t>On August 8, Rivian noted that it produced 13,992 and delivered 12,640 vehicles in the second quarter, with the R1S SUV representing about 70% of total R1 production, bringing its half-year 2023 production at the plant in Normal, Illinois, to 23,387 vehicles. Rivian used in-house Enduro drive units as single motor variants in the EDV platform in Q1 2023, and began integrating the motors as Dual-Motor variants in the R1 platform during Q2 2023. Rivian is increasing its 2023 production guidance to 52,000 total units.</t>
    <phoneticPr fontId="1"/>
  </si>
  <si>
    <t>On August 7, multiple sources reported that AvtoVAZ will transfer the production of Lada Largus cars from Togliatti to a plant in Izhevsk by the second quarter of 2024. AvtoVAZ will produce a batch of 635 Lada Largus vehicles in August 2023. It will also produce an experimental batch of E-Largus electric vehicles in Izhevsk before the end of 2023.</t>
    <phoneticPr fontId="1"/>
  </si>
  <si>
    <t>On August 7, Kamaz's employees started working after a paid two-week corporate vacation. The main assembly line of the company, suspended for this period, has been launched. Over the remaining working days of August, more than three thousand cars will be produced. The summer corporate vacation lasted from July 24 to August 6, 2023.</t>
    <phoneticPr fontId="1"/>
  </si>
  <si>
    <t>https://www.marklines.com/en/global/3363</t>
    <phoneticPr fontId="1"/>
  </si>
  <si>
    <t>On August 5, Jinbei Auto announced that on August 2, the Intermediate People’s Court of Shenyang (the Court) approved the “Plan for the Substantive Merger and Reorganization of 12 Enterprises Including Brilliance Auto Group Holdings Co., Ltd. (Brilliance Auto)” (the Plan). Shenyang Automobile Co., Ltd. (Shenyang Auto) will become an indirect controlling shareholder of Jinbei Auto, of which the actual controller will be changed to the State-owned Assets Supervision and Administration Commission of Shenyang Municipal Government. After this equity change, Shenyang Auto will acquire 100% of the reorganized Brilliance Auto and hold 40.09% of Jinbei Auto in aggregate. In addition, Liaoning M&amp;A Equity Investment Fund Partnership (Limited Partnership) (Liaoning M&amp;A Fund), the second largest shareholder of Jinbei Auto, intends to transfer no less than 10.10% shares of Jinbei Auto by such means as block trade and an agreed transfer within 30 days after the Court rules on the Plan. If Liaoning M&amp;A Fund completes the transfer of full shares within the time limit, Shenyang Auto’s aggregate shareholding of voting rights in Jinbei Auto will be reduced to less than 30%; if it fails, Shenyang Auto will make a general offer to all the remaining shareholders of Jinbei Auto in accordance with relevant laws and regulations.</t>
    <phoneticPr fontId="1"/>
  </si>
  <si>
    <t>Jinbei</t>
    <phoneticPr fontId="1"/>
  </si>
  <si>
    <t>https://www.marklines.com/en/global/3361</t>
    <phoneticPr fontId="1"/>
  </si>
  <si>
    <t>On August 5, Denza, a BYD sub-brand, announced the official launch of the plug-in hybrid version of the new N8 mid-to-large-size SUV. The plug-in hybrid version of the N8 is equipped with a Xiaoyun hybrid-dedicated 1.5T turbocharged engine (maximum power 102kW and peak torque 231Nm) and dual AC permanent magnet synchronous motors (160kW/325Nm for the front one and 200kW/350Nm for the rear one), mated to a 45.8kWh hybrid-dedicated blade battery, with an intelligent electric 4WD layout, a 0 to 100km/h acceleration time of only 4.3 seconds, an NEDC electric-mode range of 216km, an NEDC combined range of 1,030km, and an NEDC fuel consumption of 6.45L/100km at the lowest charge. The plug-in hybrid version of the N8 comes with the DiSus-C intelligent damping body control system, a differential lock, and a 100kg roof loading capacity. The vehicle comes standard with the Denza Pilot Level 2+ intelligent driving assistance system.</t>
    <phoneticPr fontId="1"/>
  </si>
  <si>
    <t>According to multiple press releases dated August 4, Zhejiang Geely Automotive Engineering Technology Development Co., Ltd. was established by Geely Automobile Research Institute (Ningbo) Co., Ltd. with a registered capital of CNY 30 million. The business scope includes research and testing of engineering technologies, R&amp;D of automotive parts, import and export of goods and technologies, and industrial design services.</t>
    <phoneticPr fontId="1"/>
  </si>
  <si>
    <t>https://www.marklines.com/en/global/3287</t>
    <phoneticPr fontId="1"/>
  </si>
  <si>
    <t>Volvo is recalling 172 Volvo brand vehicles and nine Mack Trucks, built between 2019 and 2023, to replace the batteries, following a fire in a battery that had been shipped to its New River Valley, Virginia assembly plant. The trucks are equipped with battery packs from Akasol. Breakage of rivnut inserts in assembly of the batteries may lead to debris inside the pack, which can short-circuit, increasing the risk of a fire.</t>
    <phoneticPr fontId="1"/>
  </si>
  <si>
    <t>On August 7, the Lucid Group reported Q2 revenue of USD 150.9 million on deliveries of 1,404 vehicles and that it is on track to manufacture more than 10,000 vehicles in 2023 at its plant in Casa Grande, Arizona. The Lucid Gravity SUV will be unveiled in November and begin production in late 2024. Start of production for the Lucid Air Sapphire and Lucid Air Pure Rear Wheel Drive is on track for mid-September.</t>
    <phoneticPr fontId="1"/>
  </si>
  <si>
    <t>On August 7, GM’s BrightDrop announced it is adding Mexico as the next country to receive its BrightDrop Zevo 400 and BrightDrop Zevo 600 electric vans, where they will be available for customers to order starting later in 2023. Production of the BrightDrop Zevo 600, at GM’s CAMI Assembly plant in Ontario, Canada, is currently ramping up with the BrightDrop Zevo 400 on track to begin in the next few months.</t>
    <phoneticPr fontId="1"/>
  </si>
  <si>
    <t>https://www.marklines.com/en/global/2953</t>
    <phoneticPr fontId="1"/>
  </si>
  <si>
    <t>Uruguay</t>
    <phoneticPr fontId="1"/>
  </si>
  <si>
    <t>The Fiat Titano medium-sized pickup is seen to have begun production at the Nordex Plant in Montevideo, Uruguay, alongside the Peugeot Landtrek, which has been in production for a while. The two models, based on the Changan Hunter, share the same platform and majority of their components, with the main differences being design cues such as grille, badging and wheels. The official launch of the Fiat Titano is scheduled for the second half of 2023.</t>
    <phoneticPr fontId="1"/>
  </si>
  <si>
    <t>On August 4, Volkswagen Commercial Vehicles announced that the production version of the new California is set to be manufactured at the German VWCV plant in Hanover starting in 2024. For the first time, the concept van introduces plug-in hybrid technology, providing enhanced flexibility and comfort on the road.</t>
    <phoneticPr fontId="1"/>
  </si>
  <si>
    <t>https://www.marklines.com/en/global/10472</t>
    <phoneticPr fontId="1"/>
  </si>
  <si>
    <t>On August 7, BYD UK and Alexander Dennis, a subsidiary of NFI Group Inc., announced that their partnership has officially handed over their 1,500th electric bus, a BYD-Alexander Dennis Enviro200EV, to Go-Ahead London. The 1,500th BYD-Alexander Dennis electric bus is one of nearly 300 buses joining Go-Ahead London this year. Go-Ahead London is the partnership's largest single customer, with 577 Enviro200EV single-deckers and Enviro400EV double-deckers in total, either delivered or on order.</t>
    <phoneticPr fontId="1"/>
  </si>
  <si>
    <t>On August 4, Nikola Corp. reported that it produced 33 BEV trucks and delivered 45 BEV trucks to wholesalers, with 66 retail sales, in the second quarter. Nikola officially began serial production of the hydrogen fuel cell electric truck on July 31, with the first customer deliveries are expected to take place in September. In Coolidge, Arizona, the Phase 2 assembly expansion has been completed with the new BEV-FCEV mixed-model line capable of building 2,400 trucks per year on three shifts. Fuel cell power modules utilized in FCEV trucks in 2023 will be built and shipped to Coolidge by Bosch.</t>
    <phoneticPr fontId="1"/>
  </si>
  <si>
    <t>On August 4, Nissan announced that production of its Titan full-size pickup is scheduled to end in summer 2024 at the Canton plant in Mississippi. The move will support production of two all-new, Nissan and Infiniti-branded EVs there starting in 2025. Nissan sold 12,414 units in the first seven months of 2023.</t>
    <phoneticPr fontId="1"/>
  </si>
  <si>
    <t>https://www.marklines.com/en/global/9538</t>
    <phoneticPr fontId="1"/>
  </si>
  <si>
    <t>On August 3, Neta Auto announced the official launch of the Neta AYA, the replacement model of the Neta V. Positioned as a 5-seater small battery electric SUV. The Neta AYA has an FWD layout and is equipped with a permanent magnet synchronous motor (maximum power 40kW or 70kW and peak torque 110Nm or 150Nm), with a CLTC combined range of 318km or 401km, a minimum 0 to 50km/h acceleration time of 4.1 seconds. </t>
    <phoneticPr fontId="1"/>
  </si>
  <si>
    <t>https://www.marklines.com/en/global/10525</t>
    <phoneticPr fontId="1"/>
  </si>
  <si>
    <t>https://www.marklines.com/en/global/10404</t>
    <phoneticPr fontId="1"/>
  </si>
  <si>
    <t>On July 31, production of the BrightDrop Zevo 600 van resumed at the GM CAMI Assembly Plant in Ingersoll, Ontario after being halted for two weeks due to a shortage of assembled EV batteries coming from the Ultium Cells plant in Lordstown, Ohio. CAMI has been operating for some time with only one shift instead of three, with the other two shifts laid off. GM has started an expansion to the CAMI plant that will enable on-site assembly of Ultium batteries by Q2 2024. Battery cells will be manufactured at Ultium Cells plants and assembled into vehicle packs at CAMI, for use either in BrightDrop vans or sent to GM’s other EV production facilities.</t>
    <phoneticPr fontId="1"/>
  </si>
  <si>
    <t>Mahindra</t>
    <phoneticPr fontId="1"/>
  </si>
  <si>
    <t>https://www.marklines.com/en/global/1214</t>
    <phoneticPr fontId="1"/>
  </si>
  <si>
    <t>On August 4, Mahindra &amp; Mahindra Ltd. announced that its board of directors approved the scheme of merger by absorption of Mahindra Heavy Engines Limited (MHEL) and Mahindra Two Wheelers Limited (MTWL) and Trringo.com Limited (TCL), wholly owned subsidiaries of the company, with the company and their respective shareholders. The entire assets and liabilities of MHEL, MTWL, and TCL will be transferred to and recorded by the company at their carrying value. As of March 31, 2023, the net worth of MHEL, MTWL, and TCL was reported as INR 7.5 billion, INR 2.41 billion, and INR 1.92 million respectively.</t>
    <phoneticPr fontId="1"/>
  </si>
  <si>
    <t>https://www.marklines.com/en/global/1195</t>
    <phoneticPr fontId="1"/>
  </si>
  <si>
    <t>ZEEKR</t>
    <phoneticPr fontId="1"/>
  </si>
  <si>
    <t>https://www.marklines.com/en/global/10387</t>
    <phoneticPr fontId="1"/>
  </si>
  <si>
    <t>On August 3, Zeekr, a Geely sub-brand for high-end electric vehicles, announced that the first batch of the European version of the Zeekr 001 luxury battery electric coupe officially rolled off the production line at the Zeekr Intelligent Plant in Hangzhou Bay, Ningbo, and is about to be delivered to Europe. After the Netherlands and Sweden, Zeekr will enter core Western European countries such as Norway, Germany, Denmark, and France in the future.</t>
    <phoneticPr fontId="1"/>
  </si>
  <si>
    <t>On August 2, multiple sources reported that Stellantis' Vigo factory will halt part of its production on August 4, 2023, due to a shortage of essential components for vehicle assembly. The plant 2 at the Balaídos factory, responsible for assembling vans for various consortium brands, will be inactive across all three shifts. The suspension is a result of force majeure, caused by the lack of supplies.</t>
    <phoneticPr fontId="1"/>
  </si>
  <si>
    <t>On August 2, Newrizon, an emerging automaker in the field of New Energy commercial vehicles, announced the official launch of the new iC1 intelligent connected battery electric light-duty truck. The iC1 is equipped with an 85.4kWh battery and an in-house developed battery management system, and a combined range of over 255km. The VEOS energy saving technology achieves a power consumption of less than 34kWh/100km and delivers both charging and battery swapping solutions. The iC1 comes with multiple intelligent safety assistance functions such as EPB (Electronic Parking Brake).</t>
    <phoneticPr fontId="1"/>
  </si>
  <si>
    <t>On August 1, Stellantis demonstrated three different alternatives of bio-hybrid architecture on three of the company's current platforms, as well as a BEV platform, at the Polo Automotivo de Betim. The four platforms developed at Tech Center Stellantis in Porto Real for Brazil, include a Bio-Hybrid platform, Bio-Hybrid e-DCT platform, Bio-Hybrid Plug-in platform, and 100% BEV platform.</t>
    <phoneticPr fontId="1"/>
  </si>
  <si>
    <t>Citroen</t>
    <phoneticPr fontId="1"/>
  </si>
  <si>
    <t>On August 15, the Galaxy division of Geely Auto announced that it will unveil the Galaxy L6, a new compact plug-in hybrid sedan, on August 25, the opening day of the 2023 Chengdu Motor Show. Geely Galaxy will also open reservations for the sedan on that day. The Galaxy L6 marks China's first plug-in hybrid sedan developed based on an AI large model. It uses a Qualcomm Snapdragon 8155 SoC (System on Chip) and a "Star Wisdom Computing Center" with a total cloud computing power of 810,000 trillion operations per second. The Galaxy L6 rides on the e-CMA intelligent hybrid architecture. It is equipped with a new-generation NordThor Hybrid 8848 system (consisting of NordThor Hybrid Engine BHE15 Plus and 3-speed DHT Pro) and an Aegis battery safety system. Its motor delivers a maximum power output of 120kW and a peak torque of 255Nm, coupled with P1/P2 dual-motor architecture. It can accelerate 0-100 km/h in 6.3 seconds. Under the WLTC standard, it consumes 4.55L of fuel per 100km at the lowest charge and supports a combined range of more than 1,300km. The Galaxy L6 features the Wow Wallpaper, the first generative AI product in the industry. AI technology is used to support the development of vehicle safety, NVH, performance and other fields.</t>
    <phoneticPr fontId="1"/>
  </si>
  <si>
    <t>Kaicene</t>
    <phoneticPr fontId="1"/>
  </si>
  <si>
    <t>https://www.marklines.com/en/global/3539</t>
    <phoneticPr fontId="1"/>
  </si>
  <si>
    <t>On August 15, Changan Kaicene announced the official launch of the new Changan Shenqi T30 EV intelligent small battery electric truck. The Changan Shenqi T30 EV is equipped with either a 40kW or 85kW Suzhou Inovance motor, mated to a 57.6kWh Gotion High-tech iron carbonate battery.</t>
    <phoneticPr fontId="1"/>
  </si>
  <si>
    <t>On August 14, Evergrande Auto announced that it received an approximate USD 500 million strategic investment from NWTN Inc. (NWTN) headquartered in Dubai, UAE. The two parties signed a share subscription agreement that NWTN will hold about 27.50% of the total number of Evergrande Auto’s enlarged outstanding common shares, with the proposed transaction expected to close in Q4 2023. After receiving the investment, the automaker will fully advance the production and sales of the Hengchi 5 to quickly capture the market, and will further advance the R&amp;D and mass production of new models such as the Hengchi 6 and the Hengchi 7. Concurrently, the automaker will assist NWTN in boosting its development in the field of electric vehicles (EVs), and will make every effort in developing overseas markets leveraging NWTN’s high coverage of key markets such as the Middle East and North Africa.</t>
    <phoneticPr fontId="1"/>
  </si>
  <si>
    <t>Evergrande</t>
    <phoneticPr fontId="1"/>
  </si>
  <si>
    <t>https://www.marklines.com/en/global/9973</t>
    <phoneticPr fontId="1"/>
  </si>
  <si>
    <t>https://www.marklines.com/en/global/9336</t>
    <phoneticPr fontId="1"/>
  </si>
  <si>
    <t>On August 14, Zhengzhou Nissan announced the official launch of the next-generation Paladin mid-to-large-size off-road SUV. The next-generation Paladin comes standard with 12 features such as ESC (Electronic Stability Control), and some models are equipped with such features as tank U-turn.</t>
    <phoneticPr fontId="1"/>
  </si>
  <si>
    <t>On August 14, the “Strategic Cooperation Project on Automotive Robots” between Geely Holding Group and Baidu saw significant progress, with Jiyue, a new Geely Holding Group sub-brand for high-end intelligent automotive robots, officially unveiled. The brand officially named its first model “Jiyue 01”, which integrates Geely’s leading SEA architecture and supply chain with Baidu’s AI technologies, and is expected to be launched in Q4 2023. Geely Holding Group and Baidu will continue to fully support the technology R&amp;D and product application of automotive robots to establish a system integrating high-end intelligent manufacturing and leading AI technologies.</t>
    <phoneticPr fontId="1"/>
  </si>
  <si>
    <t>https://www.marklines.com/en/global/10391</t>
    <phoneticPr fontId="1"/>
  </si>
  <si>
    <t>https://www.marklines.com/en/global/9511</t>
    <phoneticPr fontId="1"/>
  </si>
  <si>
    <t>On August 14, Rising Auto officially released its battery, motor, and electronic controller technology system and officially commissioned its first cooperative battery swapping station in Beijing. Rising Auto pioneered the CTP (Cell To Pack, i.e., module-less battery pack) double-layer horizontal battery cell arrangement, where the battery cells are placed in groups of two in the battery compartment, and the contact area between the battery cells is reduced by 70% to avoid the domino effect of thermal runaway and enable enhanced safety, a longer service life, and higher integration for the battery. No thermal runaway has occurred in over 150,000 automotive Rubik’s Cube batteries with this technology worldwide. Also, the automaker took the initiative to participate in the authoritative UL 2580 certification, proving that its battery system will not catch fire in 60 minutes in the event of battery cell thermal runaway. Batteries adopting the horizontal battery cell arrangement are co-developed by SAIC Motor and CATL, notably extending the cycle life of the battery cells in conjunction with the NCM523 electrochemical system for horizontal battery cells. The industry-unique flexible constraint structural adhesive greatly reduces the loss of active lithium and effectively extends the service life of the battery cells.</t>
    <phoneticPr fontId="1"/>
  </si>
  <si>
    <t>https://www.marklines.com/en/global/9510</t>
    <phoneticPr fontId="1"/>
  </si>
  <si>
    <t>Rising Auto</t>
    <phoneticPr fontId="1"/>
  </si>
  <si>
    <t>https://www.marklines.com/en/global/10494</t>
    <phoneticPr fontId="1"/>
  </si>
  <si>
    <t>https://www.marklines.com/en/global/3977</t>
    <phoneticPr fontId="1"/>
  </si>
  <si>
    <t>On August 12, Dongfeng Motor (DFM) announced that Dongfeng Aeolus officially launched the hybrid and ICE versions of the new Haohan compact SUV. The Haohan is equipped with a Mach Power 1.5T turbocharged engine, with a maximum power of 215kW and 150kW and a peak torque of 565Nm and 305Nm for the DH-i hybrid and ICE versions, respectively. The world’s first 4-speed intelligent hybrid transmission and a Getrag 7-speed wet dual-clutch transmission complete the powertrains of both versions, with an FWD layout and respective NEDC minimum combined fuel consumptions of 4.2L/100km and 5.7L/100km. The DH-i hybrid version has a 0 to 100km/h acceleration time of 6 seconds. The Haohan comes standard with such features as EPB (Electronic Parking Brake). Some models are available with such features as a Level 2 intelligent driving assistance system.</t>
    <phoneticPr fontId="1"/>
  </si>
  <si>
    <t>https://www.marklines.com/en/global/9099</t>
    <phoneticPr fontId="1"/>
  </si>
  <si>
    <t>On August 11, Automotive Intelligence and Control of China Co., Ltd. (AICC) announced that it recently formed a technology partnership with FAW Hongqi for computing platform development systems. According to the agreement, the two parties will conduct in-depth cooperation on the AICC computing platform development system, which will be used for the development, integration, and testing of the intelligent driving application for an FAW Hongqi in-house developed model to support the automaker in polishing its mass-produced intelligent driving applications. The AICC computing platform development system for intelligent connected vehicles consists of the ICVHW domain controller, the ICVOS intelligent driving operating system, and a graphical developer.</t>
    <phoneticPr fontId="1"/>
  </si>
  <si>
    <t>https://www.marklines.com/en/global/10437</t>
    <phoneticPr fontId="1"/>
  </si>
  <si>
    <t>On August 11, JAC held a departure ceremony for the first electric pickup trucks to be exported to Thailand, a key market in Southeast Asia and a key JAC overseas strategic market. The automaker realized the introduction and testing of the prototype of its electric pickup truck in early 2023 and participated in the 44th Bangkok International Motor Show in the same year as the only enterprise attending with electric pickup trucks.</t>
    <phoneticPr fontId="1"/>
  </si>
  <si>
    <t>https://www.marklines.com/en/global/9303</t>
    <phoneticPr fontId="1"/>
  </si>
  <si>
    <t>Announced on July 31, Hyundai Thanh Cong Vietnam officially distributed the Vietnam-made electric car model IONIQ 5 with the selling price from VND 1.3 billion (including VAT). Thanh Cong introduced the IONIQ 5 in 2022 and thanks to the positive feedback received from the market, the IONIQ 5 is now officially produced at the Hyundai Thanh Cong factory, marking the first time that a high-tech EV of Hyundai Motor has been produced in Vietnam. Built on the E-GMP platform, the IONIQ 5 Exclusive variant and the Prestige variant are equipped with a 58-kWh battery and a 72.6-kWh battery respectively.</t>
    <phoneticPr fontId="1"/>
  </si>
  <si>
    <t>On August 18, Bentley announced the launch of the Bentayga Extended Wheelbase Mulliner at Monterey Car Week in California. The Bentayga EWB Mulliner flagship is powered by Bentley’s 4.0-litre, 32-valve dual twin-scroll turbocharged V8 petrol engine, mated to an eight-speed automatic gearbox, powering all four wheels. The Bentayga EWB Mulliner is built by British craftsmen at its plant in Crewe.</t>
    <phoneticPr fontId="1"/>
  </si>
  <si>
    <t>Acura</t>
    <phoneticPr fontId="1"/>
  </si>
  <si>
    <t>On August 17, Acura debuted the all-electric 2024 Acura ZDX and ZDX Type S in California. Pre-sale will start later in 2023, with first client deliveries in early 2024. The all-new ZDX is designed at the Acura Design Studio in Los Angeles and co-developed with GM utilizing the highly flexible global EV platform powered by Ultium batteries. It is 197.7 inches long, 77.0 inches wide, and 64.4 inches high, with a 121.8-inch wheelbase.</t>
    <phoneticPr fontId="1"/>
  </si>
  <si>
    <t>https://www.marklines.com/en/global/3041</t>
    <phoneticPr fontId="1"/>
  </si>
  <si>
    <t>On August 17, Ford debuted the all-new 2025 Mustang GTD, as a street legal version of the Mustang GT3 car built by Canada’s Multimatic. The Mustang GTD, powered by an 800 hp supercharged 5.2-liter V8 engine, will be available for special order with deliveries coming in late 2024 or early 2025. Production of the car will begin at the Flat Rock plant that builds regular Mustangs before being shipped to Multimatic, which recently finished production of the USD 500,000 Ford GT super car.</t>
    <phoneticPr fontId="1"/>
  </si>
  <si>
    <t>Lincoln</t>
    <phoneticPr fontId="1"/>
  </si>
  <si>
    <t>https://www.marklines.com/en/global/2617</t>
    <phoneticPr fontId="1"/>
  </si>
  <si>
    <t>The all-new 2024 Lincoln Nautilus, which debuted in April, is currently scheduled to begin production at the Changan Ford Hangzhou Assembly plant in China on September 6 for the Chinese market and its planned North American launch in early 2024. Current production of the Lincoln Nautilus and Ford Edge at the Oakville Assembly plant in Canada is being replaced by all-electric versions of the Ford Explorer and Lincoln Aviator starting in 2025.</t>
    <phoneticPr fontId="1"/>
  </si>
  <si>
    <t>https://www.marklines.com/en/global/8742</t>
    <phoneticPr fontId="1"/>
  </si>
  <si>
    <t>On August 16, VW announced that the lay-off of the second shift at its São José dos Pinhais plant, which was expected to run until September, will continue to the end of October. The second shift team of 437 employees has been inactive since June due to a shortage of parts which has allowed only the first shift to remain working as production levels of the popular VW T-Cross have been reduced.</t>
    <phoneticPr fontId="1"/>
  </si>
  <si>
    <t>https://www.marklines.com/en/global/9102</t>
    <phoneticPr fontId="1"/>
  </si>
  <si>
    <t>On August 18, JAC Motors South Africa presented the T8 2.0L CTI Super Lux double-cab. The T8 is manufactured in China, and exported to over 40 left- and right-hand-drive countries. It has a 2.0-liter common-rail turbo-diesel engine with an intercooler and "Electrical Variable Geometry Turbocharger (EVGT)". It delivers 104 kW power and 320 Nm torque. The engine is mated to a 6-speed manual transmission.</t>
    <phoneticPr fontId="1"/>
  </si>
  <si>
    <t>Production of the current Nissan Frontier in Canton, Mississippi has been extended two years to the 2029 model year, according to a supplier memo that notes Nissan’s plans to build 81,339 Frontiers for the 2028 model year and 65,599 for the 2029 model year. Nissan is investing USD 500 million at the Canton plant to initially support production of two all-new Nissan and Infiniti brand EV sedans starting in 2025. The full-size Titan pickup is ending production in Canton at the end of the 2024 model year.</t>
    <phoneticPr fontId="1"/>
  </si>
  <si>
    <t>https://www.marklines.com/en/global/3141</t>
    <phoneticPr fontId="1"/>
  </si>
  <si>
    <t>Alabama</t>
  </si>
  <si>
    <t>On August 16, Hyundai Motor Manufacturing Alabama announced it is investing USD 290 million in its plant in Montgomery for SUV production. It has designated USD 190 million for tooling and upgrades to prepare for production of the all-new fifth generation Santa Fe that begins later in 2023, and USD 100 million for ongoing production of the Tucson SUV and Santa Cruz Sport Adventure Vehicle. Hyundai has invested USD 3.377 billion at the Montgomery plant since it opened.</t>
    <phoneticPr fontId="1"/>
  </si>
  <si>
    <t>On August 9, Toyota Motor Kyushu, Inc. suspended operations on the 2nd shift at the the Miyata Plant, which produces Lexus models, due to the approach of Typhoon No. 6. The plant resumed operations from the 1st shift on August 10.</t>
    <phoneticPr fontId="1"/>
  </si>
  <si>
    <t>Honda Taiwan Co., Ltd. (Honda Taiwan), announced the manufacturer's suggested retail price (MSRP) of the all-new CR-V, the sixth-generation model, on August 4. Prices range from TWD 1,059,000 to TWD 1,279,000 and the model will go on sale on August 12. To fully ensure high safety performance, the new model eliminates the current lowest grade VTi version (TWD 999,000) from the line-up. All grades are equipped with the advanced Honda SENSING driving safety support system, 10 SRS airbags, three-point ELR seatbelts for all five seats and other safety equipment, making them even better equipped than the current models. A new top-of-the-range Prestige grade is also available for high-end users, with new-generation connected technology "Honda CONNECT" (also available on the S grade), a Multi-View Camera System (MVCS),  a 12-speaker Bose sound system and more. The powertrain is powered by an advanced 1.5-liter direct injection VTEC turbo engine (maximum output 193 PS / maximum torque 24.8 kg-m), which delivers maximum torque from a lower rpm than the current model. A CVT transmission completes the powertrain. Fuel consumption is 15.0 km/L (VTi-S/S grade) and 14.7 km/L (Prestige grade).</t>
    <phoneticPr fontId="1"/>
  </si>
  <si>
    <t>https://www.marklines.com/en/global/55</t>
    <phoneticPr fontId="1"/>
  </si>
  <si>
    <t>Yulon Motor Co., Ltd. (Yulon Motor) held a ceremony to celebrate its 70th anniversary at its Sanyi Plant on August 2, where the first of the all-new Nissan X-Trail models equipped with a mild hybrid system rolled off the production line. The new X-Trail is the fourth generation of the model. In Taiwan, Yulon Nissan Motor Co., Ltd. (Yulon Nissan), which handles sales of Nissan's products, was the first to launch the new X-Trail with e-POWER in February. e-POWER-equipped models are imported from Japan, while the mild hybrid vehicles (MHV) are produced locally at Yulon Motor's Sanyi Plant. Yulon Nissan announced the pre-order sales price of the mild hybrid model on the same day the first model rolled off the line. The model combines a 1.5-liter VC turbo engine (variable compression ratio engine) with a mild hybrid system and has a fuel efficiency of 16km/L. Key features include Nissan's ProPILOT driver assistance technology, 12.3-inch digital meters and a 10.8-inch head-up display. Pre-order prices range from TWD 1,069,000 to TWD 1,239,000. It should be noted that Yulon Motor is an automobile manufacturer established in 1953 and has already produced over 2.7 million vehicles in total.</t>
    <phoneticPr fontId="1"/>
  </si>
  <si>
    <t>https://www.marklines.com/en/global/53</t>
    <phoneticPr fontId="1"/>
  </si>
  <si>
    <t>https://www.marklines.com/en/global/10365</t>
    <phoneticPr fontId="1"/>
  </si>
  <si>
    <t>On August 17, ABB and Northvolt expanded their collaboration to include battery recycling with ABB providing process electrification to power the world's largest battery recycling facility, Revolt Ett, being established by Northvolt in Skellefteå, northern Sweden. The order was booked in the first quarter of 2023. Revolt Ett will ultimately process 125,000 tons of end-of-life batteries and battery production waste each year. It will service Northvolt's gigafactory in Skellefteå, northern Sweden. The facility will start operations in 2023.</t>
    <phoneticPr fontId="1"/>
  </si>
  <si>
    <t>Land Rover</t>
    <phoneticPr fontId="1"/>
  </si>
  <si>
    <t>https://www.marklines.com/en/global/8598</t>
    <phoneticPr fontId="1"/>
  </si>
  <si>
    <t>On August 16, JLR announced that it will recruit 300 new technicians and test engineers in the West Midlands to expand production of its Range Rover vehicles and develop its next-generation electric models. JLR will recruit around 100 technicians for its Solihull plant to operate in a new body shop costing around GBP 130 million, which will support a 30% increase in Range Rover and Range Rover Sport production and a new body production system costing approximately GBP 70 million, which will support JLR's production of new electric Range Rover at Solihull. JLR will be recruiting around 200 technicians and test engineers for its Gaydon Engineering Centre and Whitley Powertrain facility.</t>
    <phoneticPr fontId="1"/>
  </si>
  <si>
    <t>https://www.marklines.com/en/global/2337</t>
    <phoneticPr fontId="1"/>
  </si>
  <si>
    <t>https://www.marklines.com/en/global/2325</t>
    <phoneticPr fontId="1"/>
  </si>
  <si>
    <t>On August 16, AvtoTOR launched the industrial production of JMC brand vehicles at its Kaliningrad plant. The production of 3 models of the brand started at the same time. Preparation for the launch of industrial production was carried out as part of the joint work of AvtoTOR and JMC specialists per the brand standards and international quality management system standards. The agreement also provides for plans to increase production volumes, increase the level of localization, and further deepen production technology. Upon reaching the required volume of production, a phased transition to the production of JMC vehicles in a full cycle is envisaged - welding, painting, and assembly.</t>
    <phoneticPr fontId="1"/>
  </si>
  <si>
    <t>On August 16, Astana Motors announced that the Hyundai IONIQ 5 electric car is officially available for purchase in Kazakhstan at a starting price of KZT 28.6 million. The vehicle is imported from Korea. The vehicle sale will help Astana Motors to develop charging infrastructure in Kazakhstan. Astana Motors equipped all Hyundai dealerships in Almaty with charging stations, and in September 2023, it will complete the equipment of its car centers in Astana with charging stations. The car is based on the Hyundai Electric-Global Modular Platform (E-GMP) and comes with a range of 460 km.</t>
    <phoneticPr fontId="1"/>
  </si>
  <si>
    <t>Li Auto</t>
    <phoneticPr fontId="1"/>
  </si>
  <si>
    <t>https://www.marklines.com/en/global/9530</t>
    <phoneticPr fontId="1"/>
  </si>
  <si>
    <t>On August 16, MB RUS JSC (former name - Mercedes-Benz RUS JSC) presented Chinese AITO and LiXiang cars. The main focus of the company remains the Mercedes-Benz brand, however, it is planning to expand the product portfolio with other high-tech premium brands in the passenger segment. Cars will be available at the end of September. AITO is offered in two models, M5 in the Ultimate version and M7 in two versions (Luxury and Flagship). Customers will also be offered a wide range of LiXiang vehicles - Li 7 in three versions (Max, Pro, and Air), Li 8 in Max and Pro versions, and Li 9 in the MAX version.</t>
    <phoneticPr fontId="1"/>
  </si>
  <si>
    <t>Aito</t>
    <phoneticPr fontId="1"/>
  </si>
  <si>
    <t>https://www.marklines.com/en/global/10563</t>
    <phoneticPr fontId="1"/>
  </si>
  <si>
    <t>https://www.marklines.com/en/global/9540</t>
    <phoneticPr fontId="1"/>
  </si>
  <si>
    <t>https://www.marklines.com/en/global/10687</t>
    <phoneticPr fontId="1"/>
  </si>
  <si>
    <t>On August 16, Canoo announced it is launching its new Lifestyle Delivery Vehicle (LDV) 190, which fits between the LDV 130 and forthcoming larger Canoo MPDV, providing an entry into the Class 2 electric cargo van segment. The LDV 190 shares the LDV 130’s same Multi-Purpose Platform (MPP) with the cargo area has been enlarged to 172 cubic feet. The company is currently building a vehicle assembly plant in Oklahoma City and battery plant in Pryor, Oklahoma as it works on readiness by the end of 2023.</t>
    <phoneticPr fontId="1"/>
  </si>
  <si>
    <t>Faraday Future</t>
    <phoneticPr fontId="1"/>
  </si>
  <si>
    <t>https://www.marklines.com/en/global/9603</t>
    <phoneticPr fontId="1"/>
  </si>
  <si>
    <t>On August 15, Faraday Future Intelligent Electric Inc. celebrated its first delivery of its flagship FF 91 2.0 Futurist Alliance EV to its first spire user, Private Collection Motors (PCM) in Southern California. The FF 91 2.0 Futurist Alliance EV is produced in Hanford, California.</t>
    <phoneticPr fontId="1"/>
  </si>
  <si>
    <t>https://www.marklines.com/en/global/655</t>
    <phoneticPr fontId="1"/>
  </si>
  <si>
    <t>On August 14, Volkswagen South Africa announced that its Kariega plant increased the daily production output to 710 units from the past 680 units under the current director of production. For becoming carbon neutral in terms of production by 2030, their plans are in progress to create a wind park at the Kariega plant, utilizing the region's consistent windy conditions. This addition will further enhance the substantial energy produced by existing solar PV initiatives for the plant's operations.</t>
    <phoneticPr fontId="1"/>
  </si>
  <si>
    <t>https://www.marklines.com/en/global/9841</t>
    <phoneticPr fontId="1"/>
  </si>
  <si>
    <t>On August 14, Mitsubishi Fuso Truck and Bus Corporation (MFTBC) announced that the two Indonesian production sites currently assembling components and vehicles for the FUSO brand are celebrating their 50th year of operation. Of these two, PT Mitsubishi Krama Yudha Motors and Manufacturing (MKM) has inaugurated its first installation of a photovoltaic energy generation system on the roof of one of its main facilities. Currently, the solar panels generate approximately 14% of the MKM stamping factory’s daily energy needs. MKM is targeting a 15% YoY reduction in CO2 emissions in 2023. </t>
    <phoneticPr fontId="1"/>
  </si>
  <si>
    <t>https://www.marklines.com/en/global/325</t>
    <phoneticPr fontId="1"/>
  </si>
  <si>
    <t>https://www.marklines.com/en/global/1157</t>
    <phoneticPr fontId="1"/>
  </si>
  <si>
    <t>On August 16, Hyundai Motor India Limited (HMIL) signed an asset purchase agreement (APA), in Gurugram, Haryana, for the acquisition and assignment of identified assets related to General Motors India (GMI)’s Talegaon Plant in Maharashtra. The APA covers the acquisition and assignment of land and buildings as well as certain machinery and manufacturing equipment. Manufacturing operations at the plant are planned to commence in 2025. GMI’s Talegaon plant currently has an annual production capacity of 130,000 units. Upon completion of the agreement, HMIL plans to expand the annual production capacity. HMIL already enhanced its production capacity from 750,000 units to 820,000 units at Sriperumbudur (Chennai) plant. With the Sriperumbudur (Chennai) and Talegaon plants, HMIL aims to cumulatively achieve a production capacity of 1 million units a year. Leveraging the expanded capacity, HMIL will review plans to launch additional electric vehicle models into the Indian market, manufactured at its Sriperumbudur plant.The completion of the acquisition and assignment is subject to fulfillment of certain conditions precedent and receipt of regulatory approvals from relevant government authorities and relevant stakeholders.</t>
    <phoneticPr fontId="1"/>
  </si>
  <si>
    <t>https://www.marklines.com/en/global/1175</t>
    <phoneticPr fontId="1"/>
  </si>
  <si>
    <t>https://www.marklines.com/en/global/1177</t>
    <phoneticPr fontId="1"/>
  </si>
  <si>
    <t>https://www.marklines.com/en/global/1161</t>
    <phoneticPr fontId="1"/>
  </si>
  <si>
    <t>On August 15, VinFast Auto Ltd. celebrated its listing and commencement of trading of its shares on the Nasdaq Global Select Market under the ticker symbol “VFS,” with an equity value of over USD 23 billion. The combined company will now operate as VinFast Auto Ltd. VinFast has delivered almost 19,000 EVs, including the VF e34, VF 5, VF 8, and VF 9 models, as of June 30. On July 28, VinFast broke ground at its new EV manufacturing facility in the U.S.</t>
    <phoneticPr fontId="1"/>
  </si>
  <si>
    <t>https://www.marklines.com/en/global/10028</t>
    <phoneticPr fontId="1"/>
  </si>
  <si>
    <t>On August 14, Toyota Gazoo Racing Europe (TGR-E) and RheinEnergie, an energy supply company based in Cologne, celebrated a topping-out ceremony for the new central cooling facility at TGR-E's Cologne technical center after the completion of its building structure. The state-of-the-art facility comprises two highly efficient turbo compressors, a heat absorber, and a combined heat and power plant. The entire 30,000-square-meter facility will reduce CO2 emissions by around 1,400 metric tons a year. The new plant technology will provide TGR-E with a modern, reliable, and efficient cooling supply.</t>
    <phoneticPr fontId="1"/>
  </si>
  <si>
    <t>On August 15, OMODA announced that it is set to enter the UK crossover SUV market with its debut model, the OMODA 5, later this year, with sales starting in February 2024. Based on the T1X platform, OMODA 5 has a 1.6-liter Turbo gasoline engine producing 197 hp and 290 Nm of torque. An EV variant, the OMODA 5 EV will also be available at launch.</t>
    <phoneticPr fontId="1"/>
  </si>
  <si>
    <t>On August 14, AvtoTOR produced the first batch of BAIC X55 cars in its Kaliningrad plant. Preparations for mass production of the new model have been carried out since the beginning of June 2023 by process engineers from the AvtoTOR Innovation and Technology Center and BAIC specialists. Given the maximum equipment of the BAIC X55 with a large number of electronic systems, and intelligent assistants of the latest generation, additional equipment was installed on the conveyor line for the initial programming of control units and all electronic systems of the car.</t>
    <phoneticPr fontId="1"/>
  </si>
  <si>
    <t>On August 14, Tesla announced it was now offering lower-priced “standard” versions of its Models S and X in the U.S., with less battery range and slower acceleration, in effect lowering the entry price of its two flagship models by USD 10,000, though the lower specs for the standard versions of the Models S and X, built in Fremont, California, are limited by software rather than using a different battery chemistry.</t>
    <phoneticPr fontId="1"/>
  </si>
  <si>
    <t>https://www.marklines.com/en/global/2655</t>
    <phoneticPr fontId="1"/>
  </si>
  <si>
    <t>On August 11, the Jeep brand announced that as it continues its drive to electrification, it is we are phasing out EcoDiesel technology and marking the end of Gladiator EcoDiesel production with the limited-edition Gladiator Rubicon FarOut. Built in Toledo, Ohio, the Jeep Gladiator will continue to offer the 3.6-liter Pentastar V6 engine, available with a six-speed manual transmission or an eight-speed automatic transmission.</t>
    <phoneticPr fontId="1"/>
  </si>
  <si>
    <t>Changan Ford Motor plans to set up a new-energy passenger car joint venture with state-owned Chongqing Changan Automobile, according to a document published by State Administration for Market Regulation of China (SAMR) on August 11. Changan Ford Motor will own a 60% stake and Chongqing Changan Automobile the remaining 40% stake. As Changan Ford is a 50-50 joint venture between Ford Motor Co. and Changan Automobile, Chongqing Changan will own more than 50% of the new venture. The joint venture plans to engage in the "supply business of mainstream brand new energy passenger vehicles and the distribution business of Ford brand models that Changan Ford has invested in," the statement said. Ford said in a statement that the venture was being formed "to better grasp the development trend of electrification and intelligence in the auto industry,".</t>
    <phoneticPr fontId="1"/>
  </si>
  <si>
    <t>https://www.marklines.com/en/global/4163</t>
    <phoneticPr fontId="1"/>
  </si>
  <si>
    <t>https://www.marklines.com/en/global/9578</t>
    <phoneticPr fontId="1"/>
  </si>
  <si>
    <t>On August 11, Seres held a strategic cooperation agreement signing ceremony with China Automotive Technology and Research Center Co., Ltd. (CATARC) in Tianjin. The two parties will jointly promote industrial integration and technological innovation for in-depth docking of multiple fields. After the ceremony, Seres inaugurated the Joint Laboratory for Research on Industrial Policies with the China Automotive Strategy and Policy Research Center, and signed a “brand force enhancement project agreement” and the “Seres F3 Safety Verification and Development Project Framework Agreement” with CATARC Automotive Test Center (Kunming) Co., Ltd. and China Automotive Information Technology (Tianjin) Co., Ltd., respectively.</t>
    <phoneticPr fontId="1"/>
  </si>
  <si>
    <t>On August 10, Bentley unveiled its first fully organic olive tan leather option for its customers. The significant move aligns with Bentley's Beyond100 journey. The unique aspect of the leather is its sustainable tanning process, utilizing an organic by-product from the olive oil industry. Extracted from wastewater generated during olive pressing, this tanning agent is devoid of harmful substances. Compared to traditional methods, it requires less water and employs a higher concentration of renewable chemicals. Bentley is pioneering the use of this innovative Olive Mill Wastewater (OMW) technology from leather tannery Pasubio SpA, making it the first in the automotive industry. The company plans to offer sustainable, OMW-derived leather across its product lineup.</t>
    <phoneticPr fontId="1"/>
  </si>
  <si>
    <t>On August 10, Ford announced it has completed a transfer agreement with the Bahia government that will give it ownership of its now-closed Camaçari plant while negotiations still go on with BYD. News of the delay comes as a surprise after BYD said that it expected to complete its purchase of the Ford plant in Brazil one week ago. Negotiations will now take place between the Bahia government and BYD following President Luiz Inácio Lula da Silva’s recent trip to China, where President Xi Jinping signed a pledge to invest USD 10 billion in South America over the coming years.</t>
    <phoneticPr fontId="1"/>
  </si>
  <si>
    <t>On August 8, multiple sources reported that Ford Otosan, a joint venture between Ford Motor Company and Koç Holding, has transferred the production of its current generation Transit Courier vans from its plant in Turkey to its Craiova plant in Romania. The Company stopped production of the Transit Courier utility vehicle at its plant in Turkey in July 2023. The production of the new combustion engine Transit Courier will start in the second half of 2023, with first deliveries expected before the end of 2023, while the production of electric versions (E-Transit Courier) will start in 2024.</t>
    <phoneticPr fontId="1"/>
  </si>
  <si>
    <t>https://www.marklines.com/en/global/10613</t>
    <phoneticPr fontId="1"/>
  </si>
  <si>
    <t>On August 8, Derry Auto, an emerging manufacturer of New Energy commercial vehicles (NECVs), announced the completion of a Series B financing worth CNY 700 million, which was co-led by Hefei Anshu Capital Management Co., Ltd. and Gotion High-tech Co., Ltd. and followed by such institutions as Huitongda Network Co., Ltd., Shanghai Classy Solid Asset Management Co., Ltd., and Hangzhou Hongjing Drive Technology Co., Ltd. The funds raised will be used for development of multiple fields such as product R&amp;D and operation and promotion. The company will launch the D05 electric truck with a maximum load of 2T and a volume of 6 to 8 cubic meters in Q4 2023.</t>
    <phoneticPr fontId="1"/>
  </si>
  <si>
    <t>https://www.marklines.com/en/global/10587</t>
    <phoneticPr fontId="1"/>
  </si>
  <si>
    <t>On August 14, the Hyundai Motor Group Metaplant America (HMGMA) and Georgia Ports Authority gathered on the dock to celebrate the first shipment of parts for the EV manufacturing facility currently under construction in Bryan County. The shipment contains parts for a crane that will be used in the stamping facility to move metal presses The Metaplant is slated to begin production in the first quarter of 2025, employ more than 8,000 people and is estimated to initially produce 300,000 and up to 500,000 Hyundai, Genesis and Kia electric vehicles.  </t>
    <phoneticPr fontId="1"/>
  </si>
  <si>
    <t>On August 14, Canoo announced it has finalized agreements on USD 113 million of workforce and economic development incentives from the state of Oklahoma and the Cherokee Nation for its vehicle assembly and battery module manufacturing plants in Oklahoma City and Pryor, which combined would create 1,300 jobs. Equipment will be installed and tested at both facilities.</t>
    <phoneticPr fontId="1"/>
  </si>
  <si>
    <t>On August 11, Nikola Corp. announced its battery pack investigation and voluntarily recall of 209 Class 8 Tre BEV trucks. These actions do not affect the hydrogen fuel cell electric vehicle (FCEV) trucks currently in production and scheduled for delivery in Q3 since the truck’s battery pack has a different design. A coolant leak inside a single battery pack was found to be the probable cause of a truck fire at the company’s headquarters in Phoenix, Arizona on June 23, as well as a thermal incident impacting one pack on an engineering validation truck at the Coolidge, Arizona plant on August 10.</t>
    <phoneticPr fontId="1"/>
  </si>
  <si>
    <t>On August 11, Neta Auto announced the signing of a strategic cooperation agreement with Dassault System, a provider of total solutions for digital transformation. According to the agreement, a number of Neta Auto vehicle and parts plants in China and overseas will apply DELMIA Apriso, an MOM (Manufacturing Operations Management) solution based on the Dassault System 3D experience system, in 2023.</t>
    <phoneticPr fontId="1"/>
  </si>
  <si>
    <t>On August 10, Baojun, an SAIC-GM-Wuling sub-brand, announced the official launch of the new Yunduo 5-door 5-seater battery electric vehicle (BEV). The Yunduo comes standard with a permanent magnet synchronous motor (maximum power 100kW and peak torque 200Nm), with a front-engine FWD layout and a maximum speed of 150km/h. The 360km- and 460km-range models are equipped with 37.9kWh and 50.6kWh lithium iron phosphate batteries, respectively. The Yunduo is equipped with the LingOS 2.0 cockpit, and comes standard with such features as EPS (Electric Power Steering) and EPB (Electronic Parking Brake). In addition, Baojun unveiled the LingOS 2.0 co-developed with DJI Automotive. The 460km-range Yunduo is the first production model equipped with this system.</t>
    <phoneticPr fontId="1"/>
  </si>
  <si>
    <t>On August 9, Beiben Trucks Group Co., Ltd. (Beiben Trucks) announced that it recently formed a strategic partnership with Giga Intelligent Heavy Industry Group (GIHI) for customized production of various models, authorization and promotion of multimodal transport technologies, construction of an intelligent logistics service and settlement center for non-truck carrying and online freight transportation, and exploration of the green development path of the industries of commercial vehicles and logistics transportation.</t>
    <phoneticPr fontId="1"/>
  </si>
  <si>
    <t>https://www.marklines.com/en/global/123</t>
    <phoneticPr fontId="1"/>
  </si>
  <si>
    <t>On August 14, Ineos Automotive announced that it had tested the new Grenadier Quartermaster double-cab pick-up in Lapland, Finland to check its extended wheelbase, longer chassis, and different cabin cope in extreme conditions for 14 days. The prototypes were traveled from Graz, in Austria to Ivalo, Finland. Three prototypes; two gasoline, and one diesel; were driven 1,000 km across the snow and ice. It subjected the Quartermaster to -35 degrees Celsius temperatures using overnight climate chambers. The prototypes passed all the tests.</t>
    <phoneticPr fontId="1"/>
  </si>
  <si>
    <t>On August 14, AvtoVAZ started the production of the LADA Largus family a month ahead of schedule in Togliatti. It will produce 650 Largus cars of various modifications as well as vehicle kits for a pilot batch of LADA e-Largus electric vehicles, which will be assembled in Izhevsk by the end of this year. It is also planning to produce several bodies in Togliatti, which will later be used in Izhevsk to set up technological equipment. AvtoVAZ will transfer the production of the entire LADA Largus family in Izhevsk by the second quarter of 2024. The transfer will help it to increase the production of Vesta family cars in Line No. 1 in Togliatti as well as put on the assembly line the LADA Aura executive sedan and a new crossover on the Vesta platform. The interruption in the production of Largus will also allow Russian suppliers to master an additional range of components to increase technological sovereignty according to this model.</t>
    <phoneticPr fontId="1"/>
  </si>
  <si>
    <t>On August 11, the Minister For Industries, Government of Maharashtra met with the officials of Hyundai Motor Company. He announced on social media that INR 50 billion will be invested in two phases till 2028, which will employ 4,500 unemployed people. Hyundai Motor Company will invest in expansion. Hyundai’s suppliers will invest INR 40 billion till 2028. He also updated that General Motors employees had a meeting with the Chief Minister of Maharashtra.</t>
    <phoneticPr fontId="1"/>
  </si>
  <si>
    <t>https://www.marklines.com/en/global/1165</t>
    <phoneticPr fontId="1"/>
  </si>
  <si>
    <t>On August 11, Citroen announced that it will be launching a new C-Cubed vehicle in 2024. The company has plans to create a C-Cube family of vehicles with multiple body styles and powertrains. The vehicles will be assembled at its Thiruvallur plant while the engine and transmission at the Hosur plant. Further, it plans to export it to ASEAN/Africa markets and the parts to the global markets.</t>
    <phoneticPr fontId="1"/>
  </si>
  <si>
    <t>https://www.marklines.com/en/global/9827</t>
    <phoneticPr fontId="1"/>
  </si>
  <si>
    <t>According to multiple press releases dated August 8, Geely Zhilian Technology (Dalian) Co., Ltd. was recently established in Dalian, Liaoning. With a registered capital of CNY 15 million, the new company’s business scope includes technology development, software development, information system integration services, computer system services, and manufacturing of automotive parts and accessories. The company is wholly owned by Geely Automobile Research Institute (Ningbo) Co., Ltd.</t>
    <phoneticPr fontId="1"/>
  </si>
  <si>
    <t>On August 8, GAC Group officially introduced the GAC AI large model platform, the first large model platform in the automotive industry. The platform will be installed in the Hyper GT high-end intelligent coupe in the near future. Based on massive datasets on vehicle usage and R&amp;D, the GAC AI large model platform gathers structured data into AI middleware and forms various specific scenario models through middleware training. In terms of intelligent cockpits, intelligent voice interaction will be available first on the GAC AI large model platform. The platform can better understand user intent through more accurate semantic understanding models. It also can cover vehicle services in all scenarios and accurately match users’ mobility needs, and has strong content generation and computing capabilities. In terms of intelligent driving, the application of the GAC AI large model platform will further enhance the perception capability, safety, and reliability of intelligent driving.</t>
    <phoneticPr fontId="1"/>
  </si>
  <si>
    <t>https://www.marklines.com/en/global/3375</t>
    <phoneticPr fontId="1"/>
  </si>
  <si>
    <t>On August 8, BMW Group unveiled the official images of the China-made next-generation 5 Series, and announced that it will introduce the Chinese version of the i5 battery electric vehicle (BEV) to strengthen its position in the mid-to-large-size luxury sedan segment and deployment in the luxury BEV segment. The next-generation 5 Series will be produced at BMW Brilliance’s Dadong Plant in Shenyang. The 5 Series is the most popular BMW model in China. The next-generation 5 Series, the 8th generation tailored for the Chinese market, is equipped with a high-efficiency internal combustion engine.</t>
    <phoneticPr fontId="1"/>
  </si>
  <si>
    <t>On August 8, Geely Auto Group held a project cooperation signing ceremony with the People’s Government of Longquan of Zhejiang Province in Lishui, where the two parties signed a New Energy Vehicle (NEV) thermal management project, a battery swapping project, and an investment fund project for the automotive technology industry. These three projects will focus on the NEV thermal management industry for joint promotion of the transformation, upgrading, and cluster development of Longquan’s thermal management industry, and will further promote the implementation of the strategies of carbon peaking and carbon neutrality through cooperation on battery swapping and funds.</t>
    <phoneticPr fontId="1"/>
  </si>
  <si>
    <t>LYNK &amp; CO</t>
    <phoneticPr fontId="1"/>
  </si>
  <si>
    <t>On August 8, Lynk &amp; Co, a Geely sub-brand, announced that it started accepting pre-orders for the new 08 EM-P midsize plug-in hybrid SUV. The 08 EM-P is available in CLTC driving ranges of 120km, 245km, and 220km. Based on the CMA Evo architecture, the 08 EM-P adopts the new EM-P super electric range-extending solution and is equipped with a 1.5TD plug-in hybrid engine (maximum power 120kW), mated to a 3DHT Evo electric drive transmission. The 120km- and 245km-range versions are both equipped with a front single motor (maximum system power 280kW and peak system torque 615Nm), with an intelligent FWD layout and a WLTC fuel consumption of 5.5L/100km at the lowest charge; CATL 21.2kWh ternary lithium and lithium iron phosphate batteries and an SVOLT 39.8kWh ternary lithium battery complete the powertrains, respectively. The 220km-range version and the time-limited model are both equipped with three motors (maximum system power 436kW and peak system torque 905Nm) that include one new independent rear motor, with an intelligent 4WD layout; a CATL 39.6kWh ternary lithium battery completes the powertrains, with a 0 to 100km/h acceleration time of 4.6 seconds. The Lynk Flyme Auto system debuts on the 08 EM-P. Some models come with such features as the Lynk &amp; Co intelligent driving assistance system.</t>
    <phoneticPr fontId="1"/>
  </si>
  <si>
    <t>https://www.marklines.com/en/global/505</t>
    <phoneticPr fontId="1"/>
  </si>
  <si>
    <t>Yamaguchi</t>
  </si>
  <si>
    <t>On August 7, Mazda Motor Corporation (Mazda) announced it will suspend operations for 2 days, August 9 and 10, at the Hiroshima Plant and Hofu Plant due to the approach of Typhoon No. 6.  </t>
    <phoneticPr fontId="1"/>
  </si>
  <si>
    <t>On August 7, CEO of the Huawei Intelligent Automotive Solution Business Unit, announced that the new HarmonyOS 4 will debut on the first Huawei Smart Selection battery electric coupe, and released the first official image of the vehicle, which will be officially unveiled this quarter. As the official image shows that the car logo of the new vehicle is Luxeed, which currently belongs to Chery, the vehicle is speculated to be co-developed by Huawei and Chery.</t>
    <phoneticPr fontId="1"/>
  </si>
  <si>
    <t>According to multiple press releases dated August 7, Anhui Jidian New Energy Vehicle Technology Co., Ltd. was recently established in Hefei, Anhui. With a registered capital of CNY 5 million, the new company’s business scope includes R&amp;D of emerging energy technologies, energy storage technologies and services, manufacturing of battery parts and accessories, and manufacturing of automotive parts and accessories. The company is wholly owned by Quzhou Jidian Electric Vehicle Technology Co., Ltd., which is indirectly wholly owned by Zhejiang Geely Holding Group Co., Ltd.</t>
    <phoneticPr fontId="1"/>
  </si>
  <si>
    <t>https://www.marklines.com/en/global/443</t>
    <phoneticPr fontId="1"/>
  </si>
  <si>
    <t>Mie</t>
  </si>
  <si>
    <t>On August 3, Honda Motor Co., Ltd. (Honda) released preliminary information on its special website on the all-new N-BOX (minicar, engine displacement below 660cc), which is scheduled for sales release in Japan in the fall of 2023. The all-new N-BOX, now in its third generation, is available in two types, the N-BOX and N-BOX CUSTOM, as in past generations. The N-BOX expresses simplicity and friendliness through the use of a front grille with a round hole design and headlights shaped to evoke the human eye. The N-BOX CUSTOM features a three-dimensional, finely sculpted front grille, front horizontal lights, and direct-projection LED headlights. The interior design pursues noiseless visibility, and while maintaining the high eye point that is a feature of the current model, the top of the instrument panel has been flattened to provide an even better view than before. The all-new N-BOX, like its predecessors, will be produced at the Suzuka Factory. Honda began accepting advance reservations in August in advance of the launch.</t>
    <phoneticPr fontId="1"/>
  </si>
  <si>
    <t>https://www.marklines.com/en/global/381</t>
    <phoneticPr fontId="1"/>
  </si>
  <si>
    <t>Toyota Motor Corporation (Toyota) unveiled the all-new Land Cruiser 250 Series for the first time in the world on August 2. The Land Cruiser models are divided into three types: heavy-duty type, light-duty type, and station wagon type. The 250 Series is an all-new light-duty model, and will be launched in Japan in the first half of 2024. The 250 Series, which is positioned as the core Land Cruiser model in the lineup, uses the same GA-F platform as the 300 Series (station wagon type) and offers significantly improved rough road drivability. In line with Toyota's multi-pathway strategy, various powertrains are available, including the Land Cruiser's first hybrid system. Two powertrains are available for the Japanese market: the 1GD-FTV 2.8-liter inline 4-cylinder diesel turbo engine with Direct Shift-8AT eight-speed automatic transmission (AT), and the 2TR-FE 2.7-liter inline 4-cylinder gasoline engine with 6 Super-ECT six-speed AT. The Land Cruiser's first hybrid system will use the T24A-FTS 2.4-liter inline 4-cylinder gasoline turbo engine, and will be marketed in North America and China. In addition, combinations of the T24A-FTS engine and Direct Shift-8AT and a 48V mild hybrid system employing the 1GD-FTV will also be available. The 250 Series will be produced at Toyota's Tahara Plant and Hino Motor's Hamura Plant. Also announced on the same day is the heavy-duty Land Cruiser 70 Series, which will make its return to Japan this coming winter as a regular model in the range.</t>
    <phoneticPr fontId="1"/>
  </si>
  <si>
    <t>https://www.marklines.com/en/global/567</t>
    <phoneticPr fontId="1"/>
  </si>
  <si>
    <t>Tokyo</t>
  </si>
  <si>
    <t>https://www.marklines.com/en/global/10705</t>
    <phoneticPr fontId="1"/>
  </si>
  <si>
    <t>Kyoto</t>
  </si>
  <si>
    <t>On August 1, Honda Motor Co., Ltd. (Honda) announced it completed procedures for the establishment of a joint venture with GS Yuasa International Ltd., (GS Yuasa) and the joint venture started operations on the same day. The new joint venture company, which is named Honda·GS Yuasa EV Battery R&amp;D Co., Ltd., will conduct research and development on lithium-ion batteries, primarily for EV use, and battery production methods. It is located on the premises of GS Yuasa's Head Office in Minami-ku, Kyoto, Japan, and was funded 50% each by Honda and GS Yuasa. On May 11, the two companies had announced they signed a joint venture agreement toward the establishment of a new company. </t>
    <phoneticPr fontId="1"/>
  </si>
  <si>
    <t>https://www.marklines.com/en/global/533</t>
    <phoneticPr fontId="1"/>
  </si>
  <si>
    <t>Gunma</t>
  </si>
  <si>
    <t>On July 31, Subaru Corporation (Subaru) and Panasonic Energy Co., Ltd. (Panasonic Energy) announced that they have started talks to build a medium- to long-term partnership to meet demand for battery electric vehicles (BEVs) and automotive batteries in a rapidly expanding market. Subaru intends to start production of BEVs from the latter half of the 2020s at its sites, including a dedicated BEV plant scheduled to be built at the Oizumi Plant in Gunma Prefecture, Japan. Subaru and Panasonic Energy will hold discussions with a view to Panasonic Energy supplying Subaru with next-generation automotive cylindrical lithium-ion batteries, and Subaru installing batteries purchased from Panasonic Energy in the above BEVs.</t>
    <phoneticPr fontId="1"/>
  </si>
  <si>
    <t>https://www.marklines.com/en/global/907</t>
    <phoneticPr fontId="1"/>
  </si>
  <si>
    <t>Metalsa inaugurated its new plant in Apaeo el Grande, Guanajuato, Mexico, having invested USD 180 million for its development. The plant produces chassis for the new Toyota Tacoma, providing just-in-time deliveries for the Guanajuato plant and constant shipments to the Baja California plant.</t>
    <phoneticPr fontId="1"/>
  </si>
  <si>
    <t>https://www.marklines.com/en/global/9330</t>
    <phoneticPr fontId="1"/>
  </si>
  <si>
    <t>https://www.marklines.com/en/global/2215</t>
    <phoneticPr fontId="1"/>
  </si>
  <si>
    <t>On August 25, BMW Group announced that they are expanding e-component production at the Leipzig plant, Germany. A leasehold contract has been signed for a 12-hectare area adjacent to the plant premises, with an initial construction phase creating a logistics hall and an office building by mid-2024. The first construction phase will create a 38,000 square meters warehouse, a two-story office building, and a loading tunnel. Plans for a second phase could raise the total investment to EUR 100 million. Once completed, these additions at the Supply Centre North will provide workspace for around 500 employees. Leipzig plant plays a pivotal role in supplying e-components for BMW's electric vehicles (EVs), including battery modules for the iX1, i5, and iX models. The company is investing up to EUR 1 billion in expanding e-component production there.</t>
    <phoneticPr fontId="1"/>
  </si>
  <si>
    <t>On August 25, multiple sources reported that the Moskvich automobile plant is developing a car running on natural gas fuel (CNG). Moskvich also advocates that the installation of LPG equipment in cars should be available to Russian consumers as an additional option.</t>
    <phoneticPr fontId="1"/>
  </si>
  <si>
    <t>Livan</t>
    <phoneticPr fontId="1"/>
  </si>
  <si>
    <t>https://www.marklines.com/en/global/10480</t>
    <phoneticPr fontId="1"/>
  </si>
  <si>
    <t>On August 22, Livan Auto announced that it started accepting global pre-orders for the Livan 7, its first new compact battery electric coupe. The Livan 7 adopts an SEA-homologous technology architecture named GBRC Crystal that consists of a complete vehicle technology platform, a battery swapping platform, and a big data cloud platform, as well as the DIY RWD system. Both the 450km- and 605km-range versions are equipped with a permanent magnet synchronous motor (maximum power 120kW or 180kW and peak torque 240Nm or 385Nm), with an FWD or RWD layout. A 50.4kWh lithium iron phosphate battery and a 68.03kWh ternary lithium battery complete the respective powertrains. The 605km-range version has a 0 to 50km/h acceleration time of 2.8 seconds. The Livan 7 is powered by China’s first Longying One 7nm automotive chip. Some variants are available with such features as an intelligent driving assistance system.</t>
    <phoneticPr fontId="1"/>
  </si>
  <si>
    <t>On August 22, Kia China announced that it will exhibit the EV6 high-performance battery electric coupe and the EV5 compact battery electric SUV, the first Kia strategic model debuted in China, at Chengdu Motor Show 2023 (CDMS 2023), where global best-selling models, such as the new K3 compact sedan, the Seltos and Sportage compact SUVs, and the Carnival MPV, will also be exhibited.</t>
    <phoneticPr fontId="1"/>
  </si>
  <si>
    <t>On August 22, Polestones, a new auto brand focusing on outdoor vehicle use scenarios, announced the official launch of the Polestones 01, its first mid-to-large-size electric SUV. The Polestones 01 adopts an all-aluminum chassis and a DCC continuously variable damping shock absorber, and is equipped with a drive system consisting of a 1.5T four-cylinder range extender and dual 3-in-1 high-efficiency motors in the front (150kW/340Nm) and rear (200kW/400Nm), with a total power of 350kW and a total torque of 740Nm. A CATL 56.01kWh ternary lithium battery completes the powertrain, with a CLTC electric-mode range of 282km, a CLTC combined range of 1,338km, and a 0 to 100km/h acceleration time of 5.5 seconds. The Polestones 01 is powered by a Qualcomm Snapdragon 8155 chip. The vehicle is available with such features as an intelligent driving assistance system. According to multiple press releases, Polestones is an auto brand jointly established by Rox Motor Tech Co., Ltd. and Beijing Automobile Works, of which the former is an automobile manufacturing project started founder and CEO of Roborock.</t>
    <phoneticPr fontId="1"/>
  </si>
  <si>
    <t>On August 22, Great Wall Motor (GWM) announced that the five sub-brands of Haval, Wey, Ora, Tank, and Poer will participate in Chengdu Motor Show 2023 (CDMS 2023) with nearly 30 products. Haval will start accepting pre-orders for the new Raptor. Wey will start accepting pre-orders for the Gaoshan DHT-PHEV, its first high-end New Energy MPV. Tank will start accepting pre-orders for the Tank 400 Hi4-T mid-to-large-size off-road SUV, and will unveil other products of the Tank family, such as the Tank 300 and Tieqi 02 compact off-road SUVs. In addition, high-profile models, such as the Poer Shanhai large luxury high-performance pickup truck, the new Haval H5 large hardcore all-purpose SUV, the Tank 500 Hi4-T mid-to-large-size luxury off-road SUV, and the 2023 Ora Funky Cat and Funky Cat GT Mulan Edition midsize battery hatchbacks, will be exhibited.</t>
    <phoneticPr fontId="1"/>
  </si>
  <si>
    <t>https://www.marklines.com/en/global/9837</t>
    <phoneticPr fontId="1"/>
  </si>
  <si>
    <t>https://www.marklines.com/en/global/9570</t>
    <phoneticPr fontId="1"/>
  </si>
  <si>
    <t>https://www.marklines.com/en/global/3883</t>
    <phoneticPr fontId="1"/>
  </si>
  <si>
    <t>On August 22, Chery Holding Group announced that the four Chery Auto Group sub-brands of Chery, Exeed, Jetour, and iCar will participate in Chengdu Motor Show 2023 (CDMS 2023) with over 30 models. Chery will launch the Tiggo 7 Plus Champion Edition (ICE-powered) and the Tiggo 7 New Energy Champion Edition (plug-in hybrid). Exeed will unveil the Stellar Feiyu Edition flagship mid-to-large-size SUV with a new powertrain consisting of a 2.0T engine and an Aisin 8-speed automatic transmission, and the Sterra ET, the first high-end mid-to-large-size electric SUV of the Sterra lineup. The Sterra ES high-end mid-to-large-size electric sedan to be launched in Q4 2023, the next-generation VX mid-to-large-size SUV, the next-generation TXL midsize SUV, and the LX PHEV will also be exhibited. Jetour will start accepting pre-orders for the 1.5T and 2.0T variants of the T-1 midsize light off-road SUV. iCar will exhibit the iCar 03 hardcore compact battery electric SUV and its modifications. Concurrently, other models, such as the eQ7 (the first Chery New Energy family battery electric SUV built with China’s first aluminum-based lightweight platform), the QQ Ice Cream, and the eQ1 will be exhibited.</t>
    <phoneticPr fontId="1"/>
  </si>
  <si>
    <t>https://www.marklines.com/en/global/10481</t>
    <phoneticPr fontId="1"/>
  </si>
  <si>
    <t>On August 18, BN Motors (BNM) opened BNM Automobile Plant. The area of the plant is 10,000 square meters and includes an administrative building, a painting and locksmith shop, and a spacious warehouse. The opening also featured BAW light trucks, which arrived in Bryansk under their power straight from China by BN-Motors employees. The plant will employ 110 persons.  Within a year and a half, the plant should reach a volume of 1,000 to 2,000 vehicles per month. Chinese commercial trucks will be assembled here. Products will be sold under the BNM brand through the Russian BAW/BNM dealer network being created by the company.</t>
    <phoneticPr fontId="1"/>
  </si>
  <si>
    <t>TOGG</t>
    <phoneticPr fontId="1"/>
  </si>
  <si>
    <t>https://www.marklines.com/en/global/10416</t>
    <phoneticPr fontId="1"/>
  </si>
  <si>
    <t>On August 18, multiple sources reported that Togg is planning to produce 28,000 of its EV SUV model T10X by the end of 2023. It was also reported that Togg will increase its production capacity by two-and-a-half times by 2024. Togg's domestically developed cars traveling on Turkey's roads have already reached 2,000 to date.</t>
    <phoneticPr fontId="1"/>
  </si>
  <si>
    <t>Ultium Cells LLC and the United Auto Workers union (UAW) reached a tentative agreement to increase wages by approximately 25% at the Ultium battery plant in Warren, Ohio. The tentative agreement will be voted on by Ultium workers in the UAW through Sunday, August 27. If the agreement is ratified, the starting wage for workers at the plant will increase from USD 16.50 per hour to more than USD 20 per hour, retroactive to December 23, 2022.</t>
    <phoneticPr fontId="1"/>
  </si>
  <si>
    <t>On August 24, General Motors Co. confirmed that the Wentzville Assembly plant in Missouri will reduce production starting on August 28 due to part shortages. The Wentzville Assembly plant will close the third shift starting on August 28 and resume full production on September 5, after the Labor Day holiday.</t>
    <phoneticPr fontId="1"/>
  </si>
  <si>
    <t>On August 24, Mercedes-Benz confirmed that its truck and bus chassis plant at São Bernardo do Campo would resume regular production starting the first week of September. Mercedes-Benz had suspended the second shift of production at the São Bernardo do Campo plant since May. The layoff to the second shift was implemented to adjust production corresponding to the declining demand of commercial vehicles in the Brazilian market. The temporary layoff affected approximately 1,200 workers at the plant.</t>
    <phoneticPr fontId="1"/>
  </si>
  <si>
    <t>https://www.marklines.com/en/global/2845</t>
    <phoneticPr fontId="1"/>
  </si>
  <si>
    <t>On August 22, General Motors announced the start of sales of the 2024 Chevrolet Montana compact pickup truck in Mexico. The Chevrolet Montana will launch in Mexico with two trims, the baseline LT and the sportier RS. Both trim versions will be powered by a 1.2-liter I3 turbocharged engine mated to a six-speed automatic transmission with front-wheel drive, generating 132 hp and 155 lb-ft of torque. The Chevrolet Montana is manufactured at GM’s plant in São Caetano do Sul, Brazil. The LT trim will be available immediately. The RS trim will be available in the final quarter of 2023.</t>
    <phoneticPr fontId="1"/>
  </si>
  <si>
    <t>On August 24, PJSC Sollers announced that its product development center began operations at the Idea Innovation Technopark in Kazan. One of the key activities of the new center will be the development of the Sollers range of vehicles and the modernization of the UAZ range, engineering support for a large-scale localization program, and the development of new technological solutions, including in the field of electric mobility. Among the first projects, the implementation of which has already begun within the framework of the new Center, are the development of all-wheel drive for the Sollers Atlant model, updating the styling solution for UAZ Patriot cars, and integration and localization of a diesel engine with a 6-speed manual transmission in UAZ cars. Also, the engineers of the Center have begun to study the localization of new passive safety systems and will soon begin a project of engineering preparation for the launch of mass production of Sollers light commercial vehicles with an electric power plant.</t>
    <phoneticPr fontId="1"/>
  </si>
  <si>
    <t>https://www.marklines.com/en/global/10409</t>
    <phoneticPr fontId="1"/>
  </si>
  <si>
    <t>On August 24, Indus Motor Company (IMC), the assemblers of Toyota cars in Pakistan announced that considering the low demand and inventory levels, the company has decided to close its production plant from August 25 to September 6, 2023 (inclusive of both days).</t>
    <phoneticPr fontId="1"/>
  </si>
  <si>
    <t>On August 23, Atom announced that it has selected the Moskvich plant to produce its electric car after a thorough analysis. It has selected the Moskvich plant because of modern equipment, advanced technologies, and the reputation of the enterprise. Atom will be assembled on several production lines of the plant, which will allow it to perform the entire cycle: welding, painting, assembly, and other work. The production will start in 2025.</t>
    <phoneticPr fontId="1"/>
  </si>
  <si>
    <t>Paccar</t>
    <phoneticPr fontId="1"/>
  </si>
  <si>
    <t>DAF</t>
    <phoneticPr fontId="1"/>
  </si>
  <si>
    <t>https://www.marklines.com/en/global/2367</t>
    <phoneticPr fontId="1"/>
  </si>
  <si>
    <t>On August 23, DAF launched its new generation DAF XB trucks, a full series of distribution vehicles in the 7.5 to 19 tonnes class. DAF XB electric is for inner-city and regional distribution and offers 12, 16, and 19 tones with an e-motor delivering 120 or 190 kW of power and a nominal torque of 950 or 1,850 Nm (2,600 or 3,500 Nm peak). DAF employs cobalt and magnesium-free lithium iron phosphate (LFP) batteries with an energy content of 141 to 282 kWh, enabling a range of up to 350 km. DAF XB offers 4.5-liter 4-cylinder PACCAR PX-5 and 6.7-liter 6-cylinder PACCAR PX-7 engines. DAF XB series, entering production in Q4 2023 at DAF's UK manufacturing site in Leyland.</t>
    <phoneticPr fontId="1"/>
  </si>
  <si>
    <t>https://www.marklines.com/en/global/911</t>
    <phoneticPr fontId="1"/>
  </si>
  <si>
    <t>Volkswagen de México and the Independent Workers Union of the Volkswagen Automotive Industry (SITIAVW) successfully reached an agreement for this year’s contract negotiations, avoiding a strike for the second consecutive year. The negotiated agreement will result in an 8.1% direct increase in salaries and a 0.5% increase in contribution to the Savings Fund.</t>
    <phoneticPr fontId="1"/>
  </si>
  <si>
    <t>On August 21, Tank, a Great Wall Motor (GWM) sub-brand, announced that it will unveil the full range of Hi4-T off-road New Energy Vehicles at Chengdu Motor Show 2023 (CDMS 2023), among which the Tank 400 Hi4-T mid-to-large-size plug-in hybrid off-road SUV will be officially available for pre-ordering. The Tank 400 Hi4-T, the second model based on the Hi4-T off-road super hybrid architecture, is equipped with a 2.0T engine (maximum power 180kW and peak torque 380Nm), a 9-speed hybrid automatic transmission, and a 120kW high-power hybrid motor, with a comprehensive system power of 300kW and a comprehensive system torque of 750Nm. A 37.1kWh power battery completes the powertrain, enabling a WLTC electric-mode range of over 100km. The Tank 400 Hi4-T is equipped with a next-generation intelligent 4WD system and the Mlock mechanical locking structure, and comes with such features as a Level 2 intelligent driving assistance system. Other products of the Tank family, such as the Tank 300 and Tieqi 02 compact off-road SUVs, will be unveiled on the Public Day. In the future, all Tank models will be available with Hi4-T off-road New Energy variants.</t>
    <phoneticPr fontId="1"/>
  </si>
  <si>
    <t>https://www.marklines.com/en/global/3909</t>
    <phoneticPr fontId="1"/>
  </si>
  <si>
    <t>On August 21, JMC announced that Dadao, its pickup truck sub-brand, will unveil the new Gantanzhe model at Chengdu Motor Show 2023 (CDMS 2023). The Gantanzhe will be equipped with either a 2.3T diesel or gasoline engine, of which the former has a maximum power of 130kW and a peak torque of 450Nm, while the latter has a maximum power of 190kW and a peak torque of 450Nm. Coming with such configurations as a three differential locks, a low-speed cruise control system, a BorgWarner intelligent 4WD system, and an all-terrain management system.</t>
    <phoneticPr fontId="1"/>
  </si>
  <si>
    <t>On August 21, Haval announced the official launch of the next-generation H5 large hardcore all-purpose SUV. The next-generation H5 is equipped with either a 2.0T diesel or gasoline turbocharged engine. The diesel engine has a maximum power of 120kW and a peak torque of 360Nm or 400Nm; the gasoline engine has a maximum power of 140kW or 160kW and a peak torque of 360Nm or 380Nm. A 6-speed manual or ZF 8-speed automatic transmission completes the powertrain, with a front-engine RWD or part-time 4WD layout. The next-generation H5 comes standard with such features as ABS (Anti-lock Brake System) and VSC (Vehicle Stability Control). The 4WD variants are available with an optional rear axle mechanical differential lock.</t>
    <phoneticPr fontId="1"/>
  </si>
  <si>
    <t>On August 21, GAC Aion announced that 100 Aion Y Plus compact battery electric SUVs were readied at the Port of Nansha of Guangzhou for shipment to the Laem Chabang Port of Thailand as its first export vehicles. This will also be the first time GAC Aion exports complete vehicles to an overseas market. The Aion Y Plus, an overseas right-hand drive model tailored by GAC Aion for the Thai market, has been certified by the Department of Land Transport.</t>
    <phoneticPr fontId="1"/>
  </si>
  <si>
    <t>Mullen Automotive</t>
    <phoneticPr fontId="1"/>
  </si>
  <si>
    <t>https://www.marklines.com/en/global/10703</t>
    <phoneticPr fontId="1"/>
  </si>
  <si>
    <t>Mullen Automotive, Inc. announced that it has assembled its first production vehicle, a Mullen Three EV truck, at its commercial vehicle assembly plant in Tunica, Mississippi. The company will gradually ramp up production at its plant through the remainder of the year. At full production, the Tunica facility is expected to be capable of producing 3,000 vehicles per shift per year. As demand for electric vehicles grows, Mullen plans to add a second shift for Mullen Three production to enable the plant to assemble 6,000 vehicles per year. In addition, while production of the Mullen Three ramps up at the Tunica plant, the company will simultaneously test production and eventually launch the Mullen One, a Class 1 EV cargo van, at the same site. By the end of 2023, Mullen will be delivering both the Mullen Three and Mullen One to its customers.</t>
    <phoneticPr fontId="1"/>
  </si>
  <si>
    <t>On August 20, Nio announced that the world’s first V2G photovoltaic self-cycling energy replenishment system that it co-developed with multiple institutions such as Astronergy, a photovoltaic manufacturing company, was completed in the Qilian Mountain National Park. The system consists of a photovoltaic power station, V2G bidirectional charging stands, and battery electric vehicles (BEVs). The photovoltaic power station generates about 67,000kWh of electricity on average per year, covering 100% of the electricity demand of BEVs in the protected area. Excess electricity can cover over 50% of other electricity use in the area, with an estimated carbon emission reduction of about 53 tons per year.</t>
    <phoneticPr fontId="1"/>
  </si>
  <si>
    <t>Polestar</t>
    <phoneticPr fontId="1"/>
  </si>
  <si>
    <t>https://www.marklines.com/en/global/9867</t>
    <phoneticPr fontId="1"/>
  </si>
  <si>
    <t>On August 23, Polestar announced that it had started deliveries of its upgraded Polestar 2. In addition, Polestar has also announced that Polestar 2 has reached the milestone of 150,000 units manufactured since the beginning of its production in 2020.</t>
    <phoneticPr fontId="1"/>
  </si>
  <si>
    <t>On August 24, AvtoTOR, at the MIMS Automobility Moscow -2023 event, announced that it is developing six electric motors with power from 23 kW to 120 kW for electric vehicles. Its partner Rosatom State Corporation is developing a 150-kW motor that will be installed on the Atom electric vehicle. AvtoTOR is completing the construction of a plant for the production of electric vehicles in the Kaliningrad region. It will produce a pilot batch at the end of 2023. In 2024, it will start the production of electric motors. To facilitate this development, AvtoTOR will develop capacities for non-ferrous and black castings, and machining.</t>
    <phoneticPr fontId="1"/>
  </si>
  <si>
    <t>https://www.marklines.com/en/global/893</t>
    <phoneticPr fontId="1"/>
  </si>
  <si>
    <t>Nissan is delaying its next-gen 2025 Kicks crossover at its Aguascalientes 1 plant in Mexico due to theft of some of the production tooling, according to people familiar with the matter, saying that production will now start in June 2024, with U.S. deliveries following shortly after. Nissan confirmed the delay, but not why, saying "The arrival of the next-generation Kicks is delayed slightly due to an unexpected factor outside the company's control".</t>
    <phoneticPr fontId="1"/>
  </si>
  <si>
    <t>On August 22, multiple sources reported that Stellantis' Vigo factory encountered another production halt, specifically affecting the van assembly line. The stoppage is a result of unforeseen challenges in parts supply. One day after returning from vacation, the afternoon and night shifts on August 22, as well as the morning shift on August 23, have been canceled as a result. The company plans to resume activity on August 23 during the afternoon shift.</t>
    <phoneticPr fontId="1"/>
  </si>
  <si>
    <t>Vauxhall</t>
    <phoneticPr fontId="1"/>
  </si>
  <si>
    <t>https://www.marklines.com/en/global/869</t>
    <phoneticPr fontId="1"/>
  </si>
  <si>
    <t>On August 22, GM announced that truck production at its Fort Wayne Assembly plant will be down the week of August 28 due to an unspecified supply shortage, beginning again on September 5. The Fort Wayne plant builds the same Chevrolet Silverado 1500 and GMC Sierra 1500 pickups that are also manufactured at GM's Oshawa Assembly plant in Ontario and at GM's Silao plant in Mexico, which has been idled since August 11, and is scheduled to resume production on August 28. The Oshawa plant is currently experiencing a production slow down due to a shortage of axles, unrelated to the two other plants. </t>
    <phoneticPr fontId="1"/>
  </si>
  <si>
    <t>https://www.marklines.com/en/global/2509</t>
    <phoneticPr fontId="1"/>
  </si>
  <si>
    <t>https://www.marklines.com/en/global/2543</t>
    <phoneticPr fontId="1"/>
  </si>
  <si>
    <t>On August 21, Stellantis announced that the Fiat Strada has reached the milestone of 400,000 units produced since the launch of its second generation, in 2020, at the Betim plant in Brazil. Including the first generation, around 2.1 million Strada units have been manufactured since 1998. The Fiat Strada has been the best-selling vehicle in Brazil since 2021.</t>
    <phoneticPr fontId="1"/>
  </si>
  <si>
    <t>https://www.marklines.com/en/global/3407</t>
    <phoneticPr fontId="1"/>
  </si>
  <si>
    <t>On August 20, Chery announced the official launch of the ICE version of the new Tansuo 06 light-duty off-road SUV. The ICE version is equipped with a 1.6T turbocharged engine (maximum power 145kW and peak torque 290Nm), mated to a 7-speed dual-clutch transmission, with a front-engine FWD or all-scenario intelligent 4WD layout and respective WLTC fuel consumptions of 6.98L/100km and 7.48L/100km. The ICE version comes standard with a Qualcomm Snapdragon 8155 chip. Some models are available with such features as a Level 2.5 intelligent driving assistance system.</t>
    <phoneticPr fontId="1"/>
  </si>
  <si>
    <t>https://www.marklines.com/en/global/10504</t>
    <phoneticPr fontId="1"/>
  </si>
  <si>
    <t>On August 19, Mengshi Technology announced that it officially opened the Mengshi Technology Intelligent Park (Mengshi Park) and put the Mengshi 917, its first model, into mass production, with launch and delivery upcoming. In addition, distributed photovoltaic panels are installed on the roofs of all buildings in the park, enabling the park to generate its own electricity and sell excess electricity for considerable energy saving and emission reduction benefits.</t>
    <phoneticPr fontId="1"/>
  </si>
  <si>
    <t>On August 19, Changan Auto announced the recent signing of a framework agreement on comprehensively and continuously deepening strategic cooperation with Huawei. The two parties will cooperate in such fields as digital transformation, computing centers, cloud businesses, industrial software, software tool chains, overseas businesses, photovoltaic power generation, energy storage, and charging, and jointly improve mechanisms to promote cooperation.</t>
    <phoneticPr fontId="1"/>
  </si>
  <si>
    <t>https://www.marklines.com/en/global/4011</t>
    <phoneticPr fontId="1"/>
  </si>
  <si>
    <t>On August 18, DFCV announced the signing of strategic cooperation agreements with Yunnan Jiujiu Transportation Co., Ltd. (Jiujiu Transportation) and Beijing Longjin Yangguang Automobile Sales Service Co., Ltd. and the holding of a volume delivery ceremony for the Dongfeng Tianlong GX. In the next stage, DFCV will make all-out efforts in developing conventional energy and New Energy and actively promote the customized development of such models as electric tractors and freight vehicles.</t>
    <phoneticPr fontId="1"/>
  </si>
  <si>
    <t>According to multiple press releases dated August 18, Shanxi Haoneng Hanyuan Energy Technology Co., Ltd. was recently officially registered and established in Taiyuan, Shanxi. With a registered capital of CNY 5 million, the new company’s business scope includes operation of charging infrastructure for electric vehicles, centralized fast charging stations, and recycling and cascade utilization of waste power storage batteries for New Energy Vehicles. The company is wholly owned by Zhejiang Haohan Energy Technology Co., Ltd., which is jointly held by Geely Automobile Group Co., Ltd. (Geely) and Zeekr Automobile (Shanghai) Co., Ltd.</t>
    <phoneticPr fontId="1"/>
  </si>
  <si>
    <t>On August 16, ElectroMobility Poland (EMP) announced that the application of Geely standards in the factory where Polish electric cars of the Izera brand will be manufactured will allow for the introduction of quality control at every stage of vehicle development. Smart manufacturing based on 5G, the Internet of Things, and big data will ensure that every final product is just as perfect. EMP will implement production standards of Zeekr at the Izera factory in Jaworzno, Silesia. EMP, together with Geely, is working on mapping the production processes observed in the Zeekra factory in Hangzhou Bay, China.</t>
    <phoneticPr fontId="1"/>
  </si>
  <si>
    <t>https://www.marklines.com/en/global/2811</t>
    <phoneticPr fontId="1"/>
  </si>
  <si>
    <t>On August 16, Toyota Argentina announced that as it begins production of the Hiace in 2024 at its plant in Zárate, it will continue and enlarge the mission of the Conversions area, dedicated to designing and producing vehicles adapted to the specific needs of multiple customers. Until now, the Hiace utility vehicle has been imported from Japan, but now it will join the Hilux in the Conversions area of the Zárate plant. The Conversions area adapts vehicles for security forces, mining and oil companies, and mobile technical service, but Toyota is developing new prototypes and is targeting the export of finished vehicles to Latin American countries.</t>
    <phoneticPr fontId="1"/>
  </si>
  <si>
    <t>https://www.marklines.com/en/global/1727</t>
    <phoneticPr fontId="1"/>
  </si>
  <si>
    <t>On August 23, Hyundai Motor announced that it had started production of the second-generation KONA Electric at its Hyundai Motor Manufacturing Czech (HMMC), Nosovice Plant in the Czech Republic. The HMMC plant will be producing two versions of the KONA EV with different battery capabilities. KONA Electric's battery cells are manufactured at LG Energy Solution's plant in Wroclaw, Poland. The batteries are then assembled in their final form at the same HMMC facility that produced manual transmissions until the end of 2021. HMMC aims to produce 21,000 cars of the new generation KONA Electric model by the end of 2023, with a further 50,000 cars to be manufactured next year. KONA Electric will now be produced at HMMC in a right-hand drive version for the UK, Ireland, and Cyprus. New destinations for the electric model will also include Turkey and Israel, as well as the islands of Reunion and Guadeloupe.</t>
    <phoneticPr fontId="1"/>
  </si>
  <si>
    <t>https://www.marklines.com/en/global/1445</t>
    <phoneticPr fontId="1"/>
  </si>
  <si>
    <t>On August 22, Toyota announced that it is creating virtual replicas of its European Manufacturing Companies (EMCs). This will help Toyota to analyze and accurately plan the implementation of possible changes, as well as reduce the environmental burden of its operations. Production Engineering members will be scanning the plant area with a NavVis 360 mapping device to create an exact replica of manufacturing operations. The captured layouts will allow Toyota to study and plan possible changes for real-world factories in multiple Toyota manufacturing facilities across Europe. Virtual replicas can be used to simulate and optimize production workflows, reduce costs, and identify safety and ergonomic improvements to assembly processes. Digital replicas of factories will allow input tracking points that can be used to locate where a part is installed or where a particular piece of equipment is located. Digital Twin technology will also support conducting "what-if" scenarios, which can help Toyota to simulate the impact of changes or improvements production systems may undergo with no risk to safety or quality.</t>
    <phoneticPr fontId="1"/>
  </si>
  <si>
    <t>https://www.marklines.com/en/global/127</t>
    <phoneticPr fontId="1"/>
  </si>
  <si>
    <t>https://www.marklines.com/en/global/1396</t>
    <phoneticPr fontId="1"/>
  </si>
  <si>
    <t>Portugal</t>
    <phoneticPr fontId="1"/>
  </si>
  <si>
    <t>https://www.marklines.com/en/global/1699</t>
    <phoneticPr fontId="1"/>
  </si>
  <si>
    <t>https://www.marklines.com/en/global/1703</t>
    <phoneticPr fontId="1"/>
  </si>
  <si>
    <t>https://www.marklines.com/en/global/2379</t>
    <phoneticPr fontId="1"/>
  </si>
  <si>
    <t>https://www.marklines.com/en/global/2381</t>
    <phoneticPr fontId="1"/>
  </si>
  <si>
    <t>https://www.marklines.com/en/global/1735</t>
    <phoneticPr fontId="1"/>
  </si>
  <si>
    <t>On August 22, multiple sources reported that AvtoVAZ will start production of the Lada Aura business sedan in August-September 2024. However, AvtoVAZ added that "the project will be successful only if there is confirmed stable demand". Lara Aura is based on Lada Vesta. AvtoVAZ is also planning to produce new cars Lada Iskra and an urban crossover in the B + class on the Vesta platform.</t>
    <phoneticPr fontId="1"/>
  </si>
  <si>
    <t>On August 22, Kia America revealed details around its 2024 EV9 preparing for market launch in Q4 2023. Expected to be assembled in West Point, Georgia, beginning in 2024, the EV9 will be the first Kia EV to be assembled in the U.S. Two battery sizes configured with RWD or dual-motor AWD yield four trim levels, with up to 300 miles of electric range on the long-range Light trim and up to 379 hp and 516 lb-ft of torque, and 0-to-60 mph acceleration in under 5 seconds in the GT-Line.</t>
    <phoneticPr fontId="1"/>
  </si>
  <si>
    <t>https://www.marklines.com/en/global/249</t>
    <phoneticPr fontId="1"/>
  </si>
  <si>
    <t>Philippines</t>
    <phoneticPr fontId="1"/>
  </si>
  <si>
    <t>On August 22, Toyota Motor Philippines Corp. (TMP) held a ceremony in Manila to celebrate its 35th anniversary, with the IMV Tamaraw Concept Pickup and Modern PUV Jeepney put on display at the event. The “IMV 0 concept”, a single-cab pickup concept of Toyota, will be officially launched locally in 2024. TMP confirmed that in 2024, IMV vehicles such as the next generation Tamaraw, will be produced as CBU at the Santa Rosa plant. This represents an additional investment of PHP 4.4 billion. As of mid-year 2023, TMP has locally produced 1.03 million units. TMP and the Toyota Group have cumulatively invested PHP 73.7 billion (since 2000) and exported USD 18.76 billion-worth of auto parts and components (since 1997).</t>
    <phoneticPr fontId="1"/>
  </si>
  <si>
    <t>On August 21, Volkswagen announced to start production of ID.7 in Emden, Germany. The vehicle will be available in Germany during 2023 fall. The Emden team is striving to achieve higher productivity through optimized processes, digitized production, knowledge transfer in the production network, and a new logistics concept. These initiatives are projected to save more than 10,000 tons of CO2 annually. The new electric vehicle assembly hall's test area emphasizes AI and data collection for more tailored and efficient testing based on vehicle types. Over the next few years, autonomous driving integration is in progress involving collaboration with other locations.</t>
    <phoneticPr fontId="1"/>
  </si>
  <si>
    <t>On August 21, the Ultiun Cells LLC plant in Warren, Ohio reported to the U.S. Occupational Safety and Health Administration (OSHA), that there had been a chemical spill that happened over the weekend. A slurry containing battery materials and a hazardous solvent, n-Methylpyrrolidone (NMP), had leaked, spilling a black substance on the ground around equipment in the plant's mixing department. Mixing operations will remain paused until the area "has been inspected for damage and deemed safe", though it remains unclear how the stoppage will impact production.</t>
    <phoneticPr fontId="1"/>
  </si>
  <si>
    <t>Reported on August 21, Mitsubishi Motors will reportedly start making its HEV models in Thailand from early 2024, its first overseas HEV production outside Japan. According to Nikkei Asia, Mitsubishi will produce hybrid versions of the Xpander, while its upcoming SUV model that is due in November will also bring a hybrid model in the future.</t>
    <phoneticPr fontId="1"/>
  </si>
  <si>
    <t>Exeed</t>
    <phoneticPr fontId="1"/>
  </si>
  <si>
    <t>On August 17, Exeed, a high-end Chery sub-brand, announced the successful holding of a launch event for the Sterra ES, the first vehicle equipped with the SparkDesk cognitive large model and the Lion AI large model platform. The Lion AI large model platform has three development phases and six core capabilities. This is the first Chinese-branded mass-produced sedan equipped with an 800V high-voltage platform, with a power consumption as low as 11.7kWh/100km, an ultra-long range of 720km. For intelligent driving, the vehicle is powered by a computing platform with an ultra-high computing power of 512TOPS. In the future, Chery and iFlytek will continue to deepen cooperation on large models and automobiles and explore new development paths for high-end New Energy Vehicles.</t>
    <phoneticPr fontId="1"/>
  </si>
  <si>
    <t>https://www.marklines.com/en/global/10638</t>
    <phoneticPr fontId="1"/>
  </si>
  <si>
    <t>On August 17, Skyworth Auto announced the holding of a ceremony to commemorate its first right-hand drive body-in-white rolling off the production line. The mass production and delivery of the complete vehicle is expected in Q4 2023. The right-hand drive model is an important link of the Skyworth Auto strategy of accelerating product globalization. At Auto Shanghai 2023, the automaker officially announced that its right-hand drive models were being promoted to the market with its 2nd-generation models. The automaker’s global operations have so far penetrated 45 countries and regions, and the future official launch of its right-hand drive models will support it in entering more overseas markets.</t>
    <phoneticPr fontId="1"/>
  </si>
  <si>
    <t>On August 17, Deepal announced the official signing of a cooperation framework agreement with Huawei at the latter’s global headquarters in Bantian, Shenzhen. The two parties will focus on automobile intelligentization and jointly promote the R&amp;D of application of new technologies in the field of intelligent electric vehicles. In the next three years, Deepal will deeply cultivate six product lineups by launching over two new products per year.</t>
    <phoneticPr fontId="1"/>
  </si>
  <si>
    <t>On August 16, Changan Auto signed a strategic cooperation agreement with Baidu for in-depth cooperation in various fields such as cloud computing, AI, big data and Internet of Things, R&amp;D, production, supply, sales, and services. Concurrently, the Changan Auto Intelligent Computing Center co-built by the two parties was officially inaugurated and commissioned. Currently, the two parties are developing an ERNIE-based generative AI product, which will be installed in a mass-produced Changan Auto model. In the future, they will continue to partner in depth for AI platforms, AI application, AI data cooperation, and AI talent cultivation. It is expected that by 2025, Changan Auto will invest a total of over CNY 80 billion in such fields as intelligentization, technology innovation, and digital transformation.</t>
    <phoneticPr fontId="1"/>
  </si>
  <si>
    <t>On August 16, BYD held the Fang Cheng Bao brand and technology launch event, where its Fang Cheng Bao professional personalized sub-brand, the Bao 5 plug-in hybrid off-road SUV (the first Fang Cheng Bao model), and the DMO (Dual Mode Off-road) super hybrid platform were officially released. Integrating a new non-load-bearing hybrid architecture and an off-road-dedicated hybrid architecture, the DMO platform is empowered with the CTC (Cell to Chassis) technology and an electricity-based design. For the powertrain, the platform is equipped with an off-road-dedicated longitudinal high-power engine (143kW and 180kW for the 1.5T and 2.0T versions, respectively), the world’s first longitudinal electric hybrid system (maximum power 200kW), the industry’s first off-road-dedicated rear-drive powertrain (maximum power 285kW and peak wheel torque 8,000Nm), and an off-road-dedicated CTC battery, with an intelligent electric 4WD layout, front and rear electronic differential locks, and a middle energy lock. It is powered by a silicon carbide chip and is compatible with the DiSus-P hydraulic body control system, with an ultra-long combined range. The Bao 5, the world’s first production model equipped with the DMO platform, has an ultra-high 500kW power, a 100% gradeability, and a 2.5T towing capacity, with 16+N driving modes. The vehicle has a 35% lower combined fuel consumption than conventional ICE off-road vehicles in its class, a 0 to 100km/h acceleration time in the 4-second range, and a combined range of over 1,200km.</t>
    <phoneticPr fontId="1"/>
  </si>
  <si>
    <t>https://www.marklines.com/en/global/961</t>
    <phoneticPr fontId="1"/>
  </si>
  <si>
    <t>Malaysia</t>
    <phoneticPr fontId="1"/>
  </si>
  <si>
    <t>Reported on August 11, Honda Malaysia has confirmed that the Accord series will be discontinued locally. In Malaysia, the outgoing 10th generation Accord is officially the last of the series to be sold and manufactured locally at the Pegoh plant. This decision was reportedly made due to the current market trends that see continued strong demand for SUVs and poor D-segment sedan. Sales of the Accord in Malaysia will officially continue with activities anticipated to conclude by year-end.</t>
    <phoneticPr fontId="1"/>
  </si>
  <si>
    <t>https://www.marklines.com/en/global/1259</t>
    <phoneticPr fontId="1"/>
  </si>
  <si>
    <t>On July 19, Tata Sons announced that it will invest GBP 4 billion in the UK to establish a global battery cell gigafactory with a capacity to produce 40 GWh of cells annually. JLR and Tata Motors will be anchoring customers, with supplies commencing from 2026. UK Prime Minister stated that it will be one of the largest ever investments in the UK automotive sector and create thousands of skilled jobs. The battery gigafactory will produce high-quality, high-performance, sustainable battery cells and packs for a variety of applications within the mobility and energy sectors. It intends to maximize its renewable energy mix, with an ambition for 100% clean power. The plant will employ innovative technologies and resource-efficient processes like battery recycling to recover and reuse all the original raw materials.</t>
    <phoneticPr fontId="1"/>
  </si>
  <si>
    <t>https://www.marklines.com/en/global/10753</t>
    <phoneticPr fontId="1"/>
  </si>
  <si>
    <t>Jaguar</t>
    <phoneticPr fontId="1"/>
  </si>
  <si>
    <t>On August 22, multiple sources reported that Toyota Motor Manufacturing Czech Republic s.r.o. (TMMCZ) halt production at its Kolin plant due to a parts shortage. This interruption was caused by the large-scale fire at the production and storage facilities of a local supplier, Novares, in Zebrak. According to the automaker, plant ceased operations on August 22, 2023. The duration of this suspension remains uncertain, and it may impact the plant's annual production targets. The outage is the second this year at the plant after a break in February.</t>
    <phoneticPr fontId="1"/>
  </si>
  <si>
    <t>https://www.marklines.com/en/global/1265</t>
    <phoneticPr fontId="1"/>
  </si>
  <si>
    <t>Uttarakhand</t>
  </si>
  <si>
    <t>On August 21, Tata Power Renewable Energy Limited (TPREL) signed a power purchase agreement (PPA) for a 9 MWp on-campus solar plant with Tata Motors Limited Pantnagar plant in Uttarakhand. The project will be commissioned within 6 months from the PPA execution date. The solar installation will utilize both rooftop and ground-mounted units for installation and will result in an estimated reduction of carbon emission of 25 tonnes of CO2/kWp in Uttarakhand.</t>
    <phoneticPr fontId="1"/>
  </si>
  <si>
    <t>On August 19, Mercedes-Benz unveiled its second-generation Mercedes-AMG GT Coupé sports car. The vehicle is available in two performance levels of the AMG 4.0-litre V8 biturbo engine, assembled in Affalterbach. The starting model is AMG GT 55 4MATIC+ Coupé and the top model is AMG GT 63 4MATIC+ Coupé. AMG GT 63 4MATIC+ Coupé delivers an output of 430 kW and 800 Nm of torque over a speed range of 2,500 to 4,500 rpm.</t>
    <phoneticPr fontId="1"/>
  </si>
  <si>
    <t>On August 18, Automobili Lamborghini unveiled its future all-electric vehicle Lanzador concept at Monterey Car Week in California, showcasing the fourth series production model aligned with their "Direzione Cor Tauri" strategy for decarbonization. The Lanzador concept is a tangible preview of Lamborghini's 2028 production vehicle. The car will be manufactured in Sant'Agata Bolognese, with plans to expand the facility and hire more staff. It features dual electric motors on each axle offers all-wheel drive with over one megawatt peak power, adaptive torque vectoring for dynamic cornering, and a high-performance battery ensuring ample range. The vehicle features a newly developed and advanced LDVI (Lamborghini Dinamica Veicolo Integrata) driving dynamics control system, which features enhanced sensors and actuators.</t>
    <phoneticPr fontId="1"/>
  </si>
  <si>
    <t>On August 18, PJSC Sollers started a project to organize the production of gearboxes at the new enterprise Sollers Transmission Production at the industrial site of the Zavolzhsky Motor Plant. Investments in the project will amount to more than RUB 600 million. As a result of the project implementation, about 100 jobs will be created. Serial production of a 6-speed manual transmission (MT) will be launched in the second quarter of 2024. The company will assemble and test manual transmissions. It is also planning to localize technological operations for casting and machining crankcases, and in the future, localization of all the main parts of manual transmissions is being considered. The total production under the project will be 7,000 units in 2024, with a subsequent increase to 50,000 units per year. The new manual transmissions will be installed on the range of Sollers light commercial vehicles and UAZ vehicles.</t>
    <phoneticPr fontId="1"/>
  </si>
  <si>
    <t>https://www.marklines.com/en/global/1303</t>
    <phoneticPr fontId="1"/>
  </si>
  <si>
    <t>On August 17, Škoda Auto Volkswagen India Private Limited (SAVWIPL) achieved the 600,000-export milestone for cars produced at its manufacturing facility in Chakan, Pune. The journey of the VW Group’s export success commenced with the Polo and Vento models in 2011 and further, the company expanded on this, with Virtus, Taigun, and Kushaq. It mentioned that the India-made models are finding strong demand in Mexico, GCC countries, Sub Sahara, North Africa, and another Asian markets.</t>
    <phoneticPr fontId="1"/>
  </si>
  <si>
    <t>On August 17, Stellantis launched the new Rampage pickup at 115 Ram dealerships across Brazil. The Rampage already has more than 8,000 pre-orders. The Rampage is built alongside the Fiat Toro, as well as the Jeep Renegade, Compass, and Commander, at the Pernambuco plant in Brazil.</t>
    <phoneticPr fontId="1"/>
  </si>
  <si>
    <t>https://www.marklines.com/en/global/2869</t>
    <phoneticPr fontId="1"/>
  </si>
  <si>
    <t>Iveco is planning to make its factories in Sete Lagoa, Brazil and Córdoba, Argentina an export base for heavy vehicles with engines using power plant technology below Euro 6 standards. The strategy aims to reach markets, such as Africa, where decarbonization efforts are milder, as well as Chile, Peru, Uruguay, Paraguay, Ecuador and Central America. Iveco is also planning for the first batch of 20 units of its electric utility vehicle, the Daily Elétrico to reach the Brazilian market at the end of 2023.</t>
    <phoneticPr fontId="1"/>
  </si>
  <si>
    <t>https://www.marklines.com/en/global/2789</t>
    <phoneticPr fontId="1"/>
  </si>
  <si>
    <t>https://www.marklines.com/en/global/8853</t>
    <phoneticPr fontId="1"/>
  </si>
  <si>
    <t>On August 16, Dongfeng Nissan announced the official launch of the 3rd-generation Qashqai compact crossover SUV. Based on the 2nd-generation CMF professional platform for SUVs, the 3rd-generation Qashqai is equipped with a new 1.3T HR13 turbocharged engine (maximum power 116kW and peak torque 270Nm), mated to a next-generation XTRONIC continuously variable transmission, with an FWD layout, a maximum speed of 196km/h, and a WLTC minimum fuel consumption of 6.59L/100km. The 3rd-generation Qashqai comes standard with the Nissan Connect 2.0 system. Some models are equipped with such features as the enhanced ProPilot system, a Level 2 intelligent driving assistance system.</t>
    <phoneticPr fontId="1"/>
  </si>
  <si>
    <t>https://www.marklines.com/en/global/3793</t>
    <phoneticPr fontId="1"/>
  </si>
  <si>
    <t>According to multiple press releases dated August 16, Guangzhou Huaxu Opto. Technology Co., Ltd., which is jointly held by GAC Component Co., Ltd. (GAC Component) and Guangdong Rayton Intelligent Opto. Co., Ltd., was recently established. With a registered capital of CNY 270 million, the new company’s business scope includes R&amp;D of automotive parts, manufacturing of optoelectronic devices, manufacturing of automotive parts and accessories, manufacturing of electronic components, and manufacturing of intelligent automotive devices.</t>
    <phoneticPr fontId="1"/>
  </si>
  <si>
    <t>On August 16, Dongfeng Motor announced the Leap Action, a policy to accelerate electrification for passenger cars under its divisions. It represents major adjustments to the current management system of Dongfeng Motor’s NEV business. Dongfeng Motor will establish a new sales company named Dongfeng Passenger Vehicle Sales Co., Ltd. and a new manufacturing headquarters. The corporation will centrally manage the sales and manufacturing of its three major divisions: Aeolus, eπ, and Nano. The product planning and project management of the three divisions will also be centralized to realize the central management of product planning, manufacturing, and sales. The positioning of the three divisions will be further clarified. Aeolus will accelerate the transformation from ICE vehicles to energy-saving vehicles. eπ will be positioned as an electrified brand for the mainstream market. Nano will be officially launched as a battery electric vehicle (BEV) brand for the Mini segments on August 23. So far, Dongfeng has developed a new brand pattern in the passenger car segment, consisting of the Mengshi brand for luxury off-road EV segment, the VOYAH brand for the high-end NEV segment, and the DFAC brand for the mainstream segment. In the next three years, Dongfeng Motor will invest CNY 50 billion in NEVs under its divisions, launching 18 new passenger car models and 22 basic models of commercial vehicles. By 2024, the major passenger car brands under Dongfeng Motor should have electrified 100% of new models. </t>
    <phoneticPr fontId="1"/>
  </si>
  <si>
    <t>https://www.marklines.com/en/global/3469</t>
    <phoneticPr fontId="1"/>
  </si>
  <si>
    <t>On August 15, BAIC BluePark announced that according to operational needs, its subsidiary BJEV intends to relocate the Beijing high-end smart eco-plant and purchase production equipment from the Miyun plant of Foton Motor for renovation of production lines. BJEV also plans to lease the buildings and ancillary facilities from the Miyun plant to meet its new requirements for production. The construction of the smart plant began in 2018 but was postponed in late 2020 due to strategic adjustments. Since then, BJEV hasn’t invested in this project. Until now, the total investment in the smart plant has been adjusted to CNY 1.612 billion (excluding tax), including CNY 752 million for the purchase of production equipment from the Miyun plant and other additional investments of CNY 860 million (excluding tax). The construction is expected to be completed in 10 months. The smart plant will annually produce 50,000 vehicles. To further strengthen the cooperation, BJEV will forge an alliance with Huawei Device Co., Ltd. on the basis of the existing strategic partnership with Huawei Technologies Co., Ltd. The first model co-developed by two parties is positioned as a premium smart electric sedan. To meet the design and production requirements of the new model, BJEV will upgrade the existing BE22 platform in an all-round way to create a new-generation premium intelligent connected EV platform. The models built on the upgraded BE22 platform will be manufactured at the Beijing high-end smart eco-plant.</t>
    <phoneticPr fontId="1"/>
  </si>
  <si>
    <t>Foxconn(Hon Hai)</t>
    <phoneticPr fontId="1"/>
  </si>
  <si>
    <t>https://www.marklines.com/en/global/2495</t>
    <phoneticPr fontId="1"/>
  </si>
  <si>
    <t>On August 31, Fisker Inc. announced that production-intent PEAR will be exhibited publicly at the Fisker Lounge Munich, concurrent with the IAA Mobility 2023. Manufacturing and deliveries are expected to commence in July 2025. It is planned to be built in the US in collaboration with Foxconn at a factory in Ohio. It has two battery options which offer an estimated range from 180-320 miles. It will be offered in both rear-wheel and all-wheel drive. A high-performance variant, the Fisker PEAR Extreme, will also be in the lineup. The PEAR uses a new light steel body structure. Fisker's engineering and design departments have worked on reducing the parts count by 35%. Vehicle length is 4550mm.</t>
    <phoneticPr fontId="1"/>
  </si>
  <si>
    <t>https://www.marklines.com/en/global/1485</t>
    <phoneticPr fontId="1"/>
  </si>
  <si>
    <t>On August 31, Schaeffler AG and VDL Groep announced a partnership to explore the development and production of a new generation of self-driving shuttles for public transport. They will be showcasing a first demonstrator at the IAA Mobility show. The two partners are currently in advanced negotiations with public transport authorities and operators to start pilot projects. Testing may start in 2025. Together, both companies aim to accelerate the development of shuttle vehicles that can be manufactured on a commercial scale for multiple geographies. They will produce thousands of vehicles per year starting in 2030. Production is planned to take place at VDL's Mobility Innovation Centre in Born, Netherlands. The autonomous shuttle will have a capacity of nine seats. It will have two deeply integrated independent sensing systems, one camera-based and one radar or lidar-based.</t>
    <phoneticPr fontId="1"/>
  </si>
  <si>
    <t>On August 31, Hyundai Motor Group and LG Energy Solution (LGES) announced they will invest an additional USD 2 billion in their battery cell manufacturing joint venture at the Metaplant in Bryan County, raising the JV’s total investment value to more than USD 4.3 billion. With this announcement, the Hyundai EV manufacturing facility and battery JV represents an estimated USD 7.59 billion in investment. The 30 GWh facility will be able to support the production of 300,000 units of EVs annually at full operations.</t>
    <phoneticPr fontId="1"/>
  </si>
  <si>
    <t>https://www.marklines.com/en/global/2675</t>
    <phoneticPr fontId="1"/>
  </si>
  <si>
    <t>On August 31, Stellantis announced that the 100,000th Chrysler Pacifica Plug-In Hybrid (PHEV) rolled off the production line at the Windsor Assembly Plant, serving as the “foundation to deliver the first all-electric Chrysler vehicle in 2025 and an all-electric Chrysler brand portfolio in 2028,” said Chris Feuell, Chrysler brand CEO. It has a dual-motor eFlite electrically variable transmission (EVT) paired to a modified version of the 3.6-liter Pentastar V6 gasoline engine.</t>
    <phoneticPr fontId="1"/>
  </si>
  <si>
    <t>https://www.marklines.com/en/global/965</t>
    <phoneticPr fontId="1"/>
  </si>
  <si>
    <t>Reported on August 30, Chery Malaysia has celebrated the milestone of the handing over of the first CKD locally assembled cars from Inokom plant in Kulim to Chery Malaysia. The two models are of the Omoda 5 and Tiggo 8 Pro SUVs. Previously on August 24, the company announced that the successful completion of the first batch of Pre-Delivery Inspection (PDI) at its CKD plant in Kulim, has rolled of the line.</t>
    <phoneticPr fontId="1"/>
  </si>
  <si>
    <t>Inokom</t>
    <phoneticPr fontId="1"/>
  </si>
  <si>
    <t>https://www.marklines.com/en/global/357</t>
    <phoneticPr fontId="1"/>
  </si>
  <si>
    <t>Announced on August 30, PT Suzuki Indomobil Sales (PT SIS) has begun the exports of the Suzuki XL7 Hybrid from Indonesia, which will reach 24 countries world-wide in the future. With PT Indonesia Vehicle Terminal Tbk (IPCC) serving as a stevedoring partner, 265 units of the new Suzuki XL7 Hybrid have been dispatched to 4 countries in Central America and North America, namely Nicaragua, Costa Rica, Honduras, and Mexico. Suzuki Indonesia's first export of the new XL7 Hybrid started on August 11 and 12 to 4 countries and will continue to other countries in Asia and America. This model is projected to account for 39% of Suzuki Indonesia's total export vehicles in 2023. </t>
    <phoneticPr fontId="1"/>
  </si>
  <si>
    <t>https://www.marklines.com/en/global/1384</t>
    <phoneticPr fontId="1"/>
  </si>
  <si>
    <t>On August 29, multiple sources reported that the Volkswagen Autoeuropa plant in Portugal will halt production from September 11 to November 12, 2023, due to a parts shortage caused by floods in Slovenia. The latest information from management clarified that September 9 and 10 would be down days as per the company agreement. Starting from September 11, workers will enter a lay-off period, except for certain operational areas.</t>
    <phoneticPr fontId="1"/>
  </si>
  <si>
    <t>https://www.marklines.com/en/global/2089</t>
    <phoneticPr fontId="1"/>
  </si>
  <si>
    <t>Reported on August 29, the Toyota C-HR has reportedly been discontinued in Thailand, as the model is no longer shown on Toyota Thailand’s official website. The first-generation C-HR’s production at the Toyota Motor Thailand Gateway Plant in Chachoengsao, along with its reservations at dealers have reportedly been stopped. The final batch of the first-generation C-HR was delivered in June. The carmaker has yet to reveal whether the 2nd generation C-HR will be made available in the Thai market.</t>
    <phoneticPr fontId="1"/>
  </si>
  <si>
    <t>On August 28, BYD announced that its controlled subsidiary BYD Electronic (International) Company Limited intends to acquire the mobile electronics manufacturing business of Jabil Inc., one of the world’s largest electronics manufacturing service and solution providers, for approximately RMB 15.8 billion (USD 2.2 billion) in cash, marking BYD Electronics’ expansion of the core supply chain for consumer electronics. The target of the acquisition is Jabil’s product manufacturing business located in Chengdu and Wuxi, including the manufacturing of components for existing customers.</t>
    <phoneticPr fontId="1"/>
  </si>
  <si>
    <t>On August 28, XPeng and Didi Chuxing jointly announced that they will form a strategic partnership to jointly promote the large-scale application of intelligent electric vehicles (EVs) and relevant technologies. XPeng will issue 3.25% of its total Class A common shares to acquire the relevant assets and R&amp;D capabilities of a Didi Chuxing intelligent EV project, based on which the automaker will develop a compact intelligent EV codenamed Mona. The vehicle will be the first model of a new XPeng sub-brand and be differentiated from existing XPeng models, with mass production expected in 2024. Didi Chuxing will provide XPeng with all its technologies and expertise for strong support in multiple dimensions. XPeng will thus become the first automaker to gain full support from the Didi ecosystem. In addition, the two parties will cooperate in such fields as vehicle operation, brand marketing, financial insurance services, charging facilities, and international markets.</t>
    <phoneticPr fontId="1"/>
  </si>
  <si>
    <t>On August 27, Changan Auto officially launched the new Changan Qiyuan sub-brand, which will develop digital intelligent vehicles based on the SDA super intelligent electric digital platform. With Changan Qiyuan launched, Changan Auto now has three sub-brands for intelligent New Energy Vehicles: Changan Qiyuan, Deepal, and Avatr, meeting the requirements of different market segments for development. In the future, Changan Qiyuan will open up the three new product lineups of A, Q, and E0. By 2025, the brand will introduce 10 new digital intelligent vehicles into the global market, with a total of over 20 Changan Auto models, including six Deepal and four Avatr models, to be introduced. In 2023, the brand will introduce the A05, A06, A07, and Q05 models in succession. By 2030, Changan Auto will invest a total of CNY 200 billion, build a new technology innovation team of over 10,000 people.</t>
    <phoneticPr fontId="1"/>
  </si>
  <si>
    <t>https://www.marklines.com/en/global/3907</t>
    <phoneticPr fontId="1"/>
  </si>
  <si>
    <t>On August 26, EXEED, a high-end Chery sub-brand, announced that it displayed the STERRA ES at the Chengdu Motor Show 2023 (CDMS 2023). Positioned as a mid-to-large-size electric sedan, the STERRA ES represents the first model of EXEED’s New Energy Vehicle (NEV) series named STERRA. It is scheduled to be launched in the fourth quarter of 2023. The STERRA ES comes standard with air suspension and CDC (Continuous Damping Control). The sedan marks the first Chinese brand to adopt the 800V high-voltage platform. It consumes 11.7kWh of power per 100km. It supports a long range of up to 720km. The STERRA ES introduces an automotive "big model" approach jointly developed with iFLYTEK.</t>
    <phoneticPr fontId="1"/>
  </si>
  <si>
    <t>On August 25, at the Chengdu Motor Show 2023 (CDMS 2023), SAIC Roewe exhibited the D7 EV battery electric sedan and the D7 DMH hybrid sedan of the new D7 mid-to-high-end New Energy sedan lineup. Based on the SAIC Motor Nebula battery electric-dedicated systematic platform, the D7 EV is equipped with a luxury RWD architecture and a VGA 6-in-1 electric drive (maximum power 155kW), mated to an ultra-thin 110mm Rubik’s Cube battery, with a CLTC combined range of 510km or 610km and a 0 to 100km/h acceleration time of 6.5 seconds. The D7 DMH is equipped with the new DMH super hybrid system and dual motors in P1 and P3 configurations, with a CLTC electric-mode range of 125km, a CLTC combined range of 1,400km, and a CLTC feeder fuel consumption as low as 4.3L/100km.</t>
    <phoneticPr fontId="1"/>
  </si>
  <si>
    <t>On August 25, GAC Group participated in the Chengdu Motor Show 2023 (CDMS 2023) with its four vehicle brands: GAC Aion, GAC Trumpchi, GAC Honda, and GAC Toyota. Hyper, a high-end division under GAC Aion, displayed models such as the Hyper GT smart coupe and the two-door, two-seater Hyper SSR flagship supercar, along with several cutting-edge Hyper TEC technologies. The Hyper SSR, which accelerates from 0-100km/h in 1.9 seconds, is scheduled to be launched and delivered on October 9, 2023. GAC Trumpchi unveiled the ES9, a full-size smart SUV. GAC Honda showcased the new medium-sized plug-in hybrid sedan Accord and the compact plug-in hybrid SUV Breeze. Both models are equipped with the 4th-generation dual-motor i-MMD (Intelligent Multi-Mode Drive) plug-in hybrid system and new technologies related to the three key parts of electrical systems. Other models of GAC Honda displayed at the event include the Integra compact car and the first battery electric SUV named e:NP1. GAC Toyota exhibited the Sienna high-end family SUV and the hybrid version of the Frontlander compact crossover SUV.</t>
    <phoneticPr fontId="1"/>
  </si>
  <si>
    <t>https://www.marklines.com/en/global/4087</t>
    <phoneticPr fontId="1"/>
  </si>
  <si>
    <t>https://www.marklines.com/en/global/4081</t>
    <phoneticPr fontId="1"/>
  </si>
  <si>
    <t>https://www.marklines.com/en/global/4083</t>
    <phoneticPr fontId="1"/>
  </si>
  <si>
    <t>On August 25, Kia China announced the launch of the EV6 battery electric coupe at the Chengdu Motor Show 2023 (CDMS 2023). the EV6 is the first electric vehicle under Kia's electrification transformation strategy. The EV6 is built on the E-GMP (Electric Global Modular Platform), a dedicated battery electric vehicle platform. It is equipped with a new PE system. All versions of the vehicle are powered by 76.4kWh ternary lithium batteries. The GT-Line 2WD version is equipped with a permanent magnet synchronous motor (maximum power 168kW and peak torque 350Nm). It adopts a rear-motor and rear-wheel-drive layout. It provides a CLTC (China light duty vehicle test cycle) range of 671km. The EV6 enjoys more than 10 Level 2+ intelligent driving assistance functions.</t>
    <phoneticPr fontId="1"/>
  </si>
  <si>
    <t>https://www.marklines.com/en/global/9821</t>
    <phoneticPr fontId="1"/>
  </si>
  <si>
    <t>On August 25, at the Chengdu Motor Show 2023 (CDMS 2023), SAIC Audi exhibited all its models: the A7L flagship luxury high-performance sedan, the Q5 e-tron flagship battery electric SUV, and the Q6 luxury large 6- or 7-seater SUV. The A7L 55TFSI variant comes standard with a 3.0T V6 turbocharged engine and a 48V mild hybrid system, and adopts the Quattro intelligent 4WD technology, with a 0 to 100km/h acceleration of only 5.6 seconds. The 45TFSI variant comes standard with a 180kW high-power 2.0T TFSI engine, mated to a 12V mild hybrid system and a 7-speed dual-clutch transmission. The Q5 e-tron, the first China-made Audi SUV based on a battery electric platform. The vehicle is available with single-motor RWD and dual-motor Quattro layouts, mated to an 83.4kWh battery, with a maximum CLTC range of 560km. The vehicle comes standard with a Level 2+ autonomous driving assistance system, with additional emergency driving assistance for the 2023 version. The Q6 is the first China-made Audi model with a 4th-generation A888 2.0T engine. The vehicle comes standard with the Quattro intelligent system and is available with a Level 2+ intelligent driving assistance system and an optional EA390 2.5T V6 turbocharged engine.</t>
    <phoneticPr fontId="1"/>
  </si>
  <si>
    <t>https://www.marklines.com/en/global/8679</t>
    <phoneticPr fontId="1"/>
  </si>
  <si>
    <t>https://www.marklines.com/en/global/9129</t>
    <phoneticPr fontId="1"/>
  </si>
  <si>
    <t>On August 25, BAIC exhibited a number of new products and held a technology brand renewal event at the Chengdu Motor Show 2023 (CDMS 2023). Unveiled at the event were the Jimu 2.0 automotive technology, the Wujiang off-road technology, the Xianji intelligent technology, and the Mohe power technology, which constitute a BAIC technology brand. The Jimu 2.0 architecture, an upgrade of the Jimu 1.0 platform, is derived from two sub-platforms for off-road vehicles and New Energy Vehicles, respectively, with seven featured models to be introduced in the next two years. The new BJ40, the first model to be debuted after the renewal of the technology brand, is positioned as an all-scenario off-road SUV. consisting of a 2.0T engine and an 8-speed automatic transmission, with a maximum power of 180kW and a peak torque of 395Nm. Supported by the Wujiang platform, the vehicle is equipped with the world’s only safety body with a built-in roll cage. It comes with off-road technologies such as a full-time 4WD system with a planetary gear mechanical structure, an in-house developed high-speed-ratio transfer case, and an in-house developed automatic transmission system, and is available with three differential locks and 11 driving modes. Other models such as the EU5 Plus battery electric vehicle, the new Mofang SUV, the new X7 compact SUV, and the 2024 BJ40 Rainforest Edition were exhibited as well.</t>
    <phoneticPr fontId="1"/>
  </si>
  <si>
    <t>https://www.marklines.com/en/global/4111</t>
    <phoneticPr fontId="1"/>
  </si>
  <si>
    <t>https://www.marklines.com/en/global/4059</t>
    <phoneticPr fontId="1"/>
  </si>
  <si>
    <t>https://www.marklines.com/en/global/3735</t>
    <phoneticPr fontId="1"/>
  </si>
  <si>
    <t>On August 25, SAIC Maxus announced that it globally debuted and simultaneously started accepting pre-orders for the new Mifa 7 family luxury electric MPV, at the Chengdu Motor Show 2023 (CDMS 2023). Adopting a high-efficiency electric drive based on the next-generation E2 architecture, the Mifa 7 is equipped with a permanent magnet synchronous motor (maximum power 180kW and peak torque 350Nm), an SAIC Motor 77kWh or 90kWh ternary lithium battery, and a high-level battery management system, with a maximum speed of 180km/h and a CLTC range of 527km or 605km. The Mifa 7 comes with an in-vehicle system with a Qualcomm Snapdragon 8155 chip and a Level 2+ intelligent driving assistance system. Other models such as the Mifa 9 high-end battery electric MPV, the G90 intelligent ICE-powered MPV, the Xingji H and Xingji Bull Demon King pickup trucks, the Lingdi luxury hardcore full-size SUV, and the V70 next-generation crossover vehicle were also exhibited at the event.</t>
    <phoneticPr fontId="1"/>
  </si>
  <si>
    <t>On August 25, Jetour, a Chery sub-brand, announced that it exhibited and started accepting pre-orders for the T-1 compact light off-road SUV. The T-1 is powered by either a Chery Power 1.5TD (maximum power 135kW and peak torque 290Nm) or 2.0TD engine (maximum power 187kW and peak torque 390Nm), mated to a 7-speed dual-clutch transmission, with a front-engine FWD or front-engine 4WD (the world’s first XWD full-automatic intelligent 4WD system) layout. Some variants are available with such features as a Level 2.5 intelligent assisted driving system.</t>
    <phoneticPr fontId="1"/>
  </si>
  <si>
    <t>On August 31, AvtoTOR started production of Kaiyi X3, and Kaiyi X3 Pro crossovers. For the production, AvtoTOR engineers developed a set of technological documentation and provided additional technological equipment for the production line. Kaiyi specialists carried out an audit of the assembly process and the quality of the produced cars of the "pilot" batch, as a result of which a decision was made on the mass production of the Kaiyi X3, and Kaiyi X3 Pro crossovers. Kaiyi X3 has a 1.5-liter engine with 113 hp, and a 7-speed gearbox - CVT. Kaiyi X3 Pro crossovers has a 1.5-liter turbocharged gasoline engine with 147 hp, mated to a continuously variable transmission.</t>
    <phoneticPr fontId="1"/>
  </si>
  <si>
    <t>https://www.marklines.com/en/global/817</t>
    <phoneticPr fontId="1"/>
  </si>
  <si>
    <t>On August 30, Trade Union ASM announced that production downtime will be extended by 3 months till November 30, 2023, at the former Volkswagen plant in Kaluga which was acquired by AVILON company. A job fair is also organized at the plant on August 31, 2023, which will be attended by representatives of the AVILON company, as well as representatives of the automakers of the GAZ, HAVAL, and KAMAZ groups. Employees who wish to take vacancies at these enterprises will have their employment contracts with AGR LLC who is the current owner of the former Volkswagen Kaluga plant, suspended for the duration of this program.</t>
    <phoneticPr fontId="1"/>
  </si>
  <si>
    <t>DRB-Hicom</t>
    <phoneticPr fontId="1"/>
  </si>
  <si>
    <t>Proton</t>
    <phoneticPr fontId="1"/>
  </si>
  <si>
    <t>https://www.marklines.com/en/global/9874</t>
    <phoneticPr fontId="1"/>
  </si>
  <si>
    <t>On August 30, Proton Pakistan announced the recommencement of its plant operations after the production pause due to government policies and macroeconomic situations. It mentioned that they would now initiate to fulfill pending deliveries and other commitments. Additionally, Proton Pakistan has already started the production of SAGA this month and the production of the X70 will follow in the month of October.</t>
    <phoneticPr fontId="1"/>
  </si>
  <si>
    <t>https://www.marklines.com/en/global/1156</t>
    <phoneticPr fontId="1"/>
  </si>
  <si>
    <t>On August 29, Tata Passenger Electric Mobility, a subsidiary of Tata Motors launched its new brand identity, TATA.ev, for the EV business. The new brand identity embodies the core philosophy of "Move with Meaning," unifying the values of sustainability, community, and technology.</t>
    <phoneticPr fontId="1"/>
  </si>
  <si>
    <t>Marcopolo</t>
    <phoneticPr fontId="1"/>
  </si>
  <si>
    <t>https://www.marklines.com/en/global/9565</t>
    <phoneticPr fontId="1"/>
  </si>
  <si>
    <t>On August 28, BYD Mexico announced that it will supply Enel X Mexico with 21 state-of-the-art electric buses for its Metrorrey electrification project, manufactured in Monterrey by BYD in collaboration with Marcopolo at its Polomex plant.</t>
    <phoneticPr fontId="1"/>
  </si>
  <si>
    <t>https://www.marklines.com/en/global/3897</t>
    <phoneticPr fontId="1"/>
  </si>
  <si>
    <t>On August 26, JAC Group announced that it debuted the new Refine RF8 intelligent plug-in hybrid MPV and unveiled the Refine Space family brand for co-creation and sharing at the Chengdu Motor Show 2023 (CDMS 2023). The Refine RF8 is equipped with the MUSE intelligent architecture, China’s first MPV-dedicated architecture, and the 3DHT intelligent electric hybrid system, the first of its kind to be applied to an MPV in China. The 3DHT system consists of a high-efficiency dedicated hybrid engine, a 3-speed dedicated hybrid transmission, and a 44.5kWh cellular battery, delivering three power settings and four driving modes. The system has a comprehensive power of 310kW and a comprehensive torque of 745Nm, with an electric-mode range of over 200km and a combined range of over 1,200km in urban scenarios. The Refine RF8, the world’s first intelligent MPV with the Harmony cockpit.</t>
    <phoneticPr fontId="1"/>
  </si>
  <si>
    <t>https://www.marklines.com/en/global/10356</t>
    <phoneticPr fontId="1"/>
  </si>
  <si>
    <t>On August 25, BYD announced that it officially started accepting pre-orders for the new Seal DM-i midsize plug-in hybrid sedan. Based on the new DM-i super hybrid platform for midsize vehicles, the Seal DM-i is equipped with an electric hybrid system. Three 121km-range variants are powered by a Xiaoyun plug-in hybrid-dedicated 1.5L high-efficiency engine (maximum power 81kW and peak torque 135Nm) and a front motor (maximum power 145kW and peak torque 325Nm). In addition, the 200km-range variant and the 121km-range variants are equipped with 30.6kWh and 17.6kWh blade batteries, respectively, with an FWD layout. Variants with 1.5Ti and 1.5L engines have respective 0 to 100km/h acceleration times of 7.9 seconds and 8.2 seconds. The three 121km-range variants with a 1.5L engine, the two 121km-range variants with a 1.5Ti engine, and the 200km-range variant have respective NEDC fuel consumptions of 3.9L/100km, 4.2L/100km, and 4.4L/100km at the lowest charge. The NEDC combined range exceeds 1,300km. Some variants are available with such features as the DiPilot intelligent driving assistance system.</t>
    <phoneticPr fontId="1"/>
  </si>
  <si>
    <t>https://www.marklines.com/en/global/10526</t>
    <phoneticPr fontId="1"/>
  </si>
  <si>
    <t>On August 25, Dadao, a JMC sub-brand for pickup trucks, announced that it officially started accepting pre-orders for the new Gantanzhe large all-scenario crossover pickup truck. The gasoline- and diesel-powered versions of the Gantanzhe are equipped with a 2.3T FEU gasoline engine and a 5th-generation 2.3T PUMA diesel engine, respectively. Both versions are mated to an 8-speed automatic transmission. Some variants are available with an intelligent assisted driving system.</t>
    <phoneticPr fontId="1"/>
  </si>
  <si>
    <t>On August 30, XPeng Motors announced the beginning of P7 deliveries in four key European markets and its participation in IAA Mobility 2023, Munich, Germany. XPeng launched G9 and P7 models in February 2023. Deliveries of P7 recently commenced, with the first batches of vehicles having arrived at XPeng's delivery centers in Lørenskog, Norway; Järfälla, Sweden; Hillerød, Denmark; and Badhoevedorp, The Netherlands.  Deliveries of G9 will begin in the coming months as XPeng's network of authorized agencies and partners expands.</t>
    <phoneticPr fontId="1"/>
  </si>
  <si>
    <t>On August 29, MAN Truck and Bus announced that it has welcomed 528 new apprentices to begin training in twelve roles across Munich, Nuremberg, Salzgitter, and service workshops. Additionally, 30 dual students are pursuing degrees alongside their training. Across all levels, the company trains 1,337 young individuals, contributing to skill development and supporting German locations. These apprenticeships align with industry transformation and trends like electrification, digitalization, and automation.</t>
    <phoneticPr fontId="1"/>
  </si>
  <si>
    <t>https://www.marklines.com/en/global/2175</t>
    <phoneticPr fontId="1"/>
  </si>
  <si>
    <t>On August 29, based on multiple sources reported that the Volkswagen Autoeuropa plant in Portugal plans to halt production for a few weeks starting September 2023 due to parts shortage caused by a flood in Slovenia affecting an engine parts supplier. The exact return date remains unspecified but meanwhile, Autoeuropa will seek alternative suppliers. The interruption is set for the first half of September. VW Group is collaborating with other suppliers to restore normal production swiftly.</t>
    <phoneticPr fontId="1"/>
  </si>
  <si>
    <t>On August 29, Omoda Russia revealed the specifications of the all-new JAECOO J7 smart crossover, which will debut on the Russian market in September 2023. The JAECOO J7 crossover comes with an intelligent all-wheel drive system called ARDIS (All Road Drive Intelligent System). The all-wheel-drive system offers the driver seven different driving modes: economical, standard, sporty, off-road, snow, sand, and mud. In all-wheel drive mode, the fuel consumption of the JAECOO J7 smart crossover for every 100 kilometers is 8.2 liters in mixed mode.</t>
    <phoneticPr fontId="1"/>
  </si>
  <si>
    <t>https://www.marklines.com/en/global/10688</t>
    <phoneticPr fontId="1"/>
  </si>
  <si>
    <t>On August 29, Blue Energy Motors, India's first green truck maker, announced that it won an order from Container Corporation of India Ltd (CONCOR) for the supply of 100 LNG-powered trucks. Blue Energy Motors' BE 5528+LNG trucks use FPT Industrial's (IVECO Group) multipoint stoichiometric combustion engine which produces 280 horsepower and 1000 Nm of torque. The truck has the first 990-lt cryogenic LNG tank in its class, giving it an up to 1,400 km range on a single fill.</t>
    <phoneticPr fontId="1"/>
  </si>
  <si>
    <t>https://www.marklines.com/en/global/2861</t>
    <phoneticPr fontId="1"/>
  </si>
  <si>
    <t>On August 29, Caoa announced it will invest BRL 3 billion in its plant in Anápolis, Brazil to modernize the assembly line and increase the production volume of the Chery Tiggo 5X Sport by 150% with 800 new workers. Caoa is also committed to investments in R7D, carried out with educational institutions in Goiás.</t>
    <phoneticPr fontId="1"/>
  </si>
  <si>
    <t>https://www.marklines.com/en/global/2443</t>
    <phoneticPr fontId="1"/>
  </si>
  <si>
    <t>On the 29th, Kia was reported that it has halted the operation of its car manufacturing plant in Hwaseong due to a fire occurred there in the night of the 28th. Fire broke out on the second floor of the third plant’s robot-operated painting line. It will take at least 10 days for the factory to resume normal operations. Kia will suspend the plant through Sept. 6, affecting the production of the K5 and K8 sedans and the electric EV6 crossover.</t>
    <phoneticPr fontId="1"/>
  </si>
  <si>
    <t>https://www.marklines.com/en/global/171</t>
    <phoneticPr fontId="1"/>
  </si>
  <si>
    <t>On August 28, Renault Group announced that it is focusing on new skill development such as electric vehicles, data processing, cybersecurity, and recycling vehicles and parts. Driving toward the circular economy, the company anticipates skills demand like coach builders adapting to work on used vehicles instead of new ones and the need to expand vehicle dismantling vehicle practices, which are currently lacking in industrial settings. The company's goal is to train 15,000 employees by 2025 to address these changes. The Flins ReFactory campus collaborates with public and private partners, including universities in France, and organizations to facilitate industry transition.</t>
    <phoneticPr fontId="1"/>
  </si>
  <si>
    <t>On August 28, Volkswagen de México announced that its plant in Puebla will suspend production of the Jetta for two weeks to make changes to the production lines from August 28 to September 9. The workers involved in Segment 1 production of the Jetta model will be the most affected by the halt in operations.</t>
    <phoneticPr fontId="1"/>
  </si>
  <si>
    <t>On August 25, Kia showcased the EV5, a new compact battery electric SUV, at the Chengdu Motor Show 2023 (CDMS 2023), which marked the debut of the EV5 in China. The EV5 is available in various power options including standard range, long range, single-motor, and dual-motor. The long range version provides a CLTC (China light duty vehicle test cycle) range of over 700km. And adopt a second-generation battery management system. The EV5 enjoys features such as a Level 2 driver assistance system supporting semi-automatic lane changes. Kia plans to launch the EV5 in China in the second half of 2023. More details about this SUV will be disclosed at the Kia EV Day, an event to be held in October where Kia’s EV product lineup and business vision will be introduced.</t>
    <phoneticPr fontId="1"/>
  </si>
  <si>
    <t>On August 25, Mengshi Technology, a Dongfeng Motor (DFM) sub-brand and China’s first brand for luxury off-road electric vehicles, officially launched its first model, named M-Hero 917, at the Chengdu Motor Show 2023 (CDMS 2023). The M-Hero 917 is built on the M TECH intelligent off-road architecture, which includes the following three hard-core technologies: 1) MORA skateboard off-road platform. As the first independent electric off-road skateboard platform, it is available in two power options: battery electric and range extender. It features several cutting-edge technologies such as VMC (Vehicle Motion Control) and AKC (Active Kinematics Control). 2) MEGA POWER powertrain. The battery electric version of the M-Hero 917 carries 4 electric motors in the front and rear, coupled with the first 142.7kWh double-layer large-capacity highly safe ternary lithium battery in China. It provides a CLTC (China light duty vehicle test cycle) range of 505km. The extended-range version of the M-Hero 917 comes with 3 electric motors and a 1.5T high-efficiency range extender, coupled with 65.8kWh ternary lithium batteries. It delivers a maximum power of 600kW and a peak torque of 1,050Nm. Under the CLTC standard, it provides a range of 200km in EV mode and a combined range of 1,026km. Both versions adopt a smart four-wheel-drive system. 3) M ATS all-terrain solution. It offers five off-road driving modes: snow, mud, sand, rock, and water, as well as an intelligent off-road AUTO mode. Riding on a Qualcomm 8155 SoC (System-on-a-Chip).</t>
    <phoneticPr fontId="1"/>
  </si>
  <si>
    <t>https://www.marklines.com/en/global/997</t>
    <phoneticPr fontId="1"/>
  </si>
  <si>
    <t>On August 24, Proton launched its X90, a seven-seat SUV model, at the Festival of Motoring 2023 in South Africa. The seven-seater X90 will be available in four variants. The first units are expected to reach local showrooms by early September 2023.</t>
    <phoneticPr fontId="1"/>
  </si>
  <si>
    <t>https://www.marklines.com/en/global/3433</t>
    <phoneticPr fontId="1"/>
  </si>
  <si>
    <t>According to multiple press releases dated August 24, Shenzhen CHJ Technology Co., Ltd. was recently officially registered and established in Shenzhen, Guangdong. With a registered capital of CNY 1 million, the new company’s business scope includes big data services, development of basic AI software, development of AI application software, operation of charging infrastructure for electric vehicles, and energy storage technologies and services. The company is wholly owned by Li Auto.</t>
    <phoneticPr fontId="1"/>
  </si>
  <si>
    <t>On August 23, SAIC GM announced the official launch of the Buick Encore Plus sub-compact crossover SUV. The Buick Encore Plus is equipped with a new 8th-generation Ecotec 1.5T four-cylinder direct-injection turbocharged engine (maximum power 135kW and peak torque 250Nm), mated to a steel-chain-driven continuously variable transmission, with an FWD layout, a WLTC fuel consumption of 6.59L/100km, and a 0 to 100km/h acceleration time of 8.5 seconds. The Buick Encore Plus adopts a next-generation high-gear-ratio EPS (Electric Power Steering) system and comes standard with such features as the eCruise intelligent assisted driving system.</t>
    <phoneticPr fontId="1"/>
  </si>
  <si>
    <t>https://www.marklines.com/en/global/635</t>
    <phoneticPr fontId="1"/>
  </si>
  <si>
    <t>On August 3, multiple sources reported that Nissan will cease the production of its popular half-ton bakkie, the NP200, at its Rosslyn plant in South Africa by March 2024. This will leave Nissan Navara as the only model produced at Nissan's Rosslyn plant. In addition to the NP200, Nissan South Africa discontinued the NP300, GT-R, and Micra models over the past two years.</t>
    <phoneticPr fontId="1"/>
  </si>
  <si>
    <t>On August 29, Kamaz announced that it has added a third stand for testing P6 engines at its engine-plant. The need for new equipment is dictated by the growth in production volumes of the inline "six". The current production capacity of P6 engines is 12 thousand per year. Kamaz also plans to increase the production volume to 30 thousand units in 2024, with the possibility of adding a fourth engine test stand if required.</t>
    <phoneticPr fontId="1"/>
  </si>
  <si>
    <t>On August 29, AvtoVAZ announced that it will resume production of vehicles that comply with the Euro-5 environmental standard from September 1, 2023. Due to the imposed sanctions restrictions, it was forced to temporarily switch to a lower Euro-2 standard in 2022. New calibrations and engine control units are developed in Russia. Granta became the first Lada model equipped with an engine according to the Euro-5 eco-standard. The Euro-5 eco-standard returns to the entire Lada Granta family (sedan, liftback, Cross, and Drive Active) with both engine modifications, 90 hp, and 106 hp. Cars have passed a full cycle of tests in conditions of various temperatures, mountain tests, tests for electromagnetic compatibility, etc.</t>
    <phoneticPr fontId="1"/>
  </si>
  <si>
    <t>On August 28, Daimler Trucks announced that it had successfully wrapped up the summer testing of its long-distance battery-electric truck, eActros 600. For around five weeks, the vehicle underwent rigorous trials in Andalusia, southern Spain, enduring temperatures up to 44 degrees Celsius. Tests covered air conditioning functionality in heat, electric powertrain performance, battery management, and rapid charging. The prototype vehicle completed a 2,000 km journey back from Granada via Valencia, Barcelona, Montpellie, and Lyon to the Mercedes-Benz Trucks development and testing center in Wörth am Rhein, Germany.</t>
    <phoneticPr fontId="1"/>
  </si>
  <si>
    <t>https://www.marklines.com/en/global/495</t>
    <phoneticPr fontId="1"/>
  </si>
  <si>
    <t>On August 28, Suzuki Auto presented its five-door Jimny off-road SUV at the Festival of Motoring 2023 in South Africa. Due to the popularity of the new Jimny and its three-door sibling, Suzuki's production facilities in Japan and India are working at full capacity to meet the demand. Suzuki Auto plans to release the five-door Jimny for sale in the last quarter of 2023.</t>
    <phoneticPr fontId="1"/>
  </si>
  <si>
    <t>On August 28, Renault revealed Kardian as the name of its future compact SUV that will be presented on October 25, with sales starting in the first quarter of 2024. The Kardian will be produced in São José dos Pinhais and will debut Renault's new 1.0-liter 12V turboflex engine, both as part of a BRL 2 billion investment.</t>
    <phoneticPr fontId="1"/>
  </si>
  <si>
    <t>https://www.marklines.com/en/global/1965</t>
    <phoneticPr fontId="1"/>
  </si>
  <si>
    <t>On August 25, based on multiple sources reported that the Volkswagen plans to assemble battery in Navarra, as confirmed to the works council. It will partner with Hyundai Mobis for battery assembly while the contract is pending, despite Hyundai Mobis' earlier confirmation. At the meeting, the annual production figures for 2023 have also been updated, around 15,000 cars reduction in 2023 production, totaling around 280,420 cars. Production will work from Monday to Friday on business days until the end of the year and eliminate the need for recovery shifts on breaks and Saturdays after first-semester losses.</t>
    <phoneticPr fontId="1"/>
  </si>
  <si>
    <t>On August 25, Ford said it will idle production of the F-150 at the Kansas City Assembly Plant the weeks of August 28 and September 4 due to a parts shortage, builds the F-150 normally working with three shifts, but runs on one shift the week of August 28 and two shifts the week of September 4. Ford recently restarted its F-150 Lightning production after expanding capacity at the Rouge Electric Vehicle Center, as it did for the all-electric Mustang Mach-E in Cuautitlan, Mexico.</t>
    <phoneticPr fontId="1"/>
  </si>
  <si>
    <t>https://www.marklines.com/en/global/2599</t>
    <phoneticPr fontId="1"/>
  </si>
  <si>
    <t>https://www.marklines.com/en/global/9201</t>
    <phoneticPr fontId="1"/>
  </si>
  <si>
    <t>On August 25, BYD | RIDE delivered two K7M 30’ battery-electric buses to the city of Burlington, North Carolina to serve the passengers of its Link Transit Fleet public transit system. The 30-foot buses fit up to 22 passengers, and are built at the BYD | RIDE Coach and Bus Facility located in Lancaster, California.</t>
    <phoneticPr fontId="1"/>
  </si>
  <si>
    <t>On August 25, VW announced the newly redesigned 2024 Saveiro with robust proportions, new finishes and more equipment. The front suspension received 10mm of ground clearance and entry versions now receive new 15-inch steel wheels. For 2024, the entire Saveiro line, built in Sao Bernardo do Campo for the local market and 17 Latin American countries, comes with the 1.6-liter EA211 engine, with 116 hp and 16.1 kgfm of torque, linked to a five-speed manual transmission.</t>
    <phoneticPr fontId="1"/>
  </si>
  <si>
    <t>On August 25, BYD announced it will create an R&amp;D center in Salvador, Brazil, to develop technology for hybrid flex engines, which will use ethanol in conjunction with electric propulsion. While final agreements with the government need yet to be signed, BYD confirmed that it will lay the cornerstone of its industrial complex in Camaçari in October. The Camaçari complex will add two other factories, one for bus chassis and electric trucks to supply the North and Northeast of the country, and another for the processing and export of lithium and iron phosphate for the production of batteries.</t>
    <phoneticPr fontId="1"/>
  </si>
  <si>
    <t>On August 24, EMR Group and EV battery manufacturer Northvolt launched a Hamburg battery recycling plant, in Germany. Operated by EMR (European Metal Recycling), the facility dismantles around 10,000 tonnes of EV battery packs annually. Northvolt designed the facility layout, integrating their battery discharging and dismantling solutions. Battery modules are sent to Northvolt for additional recycling, involving crushing for plastics, aluminum, and copper recovery. The remaining "black mass" is processed at the Revolt Ett recycling plant in Sweden using Northvolt's hydromet technology for more battery-grade materials like lithium, nickel, manganese, and cobalt. These materials feed Northvolt's cathode production, supporting on-site battery manufacturing.</t>
    <phoneticPr fontId="1"/>
  </si>
  <si>
    <t>WM</t>
    <phoneticPr fontId="1"/>
  </si>
  <si>
    <t>https://www.marklines.com/en/global/9532</t>
    <phoneticPr fontId="1"/>
  </si>
  <si>
    <t>According to multiple press releases dated August 24, Hubei Xinghui recently added a new bankruptcy review case, which was filed by Shanghai Sinylon Auto Equipment Manufacture Co., Ltd. and handled by the Huanggang Municipal Intermediate People’s Court of Hubei Province. WM Motor is making every effort to resume work and production. The company announced the news of exporting the EX5 model on July 25.</t>
    <phoneticPr fontId="1"/>
  </si>
  <si>
    <t>https://www.marklines.com/en/global/9556</t>
    <phoneticPr fontId="1"/>
  </si>
  <si>
    <t>https://www.marklines.com/en/global/9576</t>
    <phoneticPr fontId="1"/>
  </si>
  <si>
    <t>On August 24, SAIC Motor Passenger Vehicle announced that it will exhibit nearly 20 models of its sub-brands such as Roewe and MG and unveil four blockbuster New Energy Vehicles (NEVs): the new Roewe D7 EV mid-to-high-end sedan, the new Roewe D7 DMH hybrid sedan, the MG Cyberster, China’s first electric roadster, and the MG Mulan (named MG4 EV overseas), the first global model in China’s automotive industry, at Chengdu Motor Show 2023 (CDMS 2023). Roewe will exhibit such models as the eRX5 super hybrid vehicle, the iMax8 EV luxury 7-seater battery electric MPV, the RX9, the RX5 Plus, the i5, and the Clever. MG will exhibit such models as the MG7 midsize coupe, the 2023 MG5, the 3rd-generation MG6 Pro, the MG5 Scorpio, and the MG One.</t>
    <phoneticPr fontId="1"/>
  </si>
  <si>
    <t>https://www.marklines.com/en/global/9814</t>
    <phoneticPr fontId="1"/>
  </si>
  <si>
    <t>On August 23, Dongfeng Motor (DFM) announced that it officially unveiled Dongfeng Nammi, its new sub-brand specializing in small electric vehicles, and globally debuted the Dongfeng Quantum Architecture 3.0 platform specially for Dongfeng Nammi and the Nammi 01, the brand’s first model. At the event, the Dongfeng Nammi brand logo was officially disclosed. From 2023 to 2025, the brand will lay a solid foundation for its development by such means as brand building, channel planning, product deployment, marketing capability enhancement, and industrial construction to achieve a sales volume of over 400,000 vehicles by 2025 and launch one to two new models every year. The Dongfeng Quantum Architecture 3.0 platform adopts a short front and rear suspension design and supports millisecond-range active battery power cut. The platform comes with the world’s first Mach-E “10-in-1” electric drive system and a flat-wire motor, with a power consumption as low as 11kWh/100km and a CLTC comprehensive efficiency of 89%. It is capable of intelligent vehicle control, and also features three proprietary technological reserves in its class: wheel hub motors based on the same principles as those used in million-CNY-range models, a solid-state battery currently under demonstration operation.</t>
    <phoneticPr fontId="1"/>
  </si>
  <si>
    <t>https://www.marklines.com/en/global/3437</t>
    <phoneticPr fontId="1"/>
  </si>
  <si>
    <t>On August 23, Hyundai China announced that the N sub-brand will officially unveil the pre-order prices of the new Elantra N, its first model introduced into China, at Chengdu Motor Show 2023 (CDMS 2023). The vehicle will be available for pre-ordering on August 28. The new Elantra N inherits the three exclusive core DNAs of high performance of the N brand: Corner Rascal, Everyday Sports Car, and Race Track Capability, and retains to the greatest extent the performance of Hyundai models sold in the global market.</t>
    <phoneticPr fontId="1"/>
  </si>
  <si>
    <t>On August 22, based on multiple sources reported that the Stellantis resumed production in Zaragoza, Spain after a three-week summer break by launching the redesigned versions of Opel Corsa and Corsa e. The factory is in operation, including the incorporation of 600 new workers.</t>
    <phoneticPr fontId="1"/>
  </si>
  <si>
    <t>On August 21, Neta Auto, a Chinese EV brand under Hozon New Energy Automobile Co., Ltd. (Hozon), unveiled the Hozon Strategy 2.0 at its Tech Day. The event also marked the debut of five innovative technologies: the Hozon Supercomputing, the Hozon Skateboard Chassis, the Hozon Electric Drive, the Hozon Extended Range, and the Hozon Thermal Control. The Hozon Supercomputing platform introduces the industry-first integrated gateway domain control, integrated central domain control (smart control + smart driving), and a centralized computing platform. The new Hozon Skateboard Chassis platform adopts the next-generation EEI central electric architecture. It accelerates from 0 to 100km/h in just 3.5 seconds and consumes 11kWh of power per 100km. It provides a CLTC range of more than 1,000km. The Hozon Electric Drive is available in two types: the 180kW 400V and 250kW 800V high-voltage SiC electric drive systems. The Hozon Extended Range employs a specialized Atkinson engine tailored for high efficiency range extension. The heat pump air conditioning technology of the Hozon Thermal Control demonstrates low energy consumption, wide temperature adaptation, and high level of integration. Neta Auto plans to start operation at the “Hozon Intelligent Technology” smart plant in September and make its R&amp;D results available to the entire industry. The first phase of Hozon Intelligent Technology’s digital production lines now already annually produces 100,000 units of domain controllers, 150,000 units of range extender assemblies, 150,000 units of electric drive assemblies, 150,000 units of electronic control systems, and 300,000 units of thermal management systems.</t>
    <phoneticPr fontId="1"/>
  </si>
  <si>
    <t>https://www.marklines.com/en/global/1282</t>
    <phoneticPr fontId="1"/>
  </si>
  <si>
    <t>On September 6, Tata Motors announced that it supplied 400 Starbus EV buses to the Delhi Transport Corporation (DTC), via its subsidiary TML CV Mobility Solutions Ltd, as a part of its larger order from DTC to supply, maintain, and operate 1,500 low-floor, air-conditioned electric buses for a period 12-years. TML CV Mobility Solutions has set up state-of-the-art enabling ecosystems at select depots across the National Capital Territory of Delhi to charge, maintain, and seamlessly operate the e-bus fleet. They look further to association with DTC by supplying 1,100 more e-buses to DTC in a phase-wise manner. The buses feature electronic stability control, electronic brake distribution, air suspension, an intelligent transport system, and panic buttons among other advanced features.</t>
    <phoneticPr fontId="1"/>
  </si>
  <si>
    <t>https://www.marklines.com/en/global/9587</t>
    <phoneticPr fontId="1"/>
  </si>
  <si>
    <t>https://www.marklines.com/en/global/173</t>
    <phoneticPr fontId="1"/>
  </si>
  <si>
    <t>On September 5, Renault unveiled the new longer version of the Kangoo line-up, the all-new Grand Kangoo at the IAA Mobility in Munich. The vehicle is developed in Renault's Maubeuge factory in Hauts-de-France (Northern France) and the orders for the vehicle will begin later this year, with deliveries starting in early 2024. It comes with 500-liter boot capacity in the 7-seater version, extendable to 3,750 liters with rear seats and front passenger seat folded down. The all-new Grand Kangoo E-Tech electric comes with 45 kWh lithium-ion battery with 8 independent and easily repairable modules, offering a range of up to 265 km. The electric version offers two charger options i.e. 22 kW AC fast charger and another 22 kW AC – DC 80 kW standard charger. The electric version is powered by a 90 kW motor with 245 Nm of torque. Additionally, the model will be available as an internal combustion version with two engines based on the latest emission standards (Euro 6E) i.e. 130 hp gasoline engine and 95 hp diesel engine.</t>
    <phoneticPr fontId="1"/>
  </si>
  <si>
    <t>Porsche</t>
    <phoneticPr fontId="1"/>
  </si>
  <si>
    <t>https://www.marklines.com/en/global/10697</t>
    <phoneticPr fontId="1"/>
  </si>
  <si>
    <t>Chile</t>
    <phoneticPr fontId="1"/>
  </si>
  <si>
    <t>On September 4, Porsche announced the exploration of the integration of a Direct Air Capture (DAC) facility into the eFuels pilot plant in Chile in collaboration with Volkswagen Group Innovation, HIF Global, and MAN Energy Solutions. This facility aims to extract the necessary CO2 from the air for eFuels production at the Haru Oni pilot plant in Punta Arenas, Chile. The project's details and alignment with Porsche's strategy will be presented at the IAA summit in Munich. DAC technology offers the advantage of being deployable wherever renewable energy is available. The Haru Oni eFuels pilot plant can potentially use wind energy to power the DAC filter system, ensuring a renewable energy source. The heat required for the process could be generated through the hydrogen production process within the eFuels plant. In the DAC process, ambient air undergoes filtration to remove large particles, and then it passes through a filter material where CO2 is captured. The extracted CO2 is collected in a purified form for various applications, and any potential by-products like water are separated. This extracted CO2 has multipurpose applications within a circular economy. It can serve as a raw material for non-fossil-based plastics production, offering long-term CO2 storage. Additionally, it can be used in the production of synthetic fuels (eFuels).</t>
    <phoneticPr fontId="1"/>
  </si>
  <si>
    <t>https://www.marklines.com/en/global/9879</t>
    <phoneticPr fontId="1"/>
  </si>
  <si>
    <t>Hungary</t>
    <phoneticPr fontId="1"/>
  </si>
  <si>
    <t>On September 2, BMW announced that it will unveil the Vision Vehicle based on Neue Klasse at IAA Mobility 2023, featuring a minimalist design with clean lines and a focus on essential elements. The Neue Klasse, manufactured in Debrecen, Hungary, prioritizes sustainability by using no fossil fuels and incorporating more recycled materials. Then the new BMW iDrive represents a significant advancement in vehicle interaction which emphasizes modern design, touch, and advanced voice interaction. Vision Neue Klasse's sixth-generation BMW eDrive technology features advanced round battery cells with over 20% higher energy density, improving charging speed by up to 30% and increasing the range by up to 30%, leading to a 25% increase in overall vehicle efficiency.</t>
    <phoneticPr fontId="1"/>
  </si>
  <si>
    <t>https://www.marklines.com/en/global/4303</t>
    <phoneticPr fontId="1"/>
  </si>
  <si>
    <t>On September 6, Polestar announced that it will debut it Polestar 3 prototype at the Polestar Space at in Singapore ahead of its launch in H2 2024, starting with Long Range Dual Motor variants. Production is planned to begin in Volvo Cars’ facility in Chengdu, China, with additional manufacturing at Volvo Cars’ Ridgeville, South Carolina plant in the U.S.</t>
    <phoneticPr fontId="1"/>
  </si>
  <si>
    <t>According to multiple press releases dated September 5, Anhui Yineng Automotive Technology Co., Ltd. was recently registered and established in Wuhu, Anhui, with a registered capital of CNY 100 million. The business scope includes manufacturing of automotive parts and accessories, R&amp;D of intelligent robots, manufacturing of industrial robots, manufacturing of electrical and electronic elements, and R&amp;D of new material technologies. Shares in the new company are held in the proportions of 51%, 34%, and 15% by Wuhu Chery Technology Co., Ltd. (a wholly-owned subsidiary of Chery Automobile Co., Ltd.), Jiangsu Jiahe Thermal System Radiator Co., Ltd., and Wuhu Shengyu Enterprise Management Partnership (Limited Partnership), respectively.</t>
    <phoneticPr fontId="1"/>
  </si>
  <si>
    <t>On September 5, iCAR, a Chery sub-brand, unveiled the power information of the new iCAR 03 hardcore electric SUV. The iCAR 03 is equipped with an intelligent electric 4WD system and dual motors in the front (70kW/165Nm) and rear (135kW/220Nm), with a 0 to 100km/h acceleration time of only 6.5 seconds and a top speed of 150km/h. A battery higher in capacity and lighter in weight completes the powertrain, with a CLTC maximum range of 501km.</t>
    <phoneticPr fontId="1"/>
  </si>
  <si>
    <t>Wuling</t>
    <phoneticPr fontId="1"/>
  </si>
  <si>
    <t>On September 4, SAIC-GM-Wuling unveiled the power information of the new Wuling Nebula 5-seater SUV. The Wuling Nebula is equipped with a next-generation super fuel system with a 2.0L Atkinson-cycle engine and a high-power battery with an instantaneous discharge power of over 100kW. A Wuling in-house developed intelligent dual-motor electronic control system and an electromagnetic dedicated hybrid transmission complete the powertrain. The vehicle has a maximum power of 130kW, a peak torque of 320Nm, a 0 to 60km/h acceleration time of only 3.2 seconds, a cruising range of over 872km when the fuel tank is full, and a combined fuel consumption of 5.5L/100km.</t>
    <phoneticPr fontId="1"/>
  </si>
  <si>
    <t>https://www.marklines.com/en/global/9541</t>
    <phoneticPr fontId="1"/>
  </si>
  <si>
    <t>On September 2, JMC Group held a strategic cooperation framework agreement signing ceremony with Baidu at Jiangxi Jiangling Group Electric Vehicle Co., Ltd. in Nanchang, Jiangxi. According to the agreement, the two parties will be dedicated to cooperating on intelligent driving. Combining Baidu’s AI capabilities and JMC Group’s automotive platform technologies and professional automobile manufacturing technologies, they will promote the application and popularization of high-level intelligent driving technologies and jointly explore and develop the intelligent connected vehicle market and urban intelligent transportation.</t>
    <phoneticPr fontId="1"/>
  </si>
  <si>
    <t>On September 1, at an event, Zeekr officially unveiled the 001 FR luxury battery electric supercar and debuted five achievements in the evolution of its core technologies for New Energy Vehicles (NEVs): the fastest accelerating mass-produced battery electric vehicle (BEV), the world’s first mass-produced quad-motor distributed electric drive, the industry’s first mass-produced four-wheel torque vectoring control system, the world’s first mass-produced satellite communication technology for electric vehicles (EVs), and the V3 charging stand with the highest single-plug output power. The 001 FR based on the SEA (Sustainable Experience Architecture), the vehicle is equipped with a full-stack 800V system and the world’s first mass-produced quad-motor distributed electric drive, with a maximum power of 1,265PS, a peak torque of 1,280Nm, a 0 to 100km/h acceleration time of only 2.07 seconds (excluding the starting time), and a top speed of 280km/h.  It also comes with such features as the NZP autonomous navigation assistance system. In Q4 2023, Geely Galaxy will unveil the new Galaxy E8 wide-bodied flagship battery electric sedan. Based on the SEA. In the second half of 2023, Geely will unveil “the auto industry’s first full-stack in-house developed all-scenario AI large model”.</t>
    <phoneticPr fontId="1"/>
  </si>
  <si>
    <t>On August 31, the signing ceremony for a Memorandum of Understanding (MoU) between Neta Auto and Hong Kong Science and Technology Parks Corporation (HKSTP) was held at the Charles K. Kao Auditorium. According to the MoU, Neta Auto will establish its global headquarters at HKSTP, where the automaker plans to gradually invest about CNY 3.2 billion in the next five years in building intelligent R&amp;D and big data centers with an area of about 4,444 square meters and an estimated employment of nearly 600 talented R&amp;D personnel to link Hong Kong with mainland China’s industrial chains and, concurrently, explore a USD 200 million equity investment plan in Hong Kong. Neta Auto will leverage Hong Kong’s advantages in financing, low tax rate, human resources, and technologies to promote the development of Hong Kong’s New Energy technology industry and accelerate promoting the globalization of its brands and products through the synergies generated by the headquarters establishment and its investments.</t>
    <phoneticPr fontId="1"/>
  </si>
  <si>
    <t>On August 29, AESC Group Ltd. (AESC), a major automotive battery manufacturer, held a ceremony for the completion of construction of the first building at its Ibaraki Plant, in which it has invested approximately JPY 50 billion. AESC has scheduled the first building to begin production of lithium-ion batteries (cells and modules) for electric vehicles (EVs) in March 2024. With an annual production capacity of 6 GWh, the plant will supply Nissan Motor Co., Ltd. (Nissan) and Honda Motor Co., Ltd. Approximately 500 people will be employed there by the summer of 2024. AESC will further invest about JPY 50 billion to complete the construction of the second building at the Ibaraki Plant in the fall of 2024 and start production in mid-2025 or later. The second building will also produce lithium-ion batteries (cells and modules) for electric vehicles (EVs) and supply them to Nissan and Mazda Motor Corporation. About 500 people will be employed at the second building, the same as the first building. AESC is also considering constructing a third building at its Ibaraki Plant, which would have a total target annual production capacity of 20 GWh for all three buildings when the expansion has been completed.</t>
    <phoneticPr fontId="1"/>
  </si>
  <si>
    <t>On September 5, URAL Automobile Plant presented promising developments of equipment and automotive components at the International Exhibition of Commercial Vehicles "Comtrans-2023". It presented a modular electric platform Ural which is equipped with a 130-kW traction motor. It has a range of 300 km. The unified chassis design with a 4x2 wheel arrangement with a load capacity of up to 11 tons ensures ease of installation of a wide variety of superstructures. It also presented several other vehicles.</t>
    <phoneticPr fontId="1"/>
  </si>
  <si>
    <t>On September 5, Tata Motors and Tata Power Renewable Energy Limited (TPREL), entered into a power purchase agreement (PPA) to develop a new 12MWp on-site solar project at Tata Motors’ Pune commercial vehicle manufacturing facility. The installation is collectively expected to generate 17.5 million units of electricity every year, which will meet nearly 17.2% of the annualized requirement, potentially mitigating over 12,400 tonnes/kWh of carbon emission each year. The solar project is to be commissioned within six months after the PPA gets signed and will include rooftop installations. This 12MWp adds to the existing 8.73 MWp summing to 20.73 MWp for Tata Motors across CVBU (commercial vehicle), Pune. Over the next few years, the company plans to expand the solar capacity of its Pune plant to meet the growing demand for renewable energy.</t>
    <phoneticPr fontId="1"/>
  </si>
  <si>
    <t>https://www.marklines.com/en/global/3309</t>
    <phoneticPr fontId="1"/>
  </si>
  <si>
    <t>On September 5, VWoA revealed that the 2024 ID.4 electric compact SUV assembled in Chattanooga, Tennessee is getting a major upgrade for its 82 kWh battery models, including a new performance drive unit that delivers greater performance and improved to EPA range. The 2024 ID.4 will be available in three trim levels with the option of 62 kWh or 82 kWh batteries, as well as rear-wheel- or all-wheel drive.</t>
    <phoneticPr fontId="1"/>
  </si>
  <si>
    <t>https://www.marklines.com/en/global/569</t>
    <phoneticPr fontId="1"/>
  </si>
  <si>
    <t>On August 29, Hino Motors, Ltd. announced the 1st, 2nd, and 4th lines at the Hamura Plant and the line that produces small engines at the Nitta Plant were shut down on the same day. The company was unable to process orders for parts due to trouble with the production order system. The Koga Plant, which produces large- and medium-duty trucks, also suspended operations on January 30. The Hamura Plant and Nitta Plant resumed operations on August 30, and the Koga Plant on August 31.</t>
    <phoneticPr fontId="1"/>
  </si>
  <si>
    <t>https://www.marklines.com/en/global/541</t>
    <phoneticPr fontId="1"/>
  </si>
  <si>
    <t>On August 30, Toyota Motor Corporation resumed operations at 28 lines in all 14 plants for finished vehicles in Japan. Of the 28 lines in 14 plants, 25 lines in 12 plants, excluding Toyota Motor Kyushu's Miyata Plant (No.1 and No.2 lines) and Daihatsu Motor's Kyoto (Oyamazaki) Plant, had suspended operations from the first shift of August 29, and Miyata Plant and Kyoto (Oyamazaki) Plant from the second shift of the same day. The cause of the suspension was a malfunction in the production order system, which prevented the processing of parts orders. Toyota resumed operations at 25 lines in 12 plants from the first shift of August 30 and at Miyata Plant and Kyoto (Oyamazaki) Plant from the second shift of the same day. The resumption of the system is a provisional measure. The 28 lines in 14 plants are as follows: Toyota's Motomachi Plant (Five production lines) / Takaoka Plant (No.1 and No.2 lines) / Tsutsumi Plant (No.1 and No.2 lines) / Tahara Plant (No.1 and No.3 lines); Toyota Motor Kyushu's Miyata Plant (No.1 and No.2 lines); Toyota Motor East Japan's Iwate Plant (No.1 and No.2 lines) / Miyagi Ohira Plant; Toyota Auto Body's Fujimatsu Plant (No.1 and No.2 lines) / Inabe Plant (No.1 line) / Yoshiwara Plant (No.1 and No.2 lines); Gifu Auto Body (No.1 and No.2 lines); Toyota Industries Corporation (301 and 302 lines); Hino Motors' Hamura Plant (No.1 and No.4 lines); Daihatsu Motor's Kyoto (Oyamazaki) Plant. </t>
    <phoneticPr fontId="1"/>
  </si>
  <si>
    <t>https://www.marklines.com/en/global/373</t>
    <phoneticPr fontId="1"/>
  </si>
  <si>
    <t>https://www.marklines.com/en/global/375</t>
    <phoneticPr fontId="1"/>
  </si>
  <si>
    <t>https://www.marklines.com/en/global/409</t>
    <phoneticPr fontId="1"/>
  </si>
  <si>
    <t>https://www.marklines.com/en/global/411</t>
    <phoneticPr fontId="1"/>
  </si>
  <si>
    <t>https://www.marklines.com/en/global/413</t>
    <phoneticPr fontId="1"/>
  </si>
  <si>
    <t>https://www.marklines.com/en/global/417</t>
    <phoneticPr fontId="1"/>
  </si>
  <si>
    <t>Gifu</t>
  </si>
  <si>
    <t>https://www.marklines.com/en/global/420</t>
    <phoneticPr fontId="1"/>
  </si>
  <si>
    <t>https://www.marklines.com/en/global/424</t>
    <phoneticPr fontId="1"/>
  </si>
  <si>
    <t>Iwate</t>
  </si>
  <si>
    <t>https://www.marklines.com/en/global/433</t>
    <phoneticPr fontId="1"/>
  </si>
  <si>
    <t>Avatr</t>
    <phoneticPr fontId="1"/>
  </si>
  <si>
    <t>https://www.marklines.com/en/global/10637</t>
    <phoneticPr fontId="1"/>
  </si>
  <si>
    <t>On August 31, Avatr Co., Ltd. (Avatr) announced the completion of a Series B financing worth CNY 3 billion, which brings its post-investment valuation to nearly CNY 20 billion. For this round of financing, the additional investors include Changan Auto, China South Industries Assets Management Co., Ltd., and Liangjiang Industry Fund, and the new investors include Chongqing Industrial Investment Master Fund, BOCOM Investment, and GDD Holding Group. After the capital increase, Changan Auto remains Avatr’s largest shareholder with a shareholding ratio of 40.99%, while CATL becomes the second largest shareholder with a shareholding ratio of 14.1%, down from 17.1%. With this round of financing successfully completed, Avatar will further accelerate new model development, production line expansion, market brand development, channel construction, etc.</t>
    <phoneticPr fontId="1"/>
  </si>
  <si>
    <t>On August 30, Farizon New Energy Commercial Vehicles Group (Farizon) announced the recent holding of a project signing ceremony with the Administration Committee of the Tianjin Economic-Technological Development Area (TEDA). The company will locate its methanol ecology headquarters in the TEDA. According to the agreement, the methanol ecology headquarters will be engaged in such businesses as R&amp;D, sales, and operations of methanol vehicles, methanol trade and refueling, and preparation of green methanol to establish a complete methanol industrial ecosystem. The methanol technology route is the strategic technology route that Farizon has taken. The company has formulated the “1233” methanol ecology strategy, which, with the promotion and application of methanol vehicles as the core, will drive the synergistic development of the capital market and the product market and establish an industrial chain integrating methanol preparation, methanol energy, and methanol technologies to realize the three-step development of green methanol.</t>
    <phoneticPr fontId="1"/>
  </si>
  <si>
    <t>On August 28, JAC No.1 Truck, a JAC Group sub-brand, held a new product and JAC No.1 Van sub-brand launch event in Hefei, Anhui, where 22 new products of eight JAC sub-brands concerning multiple technology routes such as ICE-powered, hybrid, electric, and fuel cell vehicles were unveiled. The Xinglian No.1 technology platform developed by JAC No.1 Truck is a solution consisting of the four technology routes of ICE-powered, hybrid, electric, and hydrogen energy vehicles. In terms of ICE-powered light-duty trucks, JAC No.1 Truck based on high-end powertrains from such manufacturers as Anhui Cummins Power Co., Ltd. In terms of hybrid light-duty trucks, the automaker will upgrade its battery, motor, and electronic controller systems. In terms of battery electric trucks, the automaker will provide a proprietary chassis platform. In terms of hydrogen energy trucks, the automaker will develop a 4.5T light-duty truck and an 18T medium-duty truck. In terms of intelligentization, JAC No.1 Truck will focus on the latest intelligent driving technologies such as AMT+DHT, develop Level 2+ light-duty trucks, take the lead in realizing mass production of key components for drive-by-wire intelligent chassis. In terms of energy saving, JAC No.1 Truck will take the lead in applying advanced configurations such as silicon carbide power elements. In terms of weight reduction, JAC No.1 Truck will develop a set of lightweight technology solutions . In addition, JAC No.1 Truck unveiled the latest ICE-powered light-duty trucks such as the Shuailing S6 and the Junling S9, hybrid light-duty trucks such as the Shuailing HS6 and the Junling Jubaopen HA6, and new battery electric vehicles such as the Shuailing ES3/ES6 and the Weiling V6. Concurrently, the automaker unveiled JAC No.1 Van, a new brand for New Energy logistics vehicles.</t>
    <phoneticPr fontId="1"/>
  </si>
  <si>
    <t>https://www.marklines.com/en/global/4213</t>
    <phoneticPr fontId="1"/>
  </si>
  <si>
    <t>On August 25, at the Chengdu Motor Show 2023 (CDMS 2023), Jetta, an FAW VW sub-brand, exhibited and officially launched the New Jetta ABT Limited Edition compact SUV. Jetta will introduce the new facelifts of the VS5 and VS7 5-seater compact SUVs in 2024. In 2025, the brand will introduce the VS8 flagship SUV with a new look, the VA5 A+-segment sedan, and its first compact battery electric sedan in 2025. A battery electric SUV will be introduced in 2026.</t>
    <phoneticPr fontId="1"/>
  </si>
  <si>
    <t>https://www.marklines.com/en/global/3341</t>
    <phoneticPr fontId="1"/>
  </si>
  <si>
    <t>On August 25, at the Chengdu Motor Show 2023 (CDMS 2023), Geely Galaxy exhibited and officially started accepting pre-orders for the new Galaxy L6 compact plug-in hybrid sedan. The Galaxy L6 comes standard with a NordThor 1.5T hybrid-dedicated engine (maximum power 120kW and peak torque 255Nm), a 3-speed DHT Pro electric drive, and a permanent magnet synchronous motor (maximum power 107kW and peak torque 338Nm), mated to a lithium iron phosphate battery. The vehicle has a comprehensive power of 287kW, a comprehensive torque of 535Nm, a front-engine FWD layout, and a 0 to 100km/h acceleration time of 6.5 seconds. The Galaxy L6 comes standard with a Qualcomm Snapdragon 8155 chip.</t>
    <phoneticPr fontId="1"/>
  </si>
  <si>
    <t>https://www.marklines.com/en/global/3743</t>
    <phoneticPr fontId="1"/>
  </si>
  <si>
    <t>On August 25, at the Chengdu Motor Show 2023 (CDMS 2023), Changan Mazda unveiled such models as the new CX-50 compact SUV, the 2023 next-generation Mazda3 Axela mid-to-large-size global model (the 2023 Axela), and the CX-30 and CX-5 compact crossover SUVs. The 2023 Axela officially launched in July. The 2023 Axela is equipped with an upgraded Skyactiv-G high-compression-ratio gasoline direct-injection engine and a 6-speed transmission. For the 1.5L variants, the maximum power, the peak torque, and the combined fuel consumption are 86kW, 148Nm, and 5.8L/100km or 5.6L/100km, respectively. All the variants have an FWD layout. Some variants are available with such features as the Mazda i-Activsense intelligent safety assistance system. From 2024, Changan Mazda will introduce one to two new in-house developed and produced electrified products per year.</t>
    <phoneticPr fontId="1"/>
  </si>
  <si>
    <t>On August 25, at the Chengdu Motor Show 2023 (CDMS 2023), SAIC MG publicly debuted the new Cyberster electric roadster and announced that the vehicle will be launched first in China within this year. The Cyberster is equipped with front and rear permanent magnet synchronous motors, with a maximum power of 400kW, a peak torque of 725Nm, and a 0 to 100km/h acceleration time of 3.2 seconds. The vehicle is also equipped with the CyberOS is powered by a Qualcomm Snapdragon 8155 chip.</t>
    <phoneticPr fontId="1"/>
  </si>
  <si>
    <t>On August 25, at the Chengdu Motor Show 2023 (CDMS 2023), Chery exhibited the new Tiggo 7 lineup, of which the next-generation Tiggo 7 Plus Champion Edition and the Tiggo 7 New Energy Champion Edition were officially launched. The Tiggo 7 New Energy Champion Edition positioned as a plug-in hybrid SUV is equipped with a hybrid-dedicated 1.5T engine (maximum power 115kW and peak torque 230Nm), a 3-speed dual-motor DHT hybrid system, and a ternary battery, motor, and electronic controller intelligent management system, with a front-engine FWD layout, a comprehensive power of 240kW, a comprehensive torque of 545Nm, an NEDC electric-mode range of 100km, an NEDC combined range of 1,000km, and a fuel consumption of 5.9L/100km at the lowest charge. The Tiggo 7 New Energy Champion Edition is also equipped with 18 Level 2.5 ADAS features.</t>
    <phoneticPr fontId="1"/>
  </si>
  <si>
    <t>On September 5, Toyota unveiled a hydrogen fuel cell electric Hilux prototype at Toyota Manufacturing UK's vehicle plant in Derby, England, where it has been developed in a joint project with its consortium partners Ricardo, ETL, D2H Advanced Technologies, and Thatcham Research. The development project was supported by the UK Government's funding. The Hilux FCEV prototype is equipped with a new powertrain, which uses core elements from the Toyota Mirai FCEV sedan. The fuel cell of the new prototype Hilux produces no tailpipe emissions other than pure water. Hydrogen is stored in three high-pressure fuel tanks, giving the prototype Hilux a driving range of 600 km. The first of 10 prototype Hilux will be built by the end of 2023.</t>
    <phoneticPr fontId="1"/>
  </si>
  <si>
    <t>https://www.marklines.com/en/global/2261</t>
    <phoneticPr fontId="1"/>
  </si>
  <si>
    <t>On September 4, multiple sources reported that Volkswagen will reduce production at its Wolfsburg plant from September 11, 2023, for three weeks, due to a shortage of engine parts from Slovenia. Short-time work is being applied for the affected employees. Individual shifts in production will be canceled. Slovenian supplier KLS Ljubno is unable to resume production following the floods. It produces toothed rings for internal combustion engines.</t>
    <phoneticPr fontId="1"/>
  </si>
  <si>
    <t>On September 4, multiple sources reported that Moskvich Automobile Plant started the serial production of a new car model, the Moskvich 6 sedan. The sales will start from October 2023.</t>
    <phoneticPr fontId="1"/>
  </si>
  <si>
    <t>On September 3, multiple sources reported that VW Commercial Vehicles would reduce production in Hanover due to a lack of engine parts from Slovenia. It will not be able to produce combustion engines in Hanover for a few weeks from mid-September. However, the production of ID.Buzz is not impacted. But, the production of the classic Transporter T6.1 will be stopped. The T7 Multivan will only be built as a plug-in hybrid.</t>
    <phoneticPr fontId="1"/>
  </si>
  <si>
    <t>https://www.marklines.com/en/global/1209</t>
    <phoneticPr fontId="1"/>
  </si>
  <si>
    <t>On September 1, Mahindra &amp; Mahindra Ltd entered into an asset transfer agreement and a business transfer agreement with Mahindra Last Mile Mobility Limited, a wholly-owned subsidiary of the company (MLMML) for the transfer of identified assets and business pertaining to the last mile mobility business to MLMML. Further, it approved investment in the equity shares of MLMML, up to an amount not exceeding INR 8.6 billion.</t>
    <phoneticPr fontId="1"/>
  </si>
  <si>
    <t>On September 4, XPeng Motors shared updates on its international business at IAA Mobility. XPeng will officially launch in Germany in 2024. This will begin with the introduction of the XPeng P7 sports sedan and XPeng G9 SUV. The international version of G9 has started shipping to Europe. XPeng will leverage its in-house R&amp;D capabilities and experience as a technology pioneer to establish a global smart EV brand offering industry-leading hardware and software.</t>
    <phoneticPr fontId="1"/>
  </si>
  <si>
    <t>On August 29, Toyota Motor Corporation suspended operations at 25 lines in 12 plants for completed vehicles in Japan from the first shift. Due to a malfunction in the production order system that prevented the processing of parts orders. Operations at Toyota Motor Kyushu's Miyata Plant (No.1 and No.2 lines) and Daihatsu Motor's Kyoto (Oyamazaki) Plant were also suspended from the second shift of August 29. As a result, the 28 lines in all 14 plants for completed vehicles in Japan came to a halt. Production was resumed at 25 lines in 12 plants from the first shift of August 30, with the exception of the Miyata Plant and the Kyoto (Oyamazaki) Plant. The resumption of the system from the first shift is a temporary measure, with operations expected to resume at all 14 plants from the second shift onwards. Toyota says that the malfunction of the system was not caused by a cyberattack and is investigating the cause. The 28 lines in 14 plants are as follows: Toyota's Motomachi Plant (Five production lines) / Takaoka Plant (No.1 and No.2 lines) / Tsutsumi Plant (No.1 and No.2 lines) / Tahara Plant (No.1 and No.3 lines); Toyota Motor Kyushu's Miyata Plant (No.1 and No.2 lines); Toyota Motor East Japan's Iwate Plant (No.1 and No.2 lines) / Miyagi Ohira Plant; Toyota Auto Body's Fujimatsu Plant (No.1 and No.2 lines) / Inabe Plant (No.1 line) / Yoshiwara Plant (No.1 and No.2 lines); Gifu Auto Body (No.1 and No.2 lines); Toyota Industries Corporation (301 and 302 lines); Hino Motors' Hamura Plant (No.1 and No.4 lines); Daihatsu Motor's Kyoto (Oyamazaki) Plant. </t>
    <phoneticPr fontId="1"/>
  </si>
  <si>
    <t>https://www.marklines.com/en/global/553</t>
    <phoneticPr fontId="1"/>
  </si>
  <si>
    <t>On August 29th, Isuzu began sales in Japan of its medium-duty truck "Forward" series, which has undergone a full model change for the first time in 16 years. The company aims to sell 16,000 units a year for the entire series. The design of the new Forward is based on the concept of "PLEASURE to CARRY," and combines toughness and elegance at a high level. Additionally, advanced safety and driver assistance features have been significantly expanded, including the addition of a driver status monitor. Inside the cabin, switches have been optimally placed, and a 7-inch meter display has been adopted in the center of the instrument panel (meter panel). A new 7-inch center display with touch panel operation has also been added. The powertrain is equipped with a 4HK1-TC engine (maximum output: 177kW/154kW/140kW). Combined with the sequential manual transmission "Smoother Fx" that allows you to shift gears only by up-down operation of the shift lever, without operating the clutch. A 6-speed manual transmission with a clutch pedal is also available at the same time.</t>
    <phoneticPr fontId="1"/>
  </si>
  <si>
    <t>On August 29, GAC Group announced the formulation of the “1551” strategy. So far, GAC Group has covered 31 countries. Based on the strategy, the Group has set “1” goal of achieving a sales volume of 500,000 units by 2030 to gain a foothold in the “5” major markets of Europe, the Asia-Pacific, the CIS, the Middle East and Africa, and Latin America, and to thoroughly develop at least 12 strategic markets with a sales volume of 10,000 units. In terms of international businesses, the Group will be dedicated to establishing “1” global organization and talented human resource guarantee mechanism with the “5” value chain transformations of brand internationalization, product globalization, production localization, sales service integration, and ecosystem diversification as the core in the next 5-10 years to build a community of overseas business development. For the European market, GAC Group will introduce battery electric vehicles (BEVs) with the Western European market as the focus, planning to establish a European branch in 2023. For the Asia-Pacific market, the Group will introduce ICE vehicles (including hybrid vehicles) and BEVs, establish production sites in Malaysia, Thailand, and Myanmar at least, radiate to ASEAN countries, and build Thailand, Malaysia, the Philippines, and Indonesia into core markets with a sales volume of 10,000 units. For the Middle East and African markets, the Group will, based on its Dubai branch and overseas parts warehouses, continue to thoroughly develop base markets in the Gulf region such as Saudi Arabia and the United Arab Emirates, while operating existing SKD plants in Nigeria and Tunisia well and actively promoting CKD operations in Egypt and South Africa to form four markets with a sales volume of 10,000 units in the future. For the Latin American market, the Group will strengthen the local operations and management of the Mexican subsidiary already established in 2023 and focus on the Mexican and Chilean markets with a sales volume of 10,000 units. For the CIS market, the Group will focus on developing the Russian market by laying emphasis on CBUs in the short run while remaining concerned about the possibility and necessity of local production.</t>
    <phoneticPr fontId="1"/>
  </si>
  <si>
    <t>On August 29, Foton Motor announced the opening of a Foton Motor brand renewal event in Beijing, where the following five business strategies were released: 1) Carbon peaking and carbon neutrality strategies: Achieve carbon peaking by 2028 and carbon neutrality at core plants by 2035 and along the whole value chain by 2050, and issue the first ESG report at a proper time in 2024. 2) New Energy strategy: Accelerate the deployment of New Energy Vehicles (NEVs) focusing on the technology routes of battery electric, hydrogen fuel, and hybrid powertrains. Achieve an NEV penetration rate of 20% by 2025 and 50% by 2030. 3) Establishment of a digital ecosystem: For the low-carbon development of the NEV user end, innovate marketing activities and establish a high-efficiency digital ecosystem. 4) Globalization strategy: Unswervingly promote the globalization strategy in depth for large-scale development, consolidate the base in developing markets, and seize the opportunity to enter developed markets in good time. 5) Brand strategy renewal: Foton Motor launched a brand renewal for the fourth time to release the new brand strategy of “Easy Move”. Based on these new business strategies, Foton Motor will cover vehicles, parts, digital technologies, and business ecosystems, and continuously introduce new brands for e-axles, hybrid powertrains, hydrogen energy, and carbon assets in the future. At the event, Foton Motor officially launched the Auman iBlue bottom battery swapping heavy-duty truck, and globally debuted the new Xiangling Q, its first micro truck.</t>
    <phoneticPr fontId="1"/>
  </si>
  <si>
    <t>On August 26, Haval announced that it started accepting pre-orders for the new Raptor plug-in hybrid off-road SUV. The Raptor is equipped with the new Great Wall Motor Hi4 intelligent 4WD hybrid technology, a 1.5T hybrid-dedicated engine, and an electronically controlled differential lock in the rear axle. The vehicle has a comprehensive power of 282kW, a comprehensive torque of 750Nm, a combined fuel consumption of 1.15L/100km, an NEDC electric-mode range of 145km. The Raptor comes with the Coffee Pilot intelligent driving system.</t>
    <phoneticPr fontId="1"/>
  </si>
  <si>
    <t>On August 26, BMW China announced the launch of the innovative iX1 battery electric SUV in China. The iX1 xDrive30L variant adopts the 5th-generation BMW eDrive technology and is equipped with front and rear excited synchronous motors (comprehensive power 230kW and peak torque 494Nm), mated to the xDrive intelligent 4WD system, with a 0 to 100km/h acceleration time of only 5.7 seconds, a maximum speed of 180km/h, a power consumption of 16.3kWh/100km, and a CLTC range of 450km. The iX1 xDrive30L variant comes with such features as the 9th-generation BMW operating system, and is available with optional Autonomous Driving Assistance Pro and Automated Parking Assistance Plus systems.</t>
    <phoneticPr fontId="1"/>
  </si>
  <si>
    <t>On August 25, at the Chengdu Motor Show 2023 (CDMS 2023), GAC Trumpchi debuted the new ES9 intelligent plug-in hybrid SUV. The ES9 is equipped with a GAC Trumpchi in-house developed 2.0TM hybrid-dedicated engine, a GMC400 transmission, and a 25.57kWh battery pack, featuring the automaker’s flagship battery, motor, and electronic controller technologies. The vehicle comes with a Qualcomm Snapdragon 8155 chip and the next-generation ADiGO 4.0 intelligent driving system.</t>
    <phoneticPr fontId="1"/>
  </si>
  <si>
    <t>On August 25, at the Chengdu Motor Show 2023 (CDMS 2023), Li Auto exhibited all models of the L lineup and the latest achievements in range-extending electric and high-voltage battery electric platforms, and shared the latest progress in the fields of intelligentization and electric energy. In addition, Li Auto unveiled for the first time the timeline for the launch of the Mega flagship family battery electric vehicle: official launch in December 2023.</t>
    <phoneticPr fontId="1"/>
  </si>
  <si>
    <t>https://www.marklines.com/en/global/9889</t>
    <phoneticPr fontId="1"/>
  </si>
  <si>
    <t>ARCFOX</t>
    <phoneticPr fontId="1"/>
  </si>
  <si>
    <t>https://www.marklines.com/en/global/9126</t>
    <phoneticPr fontId="1"/>
  </si>
  <si>
    <t>On August 26, at the Chengdu Motor Show 2023 (CDMS 2023), Arcfox, a BAIC Group sub-brand, exhibited and started accepting pre-orders for the new Kaola intelligent parent-child vehicle. The Kaola is powered by a permanent magnet synchronous motor, mated to a CATL lithium iron phosphate battery pack, with an FWD layout and a CLTC combined range of 500km. The Kaola is equipped with a Qualcomm Snapdragon 8155 chip, and comes standard with such intelligent assisted driving features as ACC (Adaptive Cruise Control).</t>
    <phoneticPr fontId="1"/>
  </si>
  <si>
    <t>https://www.marklines.com/en/global/3983</t>
    <phoneticPr fontId="1"/>
  </si>
  <si>
    <t>On August 25, at the Chengdu Motor Show 2023 (CDMS 2023), Dongfeng-Peugeot-Citroen Automobile (DPCA) exhibited multiple Dongfeng Peugeot and Dongfeng Citroen models. The new Dongfeng Peugeot 508L midsize sedan has been comprehensively upgraded to a flagship model available with such configurations as an optional AMVAR variable independent suspension system the ADAS 2.0 intelligent driving assistance system. In addition to the three new vehicles most recently launched in August, other models such as the 2023 Dongfeng Citroen Versailles C5X midsize crossover vehicle, the Dongfeng Peugeot 408X mid-to-large-size crossover vehicle, and the new 5008 midsize crossover SUV were exhibited at the event.</t>
    <phoneticPr fontId="1"/>
  </si>
  <si>
    <t>https://www.marklines.com/en/global/9252</t>
    <phoneticPr fontId="1"/>
  </si>
  <si>
    <t>On August 30, GM’s Fort Wayne Assembly plant announced it will continue to idle operations for an additional week through September 8 for an unspecified supply constraint. GM's Silao plant was down for three weeks since August 11 because of the same unspecified supply issue as Fort Wayne, but has now restarted the plant, though it continues to monitor the supply situation and its effects on production day to day. While the Oshawa plant last week experienced a shortage of axles, it has not been affected by same component shortages as Fort Wayne and Silao.</t>
    <phoneticPr fontId="1"/>
  </si>
  <si>
    <t>https://www.marklines.com/en/global/1255</t>
    <phoneticPr fontId="1"/>
  </si>
  <si>
    <t>On September 15, Maruti Suzuki announced that its Dzire sedan achieved a milestone of 2.5 million customers. The Dzire was introduced in FY 2008 and it crossed 1 million sales mark in FY 2015-16 and 2 million in FY 2019-20.</t>
    <phoneticPr fontId="1"/>
  </si>
  <si>
    <t>On September 15, multiple sources reported that Volkswagen is set to restart production in early October in Autoeuropa Palmela plant. The company has secured a crucial component for the T-Roc vehicle from Spanish and Chinese suppliers.</t>
    <phoneticPr fontId="1"/>
  </si>
  <si>
    <t>https://www.marklines.com/en/global/10651</t>
    <phoneticPr fontId="1"/>
  </si>
  <si>
    <t>On September 15, the Ministry of Industry, Commerce and Tourism, Spain, published two favorable provisional resolution proposals for PERTE VEC II in its battery section. The first project is the Envision gigafactory project which involves a subsidy of EUR 200 million and a loan of EUR 100 million. </t>
    <phoneticPr fontId="1"/>
  </si>
  <si>
    <t>On September 15, the Ministry of Industry, Commerce and Tourism, Spain, published two favorable provisional resolution proposals for PERTE VEC II in its battery section. SEAT will receive the award of EUR 47 million for its Martorell factory.</t>
    <phoneticPr fontId="1"/>
  </si>
  <si>
    <t>On September 14, Daimler Truck announced that its new model series, Setra MultiClass LE is undergoing rigorous testing before delivery. The company is subjecting vehicles to the toughest test – rough road testing at the Daimler Truck Development and Testing Centre (EVZ) in Wörth. Rough road testing lasts up to a year, with thorough examinations at the Daimler Buses Testing department in Neu-Ulm at one-third and two-thirds of the total distance. The engine and tanks are dismantled for inspections.</t>
    <phoneticPr fontId="1"/>
  </si>
  <si>
    <t>On September 14, Renault unveiled more details about all-electric new light commercial vehicle (LCV), the E-Tech Trafic van. The vehicle is manufactured at the Sandouville plant, France and it will be launched this year. Renault's Cléon plant produces the motor and chargers, while the battery assembly takes place at Flins, and vehicle electrification is handled in Gretz-Armainvilliers.</t>
    <phoneticPr fontId="1"/>
  </si>
  <si>
    <t>https://www.marklines.com/en/global/10412</t>
    <phoneticPr fontId="1"/>
  </si>
  <si>
    <t>https://www.marklines.com/en/global/179</t>
    <phoneticPr fontId="1"/>
  </si>
  <si>
    <t>https://www.marklines.com/en/global/175</t>
    <phoneticPr fontId="1"/>
  </si>
  <si>
    <t>According to multiple press releases dated September 13, Geely Zhichuang Technology (Beijing) Co., Ltd. was recently established in Beijing. The new company’s registered capital is CNY 15 million, and its business scope includes development of AI theories and algorithm software, development of basic AI software, manufacturing of industrial robots, and R&amp;D of intelligent robots. The company is wholly owned by Geely Automobile Research Institute (Ningbo) Co., Ltd.</t>
    <phoneticPr fontId="1"/>
  </si>
  <si>
    <t>Baoneng</t>
    <phoneticPr fontId="1"/>
  </si>
  <si>
    <t>https://www.marklines.com/en/global/10329</t>
    <phoneticPr fontId="1"/>
  </si>
  <si>
    <t>According to multiple press releases dated September 13, the Kunshan Primary People’s Court of Jiangsu Province recently decided to transfer Kunshan JuTron New Energy Technology Co., Ltd. (Kunshan JuTron) to bankruptcy review. Established on January 7, 2019, and with a registered capital of CNY 750 million, Kunshan JuTron is mainly engaged in technology R&amp;D, consulting, transfer, and service in the field of New Energy technologies, as well as the production and sales of lithium batteries, fuel cells, power battery pack system devices, and parts and accessories. The company is a battery project set up by Shenzhen Baoneng Investment Group Co., Ltd. (Baoneng Group) to ensure battery quality, and plays an important role in Baoneng Group’s entry into the New Energy field. The Xi’an site, the only completed manufacturing site in Baoneng Motor’s plan, has recently been put up for sale.</t>
    <phoneticPr fontId="1"/>
  </si>
  <si>
    <t>On September 12, GAC Group announced the recent signing of strategic cooperation agreements with Bosch China and Siemens China at the 2023 Guangdong-Hong Kong-Macau Greater Bay Area and Europe Economic and Trade Cooperation Conference held in Munich, Germany. According to the agreements, GAC Group will discuss with Bosch China on such issues as fully promoting technology cooperation, strengthening cooperation on parts supply, and further increasing investments. The Group will establish a long-term partnership with Siemens China for digital plants and intelligent infrastructure. Also, the two parties will develop a next-generation automobile development model based on digital twin and create all-round intelligent park solutions.</t>
    <phoneticPr fontId="1"/>
  </si>
  <si>
    <t>On September 12, GWM announced that in line with its corporate strategy and needs for business development, and in order to accelerate its intelligentization transformation, the company will establish the TCAL (Technology Center AI Lab, the AI Lab), a frontier intelligentization organization subordinate to the GWM Technology Center. The AI Lab will be responsible for establishing a full-link AI technology system for GWM.</t>
    <phoneticPr fontId="1"/>
  </si>
  <si>
    <t>On September 12, Chery New Energy announced the official launch of the new Shuxiangjia (eQ7) 5-door 5-seater midsize battery electric SUV. The Shuxiangjia, China’s first model developed on an aluminum-based lightweight platform, is powered by a permanent magnet synchronous motor, with a rear-engine RWD layout. The 412km range versions have maximum powers of 135kW and peak torques of 225Nm, respectively. 53.87kWh lithium iron phosphate batteries complete the respective powertrains, with a power consumption of 14.8kWh/100km and respective 0 to 50km/h acceleration times of 4.2 seconds. The Shuxiangjia comes standard with such features as a Level 2 intelligent assisted driving system.</t>
    <phoneticPr fontId="1"/>
  </si>
  <si>
    <t>On September 12, Changan Qiyuan announced that it officially started accepting pre-orders for the new A07 mid-to-large-size sedan. Based on a digital battery electric platform, the A07 comes standard with a transmission with a fixed gear ratio and has a rear-engine RWD layout. The range-extended variants are powered by a 1.5L Atkinson-cycle engine (maximum power 70kW) and a permanent magnet synchronous motor (maximum power 160kW and peak torque 320Nm), mated to a lithium iron phosphate battery, with a CLTC electric-mode range of 200km and a CLTC feeder fuel consumption of 4.5L/100km. The battery electric variants adopt an intelligent intake grille and are powered by a permanent magnet synchronous motor (maximum power 190kW and peak torque 320Nm) and a ternary lithium battery, with a CLTC electric-mode range of 515km. The A07 comes standard with such features as a Level 2 intelligent adaptive cruise control system.</t>
    <phoneticPr fontId="1"/>
  </si>
  <si>
    <t>On September 14, Nikola Corp. CEO Steve Girsky announced during a “chat’ with investors that the company remains on track to deliver its fuel cell trucks at the end September, despite problems with its separate Tre BEV, "the battery-electric truck recall does not affect the production or deliveries of the fuel cell electric vehicle" built in Coolidge, Arizona.</t>
    <phoneticPr fontId="1"/>
  </si>
  <si>
    <t>https://www.marklines.com/en/global/2797</t>
    <phoneticPr fontId="1"/>
  </si>
  <si>
    <t>On September 14, Stellantis presented the Peugeot 208 Turbo 200 as the new top-of-the-range version of the hatchback produced at the Buenos Aires plant in Argentina, powered by the 1.0-liter turbocharged three-cylinder engine produced at the Stellantis plant in Betim, Brazil, with a CVT automatic transmission, with seven simulated gears.</t>
    <phoneticPr fontId="1"/>
  </si>
  <si>
    <t>On September 15, Stellantis announced that it is reintroducing the fourth work shift in System 2 in the Vigo plant on September 16. The shift focuses on manufacturing light commercial vehicles for various Stellantis brands and consists of 700 workers. Its revival aims to boost production levels amidst a gradual market and supply recovery. Over 1,200 units are typically produced daily from Monday to Friday, representing more than half of the plant's total daily output of 2,300 cars. The new weekend shift will add around 670 units per day. To form the fourth shift, existing employees volunteered for reassignment, and new hires were made, resulting in the recruitment of 700 personnel. With the Weekend team's return, the Stellantis Vigo plant now boasts a workforce of over 6,500 employees.</t>
    <phoneticPr fontId="1"/>
  </si>
  <si>
    <t>On September 14, Verkor secured more than EUR 2 billion in financing following the signing of a minimum of EUR 850 million Series C funding, approval of the European Investment Bank for EUR 600 million debt support, and French subsidies for an amount of around EUR 650 million, subject to final approval by the European Commission. This financing will support the construction of Verkor's first gigafactory, in Dunkirk, and the manufacture of high-performance low-carbon battery cells, ongoing technological developments at the Verkor Innovation Centre (VIC), and strategic investments across the battery value chain, thereby generating thousands of direct and indirect long-term jobs. These technologies are being developed at the Verkor Innovation Centre in Grenoble and will be scaled up in Verkor's gigafactory.</t>
    <phoneticPr fontId="1"/>
  </si>
  <si>
    <t>https://www.marklines.com/en/global/1510</t>
    <phoneticPr fontId="1"/>
  </si>
  <si>
    <t>On September 14, Volvo Trucks announced that it had started production of heavy battery electric trucks at the Ghent factory in Belgium. Ghent plant will be the fourth Volvo Trucks factory to produce battery electric trucks. Three different electric models will be built in Ghent – the Volvo FH, the Volvo FM, and the Volvo FMX Electric. The Ghent factory is the largest Volvo Trucks production site with a yearly capacity of around 45,000 trucks. The electric trucks are assembled on the same platform and line as the diesel and gas-powered trucks, in a production set-up that gives the factory a high flexibility when it comes to handling different variants and demands. The battery packs will come from the recently opened battery assembly plant in Ghent, located right next to the production line.</t>
    <phoneticPr fontId="1"/>
  </si>
  <si>
    <t>Ford plans to begin production of the Bronco SUV in China for the local market beginning in 2024. The Bronco will be manufactured by the Jiangling Ford joint venture, which is expected to begin production of the Ford Ranger pickup by the end of 2023. Chinese customers will get the turbocharged 2.3-liter engine built by the Changan Ford joint venture that develops 271 hp (275 PS) and 336 lb-ft (455 Nm) of torque and a locally built eight-speed automatic transmission.</t>
    <phoneticPr fontId="1"/>
  </si>
  <si>
    <t>https://www.marklines.com/en/global/1943</t>
    <phoneticPr fontId="1"/>
  </si>
  <si>
    <t>On September 13, the Ministry of Industry, Commerce and Tourism, Spain made public a new batch of aid for electric vehicle battery production projects corresponding to PERTE VEC II. Six new proposals representing EUR 21.5 million are authorized. The projects correspond to the companies Renault, Gestamp Palau, Global Laser Araba, Beeclycle Reuse &amp; Recycling, and Gestamp Levante. Renault obtains financing for two investment projects for the assembly of batteries for 100% electric vehicles at its plants in Palencia and Valladolid for a total of EUR 3.4 million.</t>
    <phoneticPr fontId="1"/>
  </si>
  <si>
    <t>https://www.marklines.com/en/global/1947</t>
    <phoneticPr fontId="1"/>
  </si>
  <si>
    <t>On September 13, multiple sources reported that Stellantis' Vigo factory announced new activity changes due to supply shortages. System 1, which is responsible for assembling Peugeot 2008, 301, and Citroën C-Elysée vehicles, will experience stoppages on September 13 in afternoon and evening shifts.</t>
    <phoneticPr fontId="1"/>
  </si>
  <si>
    <t>https://www.marklines.com/en/global/2277</t>
    <phoneticPr fontId="1"/>
  </si>
  <si>
    <t>On September 13, multiple sources reported that Volkswagen is reducing the number of temporary workers at its primary electric vehicle factory in Zwickau plant, Germany due to a decrease in demand for its EVs following the end of a government subsidy. The company is not renewing the contracts of 269 temporary workers at the Zwickau plant, where their 12-month contracts are set to expire soon. Volkswagen also anticipates the need to modify the shift schedule at this facility.</t>
    <phoneticPr fontId="1"/>
  </si>
  <si>
    <t>On September 13, GMC revealed the all-new 2024 Acadia premium mid-size SUV, which will be produced at GM’s Lansing Delta Township Assembly and is expected to be available in early 2024. The 2024 Acadia is 10.6 inches longer and 3.2 inches taller than the previous generation, enabling expanded seating configuration of seven or eight passengers. All trims will feature a new 2.5-liter turbocharged engine, paired with an eight-speed automatic transmission and available all-wheel drive.</t>
    <phoneticPr fontId="1"/>
  </si>
  <si>
    <t>On September 13, Cadillac introduced the refreshed and more advanced 2025 CT5 at the Detroit Auto Show, with a revised front fascia and more technology. The 2025 Cadillac CT5 will be produced at GM’s Lansing Grand River Assembly facility beginning in spring 2024, with details of the refreshed 2025 Cadillac CT5-V and CT5-V Blackwing to be announced at a later date. The 2025 CTS features a 2.0-liter Turbo engine with 237 hp and 258 lb-ft of torque as standard, while a 3.0-liter Twin-Turbo engine with 335 hp and 405 lb-ft of torque is available. The RWD sedan is available with AWD.</t>
    <phoneticPr fontId="1"/>
  </si>
  <si>
    <t>On September 13, Jeep revealed the new 2024 Gladiator. Built in Toledo, Ohio, the 2024 Jeep Gladiator can be ordered now ahead of arrival at U.S. Jeep dealerships at the end of 2023 in five models with greater capability and safety features. </t>
    <phoneticPr fontId="1"/>
  </si>
  <si>
    <t>https://www.marklines.com/en/global/9992</t>
    <phoneticPr fontId="1"/>
  </si>
  <si>
    <t>On September 12, Hyundai Motor North America (HMNA) and Hyundai America Technical Center, Inc., (HATCI) opened their USD 51.4 million Safety Test and Investigation Laboratory (STIL) in Superior Township, Michigan. The new lab, as an expansion of the HATCI tech center, is planned to be operational by mid-October, supported by 160 employees. The STIL facility includes a field crash investigation lab, high voltage battery lab, forensics lab, 400-meter track and a Vehicle Dynamics Area skid pad. </t>
    <phoneticPr fontId="1"/>
  </si>
  <si>
    <t>On September 11, Kaixin Auto Holdings (Kaixin) announced that it signed a non-binding Letter of Intent for merger and acquisition (LOI for M&amp;A) with WM Motor, planning to issue a certain number of new shares to acquire 100% of the equity held by its shareholders. For overseas expansion, WM Motor has launched various cooperative projects in such regions as the EU, the Middle East, and ASEAN. Some WM Motor models have already been WVTA- and SSTA-certified by the EU, e.g., the WVTA-certified EX5 and the SSTA-certified E5.</t>
    <phoneticPr fontId="1"/>
  </si>
  <si>
    <t>HYCAN</t>
    <phoneticPr fontId="1"/>
  </si>
  <si>
    <t>https://www.marklines.com/en/global/3851</t>
    <phoneticPr fontId="1"/>
  </si>
  <si>
    <t>On September 10, Hycan announced that it officially started accepting pre-orders for the new V09 battery electric MPV. Based on the Hycan H-GEA global battery electric architecture, the V09 is equipped with a permanent magnet synchronous motor (maximum power 202kW and peak torque 335Nm). Either a 92kWh ternary lithium battery or a 95.16kWh lithium iron phosphate battery completes the powertrain of the 620km-range version, while a 114.19kWh ternary lithium battery completes that of the 762km-range version. The power consumption is 16.3kWh/100km. Both versions come standard with an 800V silicon carbide platform. The V09 is powered by dual Qualcomm Snapdragon 8155 chips. Some variants are available with such features as the Hycan Pilot advanced assisted driving system.</t>
    <phoneticPr fontId="1"/>
  </si>
  <si>
    <t>Tesla’s plans for its Gigafactory Mexico may move slower than expected. Some Chinese supplier companies that planned to launch operations near the new plant to support its production have delayed their plans. Mexico’s Ministry of Environment and Natural Resources has only received Tesla’s application for a change of land use regarding 260 hectares out of the 1,561 hectares it owns in Santa Catarina. Tesla has not yet submitted applications for construction activities on the proposed plant site.</t>
    <phoneticPr fontId="1"/>
  </si>
  <si>
    <t>On September 7, XPeng Inc. (XPeng) and the Zhaoqing Municipal People’s Government of Guangdong Province held an investment agreement signing ceremony for an XPeng project on new intelligent NEV (New Energy Vehicle) models in Guangzhou. With a total investment of approximately CNY 2 billion, the project is located in the Zhaoqing High Technology Industry Development Zone. According to the agreement, the total project investment will be used to develop and launch two new models, which will be produced at XPeng’s Zhaoqing site.</t>
    <phoneticPr fontId="1"/>
  </si>
  <si>
    <t>On September 7, local time in Mexico, Great Wall Motor (GWM) held a launch conference for the GWM brand and the Haval H6 HEV compact SUV in Mexico City, the capital of Mexico. Also, GWM has started studying and planning production localization in an aim to build the GWM brand into a true local auto brand. In the future, GWM will introduce multiple models successively. On August 31, the automaker formed a strategic partnership with Banco Bilbao Vizcaya Argentaria, S.A.</t>
    <phoneticPr fontId="1"/>
  </si>
  <si>
    <t>https://www.marklines.com/en/global/3529</t>
    <phoneticPr fontId="1"/>
  </si>
  <si>
    <t>On August 30, BYD officially launched the Seal midsize battery electric coupe in Sao Paulo, Brazil. This is the model’s first launch in Latin America. Based on the BYD e-Platform 3.0, with a WLTC range of 520km. The 650km-range high-performance 4WD variant has a 0 to 100km/h acceleration time as little as 3.8 seconds. BYD will continuously enrich its sales and service networks in Brazil, where 100 stores are expected to be opened by the end of 2023. Previously, the automaker and the State Government of Bahia jointly announced that they will establish a large production complex consisting of three plants in Camacari and commission it in 2025.</t>
    <phoneticPr fontId="1"/>
  </si>
  <si>
    <t>https://www.marklines.com/en/global/4269</t>
    <phoneticPr fontId="1"/>
  </si>
  <si>
    <t>Shaanxi</t>
  </si>
  <si>
    <t>On August 16, Nio Capital announced the groundbreaking of the first ClearMotion production plant in Changshu, Jiangsu. After investing in ClearMotion in 2022, Nio Capital continued to support the company’s new round of financing in 2023.</t>
    <phoneticPr fontId="1"/>
  </si>
  <si>
    <t>https://www.marklines.com/en/global/9974</t>
    <phoneticPr fontId="1"/>
  </si>
  <si>
    <t>On September 12, Stellantis unveiled new generation Peugeot E-3008 C segment electric SUV which will be available for sale starting in February 2024. E-3008 is the first model built on Stellantis' STLA Medium platform at the Sochaux plant in France. The vehicle lineup includes three all-electric powertrains. Hybrid powertrains will also be available based on market demands. The vehicle offers three zero-emission all-electric powertrains i.e., 2-wheel drive comes with 73 kWh battery that covers range of 525 km, second one comes with 98 kWh battery that covers the long range of 700 km and last is the dual motor with 4-wheel drive comes with 73 kWh battery that covers the range of 525 km. The powertrains use permanent magnet synchronous motors made by the STELLANTIS-NIDEC in a joint venture in Trémery, France. The gearbox is produced in Valenciennes, France. Battery rack design originates from the Stellantis plant in Mulhouse, and battery packs are assembled in Sochaux plant.</t>
    <phoneticPr fontId="1"/>
  </si>
  <si>
    <t>https://www.marklines.com/en/global/143</t>
    <phoneticPr fontId="1"/>
  </si>
  <si>
    <t>https://www.marklines.com/en/global/139</t>
    <phoneticPr fontId="1"/>
  </si>
  <si>
    <t>https://www.marklines.com/en/global/159</t>
    <phoneticPr fontId="1"/>
  </si>
  <si>
    <t>On September 12, Renault Trucks launched a new light commercial vehicle (LCV), the E-Tech Trafic, in its medium-van segment. The vehicle is equipped with an electric motor that offers 90 kW of power and 245 Nm of torque. It has a towing capacity of 920 kg. It comes with a 52-kWh battery, which offers 297 km of driving range (WLTP combined cycle) and a maximum speed of 110 km/h. The vehicle supports DC fast charging and can be charged from 15% to 80% in 60 minutes. The Renault Trucks E-Tech Trafic will go on sale in France, the UK, Ireland, Belgium, the Netherlands, Switzerland, Italy, and Germany in October 2023.</t>
    <phoneticPr fontId="1"/>
  </si>
  <si>
    <t>https://www.marklines.com/en/global/2315</t>
    <phoneticPr fontId="1"/>
  </si>
  <si>
    <t>On September 12, Ionic Technologies announced it has received UK government investment to build a commercial rare earth magnet recycling facility in Belfast that will supply Ford's Halewood plant, which is expected to produce roughly 500,000 power units per year by 2026, which will require 600 tonnes of magnet raw material per annum to achieve. Ionic will use its technology to recycle spent permanent neodymium-iron-boron (NdFeB) magnets to produce separated, high purity, rare earth metals at the plant in Belfast, which it will supply to Less Common Metals (LCM) for alloy production, which will eventually be converted into magnets for Ford's local EV production.</t>
    <phoneticPr fontId="1"/>
  </si>
  <si>
    <t>On September 7, Renault announced that its all-new Renault Scenic E-Tech electric vehicle exemplifies the company’s dedication towards lower-carbon mobility. The battery's modular design facilitates easy repair at over 20 European maintenance centers and enables recycling. When no longer suitable for vehicles, these batteries can find a second life. Scenic E-Tech incorporates up to 37% recycled materials in ferrous components (i.e. structure, chassis, axles, undercarriage parts, etc.) and even seat covers made from 100% recycled fabric, including old seatbelts. Various passenger-facing components like the dashboard, cockpit, steering wheel, flooring, and the Solarbay opacifying sunroof glass also include recycled or renewable materials.</t>
    <phoneticPr fontId="1"/>
  </si>
  <si>
    <t>On September 7, Stellantis started the production of the all-new B segment SUV Fiat 600e at the Stellantis plant in Tychy, Poland, with the first model being the top-of-the-range La Prima version in "Sun of Italy" orange. It is available in two full-electric versions, La Prima and RED. It is equipped with lithium-ion batteries with a 54 kWh capacity which provides an electric range of over 400 km and over 600 km in urban areas.</t>
    <phoneticPr fontId="1"/>
  </si>
  <si>
    <t>Peterbilt</t>
    <phoneticPr fontId="1"/>
  </si>
  <si>
    <t>https://www.marklines.com/en/global/3207</t>
    <phoneticPr fontId="1"/>
  </si>
  <si>
    <t>On September 7, Peterbilt announced production of the 100,000th Model 389 at its Denton, Texas manufacturing plant, which will end its historic production run at the end of 2023. Its successor, the new Model 589 introduced earlier in 2023, is now available for order. Model 589 production begins January 2024.</t>
    <phoneticPr fontId="1"/>
  </si>
  <si>
    <t>MINI</t>
    <phoneticPr fontId="1"/>
  </si>
  <si>
    <t>https://www.marklines.com/en/global/2289</t>
    <phoneticPr fontId="1"/>
  </si>
  <si>
    <t>On September 11, BMW Group announced that it will invest over GBP 600 million in its MINI factories in Oxford and Swindon. The investment will transform the Oxford plant into a hub for the production of the next generation of electric MINIs. Starting in 2026, the Oxford plant will manufacture two new all-electric MINI models i.e. MINI Cooper 3-door and the compact crossover MINI Aceman. By 2030, production volume will be entirely electric, with BMW Group having invested more than GBP 3 billion in its Swindon, Hams Hall, and Oxford facilities since 2000. This development has received support from the UK Government, helping to secure jobs at the Oxford manufacturing plant and the body-pressing facility in Swindon. In 2024, the Oxford plant will continue producing the next generation MINI 3-door and 5-door models with combustion engines, along with the new MINI Convertible. These will be joined by the new all-electric vehicles in 2026. The factory's production capacity will reach around 200,000 cars per year in the medium term, with both internal combustion engine (ICE) and battery electric vehicles initially sharing the production line.</t>
    <phoneticPr fontId="1"/>
  </si>
  <si>
    <t>https://www.marklines.com/en/global/2293</t>
    <phoneticPr fontId="1"/>
  </si>
  <si>
    <t>https://www.marklines.com/en/global/2165</t>
    <phoneticPr fontId="1"/>
  </si>
  <si>
    <t>On September 11, multiple sources reported that VW faced production disruptions due to a shortage of engine parts from Slovenia, impacting several plants. Shift cancellations have started at the Wolfsburg plant in Germany, and the issue extends to Emden, Hanover, Osnabrück, Salzgitter, and Ingolstadt in Germany. VW’s production lines at Palmela plant in Portugal also has halted. In Spain, SEAT Martorell plant also be affected as well as Navarra plant, Spain will temporarily close from September 15 to 29, 2023. The problem arose from recent flooding in Slovenia, affecting an engine parts supplier, specifically sprocket production for combustion engines. In addition to seeking more production from alternative suppliers, VW has also joined the special cleaning and repair mechanism launched at KLS by sending some 130 employees from German factories.Electric cars remain unaffected.</t>
    <phoneticPr fontId="1"/>
  </si>
  <si>
    <t>On September 11, multiple sources reported that Stellantis had canceled both morning and afternoon shifts on September 12 in Zaragoza plant, Spain due to continuous problems with component supply. This marks the second production stoppage in this month, following last week's disruption which also led to shift cancellations.</t>
    <phoneticPr fontId="1"/>
  </si>
  <si>
    <t>On September 11, Jetour brand announced the start of sales of the seven-seat version of the X90 Plus crossover in Russia. Now Russian customers can choose from two interior options with five or seven seats. The seven-seater Jetour X90 Plus is offered with a 2-liter engine producing 245 hp and a torque of 375 Nm at 5500 rpm, which is paired with a 7-speed 7DCT robotic gearbox with a wet dual-clutch.</t>
    <phoneticPr fontId="1"/>
  </si>
  <si>
    <t>On September 8, BMW Group announced that it has introduced a standardized IT solution for production plants, starting with the MINI Plant Oxford in August 2023. The solution is based on private cloud technology and SAP S/4 HANA, marks a significant step in the digitalization of BMW Group production. Simultaneously, global logistics, finance, and customs processes are being standardized using SAP S/4 HANA, SAP Analytics Cloud, and SAP GTS. This standardization promotes mutual support between plants, flexible employee deployment, and synergy in support and training. The MINI Plant Oxford is the first of many BMW Group factories to transition to the cloud architecture, enabling faster deployment of future innovations across all plants in the coming years.</t>
    <phoneticPr fontId="1"/>
  </si>
  <si>
    <t>On September 8, multiple sources reported that Skoda Auto will halt production at its Kvasiny plant, Czech Republic for at least a week starting from September 11, 2023. There's also a possibility of output limitations at its main plant in Mlada Boleslav, Czech Republic due to a parts shortage. The shortage is due to flooding at a parts supplier for combustion engines in Slovenia, impacting the entire Volkswagen Group.</t>
    <phoneticPr fontId="1"/>
  </si>
  <si>
    <t>https://www.marklines.com/en/global/1741</t>
    <phoneticPr fontId="1"/>
  </si>
  <si>
    <t>On September 7, multiple sources reported that officials had discussed VW Palmela plant in Portugal, which halts production between September 11 to November 12 due to the difficulties faced by a Slovenian supplier of parts because of strong floods in early August. The Volkswagen Group, Minister of Economy and the Sea, Automobile Association of Portugal (ACAP), and the Association of Manufacturers for the Automotive Industry (AFIA) had a meeting to find solutions. The meeting's primary objective was to establish communication channels between Autoeuropa and the national components industry. Autoeuropa's management recently reached an agreement with workers, ensuring 95% of their monthly remuneration during the lay-off period, affecting nearly 4,000 out of 5,000 factory workers.</t>
    <phoneticPr fontId="1"/>
  </si>
  <si>
    <t>On September 7, SAIC MG announced the official launch of the MG4 EV Overseas Champion Edition compact battery electric hatchback. Based on the SAIC Motor Nebula BEV-dedicated systematic platform, the MG4 EV Overseas Champion Edition is equipped with a permanent magnet synchronous motor (maximum power 125kW and peak torque 250Nm), with an RWD layout. A 49kWh lithium iron phosphate battery completes the powertrain, with a CLTC electric-mode range of 415km.</t>
    <phoneticPr fontId="1"/>
  </si>
  <si>
    <t>On September 6, Comau announced that it had designed and deployed its advanced automation solutions at the Stellantis Automotive Plant in Betim-Minas Gerais as part of a comprehensive retooling project to produce both the Fiat Pulse and the Fiat Fastback. Comau has enhanced an existing manufacturing platform to provide high-speed body assembly solutions for the main body, the body sides, and the re-spot operations such that the two distinctly different SUVs could be produced on the same line. Comau integrated 74 automatic and 10 manual stations with vision systems, digital applications, and turn-key equipment. Comau also utilized Virtual Commissioning and process simulation to optimize the design and retooling of the complex welding lines.</t>
    <phoneticPr fontId="1"/>
  </si>
  <si>
    <t>Toyota Motor Corporation (Toyota) held the world premiere of a new model added to its Century lineup on September 6. The Century debuted in 1967 as Toyota's premium chauffeur-driven car. The current model, released in 2018, is the third generation. The all-new model was developed in response to the diversifying needs of chauffeur-driven cars in recent years, such as in-car rest breaks and online meetings. Different from the sedans of previous generations of Century, a new body type is adopted. The new model has overall length 5,205mm x width 1,990mm x height 1,805mm and a wheelbase of 2,950mm. The rear seat can recline up to a maximum of 77 degrees, and the rear seat space is designed to enhance the travel time as a chauffeur-driven car. The powertrain is a newly developed plug-in hybrid system that combines a V6 3.5L engine and two motors (front motor/rear e-Axle). The system has a maximum output of 303kW, an EV driving range of 69km on a full charge, and the E-Four Advanced (electric four-wheel drive) drive system is adopted. Production will take place at the Tahara Plant. The company began accepting orders in Japan on September 6 and plans to launch the model in 2023. The price is JPY 25 million (including tax). The sedan type Century will also continue to be marketed.</t>
    <phoneticPr fontId="1"/>
  </si>
  <si>
    <t>On September 6, Ford Pro announced it will begin selling the Transit Chassis, a new version of the van that expands the line's range of applications, in the Brazilian and Argentine markets. Imported from the Nordex factory in Montevideo, Uruguay, the Ford Transit Chassis model is the only one in the segment to have a base model, with double wheels, capable of serving two applications: with PBT of 3.5 t (driven with CNH B) and 4.7 t (CNH type C).</t>
    <phoneticPr fontId="1"/>
  </si>
  <si>
    <t>On September 4, Isuzu Motors Limited (Isuzu) began selling the improved Giga heavy-duty truck in Japan. Added to the current Giga line-up is the first Japanese domestic low-floor, 3-axle heavy-duty truck with a gross vehicle weight (GVW) of 25 tons. In addition, the detection range of the Blind Spot Monitor (BSM) has been enlarged, and Lane Keep Assist (LKA) has been made available as an option for all models to improve safety performance.</t>
    <phoneticPr fontId="1"/>
  </si>
  <si>
    <t>https://www.marklines.com/en/global/10393</t>
    <phoneticPr fontId="1"/>
  </si>
  <si>
    <t>On September 4, at the IAA 2023, Zeekr, a Geely sub-brand for luxury electric vehicles, announced that pre-ordering for two models, the Zeekr 001 luxury battery electric coupe and the Zeekr X compact battery electric SUV, officially started in Germany. The European version of the Zeekr 001 for export to overseas markets has been developed with differentiated features for local European needs.</t>
    <phoneticPr fontId="1"/>
  </si>
  <si>
    <t>On September 4, at the IAA Mobility 2023 (IAA 2023), Seres officially unveiled three New Energy SUVs: the Seres 3 urban mid-to-large-size electric SUV, the Seres 5 luxury electric SUV, and the Seres 7 super luxury New Energy SUV. Coming with an advanced Seres intelligent range-extending technology, the Seres 7 can be both fuel- and electric-driven, with a combined range of over 1,000km when fully charged and fueled. Since 2023, Seres has rapidly entered over 20 countries worldwide in Europe, the Middle East, the Americas, and Africa. In Europe, the automaker has entered 10 markets including Norway, Germany, the UK, and Switzerland, completing its initial overseas deployment.</t>
    <phoneticPr fontId="1"/>
  </si>
  <si>
    <t>On September 11, Sollers Auto started production of new Sollers ST6 pickup trucks in Vladivostok. The Sollers ST6 has a choice of gasoline and diesel engines with a displacement of 2 liters. The engines meet EURO-5 environmental standards and are equipped with a 6-speed manual transmission. The carrying capacity of the version with a gasoline engine is 820 kg, with a diesel engine - 900 kg. The project for organizing the production of pickup trucks in Vladivostok provides for the gradual localization of these vehicles, in particular, through the installation of engines and gearboxes. It plans to launch production of another Sollers model in 2024.</t>
    <phoneticPr fontId="1"/>
  </si>
  <si>
    <t>On September 9, Sollers Auto launched full-cycle production of compact light-duty trucks Sollers Argo. Sollers Argo has an environmentally friendly Euro-5 2.0-liter diesel engine. Sollers will produce over 10 thousand cars per year over five years. The total investment in the project amounted to over RUB 1 billion. The new plant includes a cab welding line equipped with the latest equipment and a car assembly shop. Technological operations for painting cabs are carried out in the painting complex of the Ulyanovsk Automobile Plant. The production of Sollers Argo provides for a large-scale localization program, including the organization of stamping, installation of a local diesel engine and gearbox, chassis elements, interior and exterior, and Russian electronics.</t>
    <phoneticPr fontId="1"/>
  </si>
  <si>
    <t>On September 8, Stellantis announced to open of its first Battery Technology Center at Mirafiori complex in Turin, Italy. The company invested EUR 40 million in the center which will focus on designing, developing, and testing battery packs, modules, high-voltage cells, and software for Stellantis brand vehicles. The center is the biggest in Italy and among the Europe's largest. Over 100 employees, many of them upskilled Stellantis workers, will handle climatic stress tests, durability testing, battery management system (BMS) software development, and teardowns for analysis and benchmarking. Mirafiori battery technology center covers 8,000 square meters, with 32 climatic test chambers. The chambers offer precise humidity and temperature control, ranging from - 40 to 60 degrees Celsius, and can test up to 47 battery packs concurrently. Designed for future growth, the technology center's power system can manage up to 1.2 kilovolts (kV) and 2.2 megawatts (MW) per test cell.</t>
    <phoneticPr fontId="1"/>
  </si>
  <si>
    <t>On September 8, the Ministry of Industry, Commerce and Tourism, Spain announced the first list of provisionally approved projects for the PERTE VEC II battery line. The projects correspond to the companies Ford and Basquevolt. Ford obtained EUR 37.6 million for the assembly of electric vehicle batteries at its factory in Almussafes (Valencia). During July and August, the Ministry intensified the work of receiving, analyzing, and managing the applications submitted for the two PERTE VEC II aid lines, one for batteries and the other for individual projects.</t>
    <phoneticPr fontId="1"/>
  </si>
  <si>
    <t>On September 8, AvtoTOR started production of small and medium-sized commercial electric vehicles in collaboration with Foton, China. These products will be produced under the BROCK brand. AvtoTOR will produce two models; BROCK 75 car which has an 81-kWh lithium iron phosphate battery, 115 kW power, gross weight of 7.5 tons, and 300 km range; and BROCK 160 car which has a 246 kWh lithium iron phosphate battery, 160 kW power, gross weight 16 tons, and 300 km range. AvtoTOR invested RUB 130 million to produce these vehicles. A set of works was carried out to modernize and equip the production line with special equipment. In the future, commercial electric vehicles will be equipped with batteries from fuel cells. Electric motors and other components will be mastered at AvtoTOR enterprises.</t>
    <phoneticPr fontId="1"/>
  </si>
  <si>
    <t>https://www.marklines.com/en/global/813</t>
    <phoneticPr fontId="1"/>
  </si>
  <si>
    <t>On September 8, multiple sources reported that the Ministry of Industry and Trade of the Russian Federation had transferred the assets of Volvo Trucks in the Russian Federation to a Russian investor. The work is currently underway to quickly restart production at the plant in Kaluga. </t>
    <phoneticPr fontId="1"/>
  </si>
  <si>
    <t>Ashok Leyland</t>
    <phoneticPr fontId="1"/>
  </si>
  <si>
    <t>Switch Mobility</t>
    <phoneticPr fontId="1"/>
  </si>
  <si>
    <t>https://www.marklines.com/en/global/8670</t>
    <phoneticPr fontId="1"/>
  </si>
  <si>
    <t>On September 8, First Bus plc announced that it had started its operations with MetroCity 1080EV, the only all-electric autonomous bus service in the UK. The 28-seater bus, manufactured by Switch Mobility in Yorkshire, will operate between Didcot Parkway train station and Milton Parkwill, until the trial's conclusion on Saturday 30 September. The autonomous drive capability of MetroCity 1080EV is provided by Fusion Processing's state-of-the-art CAVstar Automated Drive System which includes an intelligent controller and high-performance processor combined with a range of sensors including radar, LiDAR, and cameras to control steering, acceleration, and braking without the need for human intervention.</t>
    <phoneticPr fontId="1"/>
  </si>
  <si>
    <t>https://www.marklines.com/en/global/2389</t>
    <phoneticPr fontId="1"/>
  </si>
  <si>
    <t>On September 7, Stellantis announced that it has begun electric vehicle production at the Ellesmere Port facility, the UK's first EV-only manufacturing plant, after a GBP 100 million investment. The plant will produce Vauxhall/ Opel Combo Electric, Peugeot e-Partner, Citroën ë-Berlingo, and Fiat E-Doblò compact vans due to increased European demand. From 2024, it will also make electric passenger vehicles like the Vauxhall Combo Life Electric and Peugeot e-Rifter. To support EV production, the plant added a battery assembly shop, upgraded assembly areas, and relocated the body shop, reducing its site area by 60% for better efficiency. A new test track and parts distribution warehouse are under construction, set to be operational in early 2024. As a part of carbon neutrality, the plant aims to run on solar and wind power and connect to the HyNet North West Hydrogen Pipeline.</t>
    <phoneticPr fontId="1"/>
  </si>
  <si>
    <t>Rimac</t>
    <phoneticPr fontId="1"/>
  </si>
  <si>
    <t>https://www.marklines.com/en/global/9844</t>
    <phoneticPr fontId="1"/>
  </si>
  <si>
    <t>Croatia</t>
    <phoneticPr fontId="1"/>
  </si>
  <si>
    <t>On September 7, Rimac Technology, an automotive technology solutions provider, collaborated with EVE Energy Co. Ltd. (EVE), a lithium batteries manufacturer, to manufacture battery cells in Europe from 2027. EVE will focus on cell manufacturing while Rimac Technology will focus on the development and high-volume production of a battery module and pack platform using the cells. Central to the alliance is the production of battery cells used for Rimac Technology's 46xx platform. Rimac Technology already has a series of nominations for large-volume projects with large European OEMs that will use this platform, which creates high-performance battery systems at a competitive cost and fully customizable configurations.</t>
    <phoneticPr fontId="1"/>
  </si>
  <si>
    <t>On September 7, Alexander Dennis announced that it would build coaches for Plaxton in 2024. Stock output will focus on Plaxton Leopard coaches with side-mounted wheelchair lifts and destination equipment. All the coaches will be built on Volvo B8R chassis, with a choice of I-shift and automatic transmissions. All stock will have upgraded interiors, with up to 72 next-generation Brusa seats. Other Plaxton coach models will be built to order, subject to demand. Alexander Dennis plans to deliver 60 units to the market in 2023. The manufacturer's Scarborough facility will benefit from a flexible set-up that allows lines to be switched between bus and coach production.</t>
    <phoneticPr fontId="1"/>
  </si>
  <si>
    <t>https://www.marklines.com/en/global/1103</t>
    <phoneticPr fontId="1"/>
  </si>
  <si>
    <t>On September 7, Ashok Leyland on its 75th Anniversary of its operations unveiled the electric light commercial vehicles from Switch Mobility - the IeV Series. Ashok Leyland also showcased the new, 9-meter, hydrogen fuel-cell electric bus developed for NTPC (National Thermal Power Corporation). This is India's first fuel cell bus that will commercially ply on the country's roads. The company also exhibited the country's first hydrogen internal combustion engine truck, which was launched in collaboration with Reliance Industries. The SWITCH IeV Series 2 - 3.5T commercial vehicles (IeV 3 and IeV 4), are enabled with a 330 V high voltage architecture and battery pack ranging from 25.6 to 32.2 kWh which can deliver a range of up to 300 kilometers of operation in a day.</t>
    <phoneticPr fontId="1"/>
  </si>
  <si>
    <t>On September 7, Chery New Energy announced that the new eQ7 midsize battery electric SUV has been officially named “Shuxiangjia” and will be globally launched on September 12. The Shuxiangjia is equipped with a rear-engine RWD layout. The vehicle is also equipped with a battery, motor, and electronic control safety protection and management system.</t>
    <phoneticPr fontId="1"/>
  </si>
  <si>
    <t>On September 6, BYD announced the official launch of the new Seal DM-i midsize plug-in hybrid sedan with an FWD layout. The Seal DM-i comes standard with the DiLink intelligent connectivity system, a newly customized 5G chip. Some variants are available with such features as the DiPilot intelligent driving assistance system.</t>
    <phoneticPr fontId="1"/>
  </si>
  <si>
    <t>On September 5, Avatr Technology announced the global debut of the Avatr 12, a new mid-to-large-size electric luxury sedan, at the IAA Mobility 2023. The Avatr 12 is set to begin deliveries in the Chinese market in the fourth quarter. The Avatr 12 is the second model built on the next-generation smart EV technology platform “CHN”. It features the Huawei HarmonyOS 4.0 system and the Huawei ADS 2.0 intelligent driving system. In addition, the front windshield features adaptive light-sensing. According to Avatr Technology’s plan for 2024, it will launch two new models and enter the international market.</t>
    <phoneticPr fontId="1"/>
  </si>
  <si>
    <t>https://www.marklines.com/en/global/4145</t>
    <phoneticPr fontId="1"/>
  </si>
  <si>
    <t>On September 5, Dongfeng Forthing made a presence at IAA Mobility 2023 with its New Energy Vehicle (NEV) lineup including the U-TOUR V9 plug-in hybrid flagship MPV, the Leiting compact electric SUV, the U-TOUR 7-seat family SUV, and the T5 5-seat compact SUV. The U-TOUR V9, a globally developed model scheduled for launch soon, is positioned as a luxury flagship MPV. Featuring Forthing’s most advanced PHEV technology, achieving the highest fuel efficiency and longest cruising range in its class. At the event, Dongfeng Forthing announced that in 2024, the company plans to introduce its first all-electric sedan for young consumers. Built on Forthing’s new EV platform, the new model will be powered by upgraded Armor Battery 2.0 technology and introduce a new design language.</t>
    <phoneticPr fontId="1"/>
  </si>
  <si>
    <t>On September 5, Foton Motor released an announcement on a resolution to the Board of Directors. The “Proposal on Investing in the Construction of a KD Plant and a Logistics Distribution and Storage Center in Weifang” was considered and adopted, and the related investment and fundraising schemes were approved. The total project investment is CNY 225,342,000.</t>
    <phoneticPr fontId="1"/>
  </si>
  <si>
    <t>On September 5, at the Smart China Expo 2023, Seres Group signed a strategic cooperation agreement with Qi An Xin Technology Group Inc. (Qi An Xin). The two parties will cooperate in such fields as intelligent connected vehicles (ICVs) and the Industrial Internet on cyber and data security threat detection and protection, monitoring and forewarning, information sharing, and emergency disposal. They are aiming to establish a long-term and stable strategic partnership.</t>
    <phoneticPr fontId="1"/>
  </si>
  <si>
    <t>On September 4, at the 2023 Changan Auto Tech Ecosystem Summit, Changan Auto debuted SDA (Software Driven Architecture)-based mass-producible technology achievements with the Changan Qiyuan CD701 model as the carrier, officially opening the era of “digital and intelligent new vehicles”. SDA is a specific practical scheme developed by Changan Auto for software-defined vehicles. The architecture integrates three capabilities: the “Intelligent Brain”, the “Intelligent Body”, and the “Intelligent Service”. The “Intelligent Brain” is powered by UNIBrain, China’s first independently designed cockpit-driving integrated central computing platform with a maximum computing power of over 1,000TOPS. Based on SDA, the new Changan Qiyuan CD701 model features pluggable hardware, programmable scenarios, an on-demand ecosystem, and a self-evolving system, which are the four major standards for digital and intelligent new vehicles as well. In terms of corporate strategy, Changan Auto will continuously promote an innovation and entrepreneurship program, its third entrepreneurship, and will make arrangements for the three intelligent electric vehicle sub-brands of Changan Qiyuan, Deepal, and Avatr to meet the needs of different market segments. In the future, Changan Auto will accelerate the promotion of the “New Vehicle, New Ecosystem” strategy. It is expected that by 2030, the automaker will invest a total of CNY 200 billion, establish a technology innovation team with over 10,000 people, and an overseas sales proportion of 30%. By 2025, it will introduce over 20 blockbuster new models, among which 10, 6, and 4 are Changan Qiyuan, Deepal, and Avatr models, respectively. In 2023, models such as the A07, the first Changan Qiyuan mid-to-large-size battery electric sedan, and the Avatr 12 mid-to-large-size sedan will be launched and delivered.</t>
    <phoneticPr fontId="1"/>
  </si>
  <si>
    <t>https://www.marklines.com/en/global/9553</t>
    <phoneticPr fontId="1"/>
  </si>
  <si>
    <t>On September 4, at the IAA Mobility 2023 (IAA 2023), Leapmotor exhibited the Leap 3.0 architecture, its latest all-domain in-house developed achievement, and the C10, its first global model. The Leap 3.0 architecture, a leading intelligent electric solution, is based on the LPEE 3.0 centrally integrated electronic and electrical architecture, and integrates multiple intelligent technologies such as the CTC (Cell-to-Chassis) 2.0 technology, an ultra-small ultra-high-performance flat-wire oil-cooled electric drive, and an intelligent driving system that can be upgraded to Level 3. In the next two years, Leapmotor will introduce five globally-oriented products for sale in Europe, Asia-Pacific, the Middle East, and the Americas.</t>
    <phoneticPr fontId="1"/>
  </si>
  <si>
    <t>https://www.marklines.com/en/global/3543</t>
    <phoneticPr fontId="1"/>
  </si>
  <si>
    <t>On September 4, If Technology Co., Ltd. (If Technology), a GWM subsidiary, officially formed a partnership with Zhejiang Yuanji Automobile Group Co., Ltd. (Yuanji Group) for strategic cooperation in East China. The two parties reached an agreement on in-depth cooperation in the Yangtze River Delta light commercial vehicle (LCV) market. Empowered by the GWM Forest Ecosystem, If Technology has deployed over 30 customized products taking battery electric, hydrogen energy, and hybrid technology routes, meeting the diverse and differentiated requirements of the urban logistics distribution market for transportation. This partnership will benefit Hebei Changzheng Automobile Manufacturing Co., Ltd. (Changzheng Auto) in the strategic development of New Energy light-duty trucks in “five areas and 10 cities”.</t>
    <phoneticPr fontId="1"/>
  </si>
  <si>
    <t>On September 2, Beijing Foton Daimler Automotive Co., Ltd. (Foton Daimler) signed a cooperation agreement with the Huairou District People’s Government of Beijing Municipality. Foton Daimler will invest CNY 658 million in an upgrading project for final assembly and stamping shops at its Auman Intelligent New Energy Vehicle (NEV) Plant in Huairou District. After the upgrade, automated, digitalized, intelligent, green, eco-friendly New Energy heavy-duty truck production lines will be built. After the project is completed, the plant will manufacture medium- and heavy-duty trucks that meet market demand.</t>
    <phoneticPr fontId="1"/>
  </si>
  <si>
    <t>On August 31, SAIC Motor announced that it will establish a joint venture (JV) named SAIC QingTao New Energy Technology Co., Ltd. with QingTao Energy. The registered capital is CNY 1 billion, where SAIC Motor and QingTao Energy contribute CNY 490 million (49%) and CNY 510 million (51%), respectively. The business scope includes R&amp;D of emerging energy technologies, R&amp;D of automotive parts, R&amp;D of new material technologies, and manufacturing of batteries. SAIC Motor invested in QingTao Energy through funds in 2020, 2022, and 2023, so far investing a total of approximately CNY 2,983.5 million, indirectly holding a 15.29% equity. By establishing the JV, the two parties aim to develop a next-generation solid-state battery with ultra-high cost performance using low-cost raw materials and innovative technologies under the premise of maintaining high battery safety, and to realize the industrial application of this battery to vehicles.</t>
    <phoneticPr fontId="1"/>
  </si>
  <si>
    <t>On August 28, ZEEKR shipped its first consignment of vehicles destined for Europe. Following the start of pre-orders in the Netherlands and Sweden, the response from customers for the ZEEKR 001 luxury Shooting Brake has been exceptional. The initial batch of European specification models comprised 288 vehicles. It will arrive in a few weeks, ahead of the start of deliveries in the autumn. ZEEKR will grow its presence to six countries in 2024, with the ambition to expand into most countries in Western Europe by 2026. ZEEKR 001 luxury Shooting Brake generates 544 hp power and 686 Nm torque. It can travel 620 km (WLTP) on a single charge.</t>
    <phoneticPr fontId="1"/>
  </si>
  <si>
    <t>On September 7, Fisker Inc. announced that it is ramping up the production rate of the Fisker Ocean all-electric SUV from 180 vehicles per day in September to 300 per day in Q4. as early as October. As of September 4, 3,123 customer vehicles have been manufactured by production partner Magna Steyr, with just under 3,000 handed over to Fisker, with 775 delivered to customers. Fisker anticipates receiving all 5,000 Fisker Ocean One launch edition vehicles from Magna by September 30. During Q2, Fisker built 1,022 Oceans in Graz, Austria, below its guidance of 1,400 to 1,700 units per quarter, while Q1 saw just 55 SUVs built.</t>
    <phoneticPr fontId="1"/>
  </si>
  <si>
    <t>On September 6, Tesla announced that Gigafactory Shanghai has just completed production of its 2 millionth vehicle made in China, 13 months after producing its 1 millionth. The localization rate of the Shanghai plant production chain presently exceeds 95%, according to Tesla executives that attribute the rapid production growth to the area's complete new energy vehicle industry cluster, advantageous transportation geographic location, and high-quality business environment.</t>
    <phoneticPr fontId="1"/>
  </si>
  <si>
    <t>https://www.marklines.com/en/global/9144</t>
    <phoneticPr fontId="1"/>
  </si>
  <si>
    <t>Heilongjiang</t>
  </si>
  <si>
    <t>On September 19, Volvo Cars announced the end of production of all its diesel-powered models by early 2024, at Climate Week NYC, USA. The company plans to sell only fully electric cars by 2030, with an aim to be a climate-neutral company by 2040. The announcement follows the decision last year, to exit the development of new combustion engines.</t>
    <phoneticPr fontId="1"/>
  </si>
  <si>
    <t>https://www.marklines.com/en/global/3633</t>
    <phoneticPr fontId="1"/>
  </si>
  <si>
    <t>https://www.marklines.com/en/global/1017</t>
    <phoneticPr fontId="1"/>
  </si>
  <si>
    <t>https://www.marklines.com/en/global/2727</t>
    <phoneticPr fontId="1"/>
  </si>
  <si>
    <t>https://www.marklines.com/en/global/9084</t>
    <phoneticPr fontId="1"/>
  </si>
  <si>
    <t>https://www.marklines.com/en/global/2635</t>
    <phoneticPr fontId="1"/>
  </si>
  <si>
    <t>Stellantis’ previous proposal to the UAW included raises of nearly 21% and would end wage tiers for some workers in addition to other bonuses and benefits. The previous proposal also included the possible the closure of up to 18 facilities, according to sources familiar with the subject. A focal point of the plan is possible closures of 10 Mopar parts and distribution centers to consolidate them into larger Amazon-like distribution centers, said the sources, with a potential “Mega Hub” at Belvidere Assembly, which Stellantis indefinitely idled in February. The parts proposal has been one of several discussions regarding the plant, with discussions also about using part of the nearly 5-million-square-foot Belvidere plant for EV battery components, the sources said. Other manufacturing facilities discussed in the proposal include the Tipton Transmission Plant in Indiana, partially decommissioned Trenton Engine Complex, and already idled Mount Elliott Tool &amp; Die in Michigan. Also included were a Detroit-area warehouse, office space, and the company’s massive North American headquarters and technology center in Auburn Hills, Michigan in an attempt to realign workspaces following the coronavirus pandemic.</t>
    <phoneticPr fontId="1"/>
  </si>
  <si>
    <t>https://www.marklines.com/en/global/2662</t>
    <phoneticPr fontId="1"/>
  </si>
  <si>
    <t>https://www.marklines.com/en/global/9921</t>
    <phoneticPr fontId="1"/>
  </si>
  <si>
    <t>https://www.marklines.com/en/global/2645</t>
    <phoneticPr fontId="1"/>
  </si>
  <si>
    <t>https://www.marklines.com/en/global/2663</t>
    <phoneticPr fontId="1"/>
  </si>
  <si>
    <t>https://www.marklines.com/en/global/2223</t>
    <phoneticPr fontId="1"/>
  </si>
  <si>
    <t>On September 20, Mercedes-Benz announced that its Rastatt plant, Germany, employs digital twin technology, minimizing assembly disruptions when introducing next-gen vehicles. The "Digital First" approach uses precise digital simulations to plan, configure, and optimize new production lines for MMA-based models. The approach accelerates production ramp-up, saving both time and money. Mercedes-Benz collaborates with NVIDIA to develop production techniques, utilizing software platforms, data, and AI. They use NVIDIA Omniverse to create digital depictions of production halls, allowing virtual planning, retooling, and inspection without costly hardware. This boosts production speed, transparency, and flexibility while reducing coordination efforts with suppliers by 50%. AI plays a role in energy and cost savings, especially in the paint shop at the Rastatt plant, where it monitors processes, resulting in 20% energy savings and quicker boot times. The AI-controlled process engineering is being expanded to other Mercedes-Benz plants. Mercedes-Benz launched a ChatGPT project within MO360 to optimize production processes and defect identification through data democratization, enabling real-time evaluation by employees. Mercedes-Benz Operating System (MB.OS), based on chip-to-cloud architecture, is used in series production for the first time. It allows for ten times faster software updates and ensures all vehicles leave production "always up-to-date" by linking with the Mercedes Intelligent Cloud (MIC).</t>
    <phoneticPr fontId="1"/>
  </si>
  <si>
    <t>https://www.marklines.com/en/global/2569</t>
    <phoneticPr fontId="1"/>
  </si>
  <si>
    <t>On September 20, LM Manufacturing, a joint venture between Magna International and minority-owned LAN Manufacturing that builds seating for the Ford Bronco, announced layoffs at its plant in Detroit due to the UAW strike halting Bronco production at the Michigan Assembly Plant.</t>
    <phoneticPr fontId="1"/>
  </si>
  <si>
    <t>VW Truck &amp; Bus / VWCO (TRATON)</t>
    <phoneticPr fontId="1"/>
  </si>
  <si>
    <t>https://www.marklines.com/en/global/2881</t>
    <phoneticPr fontId="1"/>
  </si>
  <si>
    <t>On September 18, VW Caminhões e Ônibus (VWCO) announced that from October onwards, the VW Constellation 18.260 4x2 and VW Constellation 26.260 6x2 models will leave the Resende factory with a new nine-speed manual transmission as standard equipment. VW Constellation models offer up to four wheelbase options and come in three cab versions.</t>
    <phoneticPr fontId="1"/>
  </si>
  <si>
    <t>https://www.marklines.com/en/global/3731</t>
    <phoneticPr fontId="1"/>
  </si>
  <si>
    <t>On September 21, Skoda Auto announced that it marked a milestone with the production of its three-millionth SUV i.e., black Skoda Kodiaq Sportline, at the Kvasiny plant, Czech Republic. It has achieved the milestone with a range of SUV models, including the Yeti, Kodiaq, Karoq, Kamiq, Enyaq, and Kushaq. Skoda produces its SUV models in the Czech Republic, China, India, Ukraine, and Slovakia.</t>
    <phoneticPr fontId="1"/>
  </si>
  <si>
    <t>https://www.marklines.com/en/global/9096</t>
    <phoneticPr fontId="1"/>
  </si>
  <si>
    <t>https://www.marklines.com/en/global/3615</t>
    <phoneticPr fontId="1"/>
  </si>
  <si>
    <t>https://www.marklines.com/en/global/1837</t>
    <phoneticPr fontId="1"/>
  </si>
  <si>
    <t>Ukraine</t>
    <phoneticPr fontId="1"/>
  </si>
  <si>
    <t>https://www.marklines.com/en/global/2651</t>
    <phoneticPr fontId="1"/>
  </si>
  <si>
    <t>On September 20, Stellantis said it expects to lay off almost 370 workers in Ohio and Indiana as a result of the UAW strike, which started on September 15 and is so far only targeting its Toledo Assembly Plant. Stellantis will lay off 68 employees at the Toledo Machining Plant due to storage constraints and anticipates similar actions at Kokomo Transmission and Kokomo Casting in Kokomo, Indiana, affecting an estimated 300 employees. The Toledo Machining Plant which employs more than 400 hourly workers, will continue production for other vehicles other than the Jeep Wrangler and Gladiator built in Toledo.</t>
    <phoneticPr fontId="1"/>
  </si>
  <si>
    <t>https://www.marklines.com/en/global/2659</t>
    <phoneticPr fontId="1"/>
  </si>
  <si>
    <t>https://www.marklines.com/en/global/2661</t>
    <phoneticPr fontId="1"/>
  </si>
  <si>
    <t>https://www.marklines.com/en/global/2653</t>
    <phoneticPr fontId="1"/>
  </si>
  <si>
    <t>On September 20, Association of Manufacturers for Automotive Industry (AFIA) announced that Volkswagen Autoeuropa plant management has decided to resume vehicle production on October 2, 2023, which is a month earlier than originally scheduled. However, the number of shifts initially will be lower than usual. Workers on lay-off will receive information about their return date and changes in the lay-off regime soon.</t>
    <phoneticPr fontId="1"/>
  </si>
  <si>
    <t>On September 20, Atom announced a partnership with Delimobil, an app-based carsharing company. They will jointly work on digital solutions in Atom that will make travel more comfortable and affect the entire urban mobility. Atom confirmed that its electric cars will be available for car sharing from 2025, and it will supply 25,000 vehicles.</t>
    <phoneticPr fontId="1"/>
  </si>
  <si>
    <t>On September 20, GM announced it is idling its Fairfax Assembly Plant in Kansas where 2,000 hourly employees work, citing the impact of a strike by the UAW at nearby Wentzville, Missouri. The layoff is tied to a shortage of stamped parts supplied by Wentzville’s stamping operations to Fairfax, where the Chevrolet Malibu sedan and Cadillac XT4 SUV are built. </t>
    <phoneticPr fontId="1"/>
  </si>
  <si>
    <t>https://www.marklines.com/en/global/2519</t>
    <phoneticPr fontId="1"/>
  </si>
  <si>
    <t>Kansas</t>
  </si>
  <si>
    <t>https://www.marklines.com/en/global/3049</t>
    <phoneticPr fontId="1"/>
  </si>
  <si>
    <t>On September 20, approximately 190 UAW-represented workers at the ZF Chassis Systems plant in Tuscaloosa, Alabama, which builds front and rear axles for Mercedes-Benz vehicles that are assembled nearby, walked off their jobs and began a strike. The strike against ZF is regarding local issues and is not directly tied to, but comes amid the UAW's larger strike against the Detroit 3, which began on September 15.</t>
    <phoneticPr fontId="1"/>
  </si>
  <si>
    <t>On September 19, Hyundai President Jose Munoz said the company is rushing to start EV and battery production at its USD 7.6 billion Metaplant America complex in Bryan County, Georgia, to be eligible sooner for U.S. federal EV incentives. Hyundai is speeding up construction to start production sometime in 2024, perhaps three months or so before the original January 2025 date. Hyundai and LG Energy Solution recently increased their investment by an additional USD 2 billion to increase capacity to supply all 300,000 vehicles that Hyundai plans to assemble there.</t>
    <phoneticPr fontId="1"/>
  </si>
  <si>
    <t>On September 18, Neta Auto announced the recent signing of a strategic cooperation agreement with the National New Energy Vehicle Technology Innovation Center (NEVC). The two parties will establish joint laboratories based on high-quality laboratory resources in the areas of vehicle energy efficiency testing, chip testing and certification, and digital scenarios. The partnership brings Neta Auto more world-leading R&amp;D resources, further enhancing R&amp;D and test efficiency.</t>
    <phoneticPr fontId="1"/>
  </si>
  <si>
    <t>On September 16, GAC Group announced the official groundbreaking of the first phase of an intelligent driving control system R&amp;D and production project of Lisheng Automotive Technology (Guangzhou) Co., Ltd. (Lisheng Technology). With a total land area of about 66,667 square meters and a total investment amount of about CNY 3 billion. The Lisheng Technology project is expected to realize mass production in 2024. Established by enterprises such as GAC Group and Luxshare Precision Industry Co., Ltd., Lisheng Technology is engaged in the R&amp;D and production of core ICV components and focuses on the development, application, and innovation of intelligent and connectivity technologies for the automotive industry.</t>
    <phoneticPr fontId="1"/>
  </si>
  <si>
    <t>https://www.marklines.com/en/global/10758</t>
    <phoneticPr fontId="1"/>
  </si>
  <si>
    <t>On September 15, Audi unveiled its new vehicle safety center in Ingolstadt at the inauguration of the incampus technology park. Around EUR 100 million of investment was made in the facility with the construction taking three years. It stands as Audi's most vital development hub for passive safety, staffed by around 100 experts who cover all current test scenarios. The facility features a 250-meter multiple run-up tracks, 50 by 50-meter support-free crash arena, mobile 100-ton crash block, the capability to collide two vehicles at a 90-degree angle, and streamlining various crash tests. The facility includes a dummy lab, component test stands, workshops, and offices.</t>
    <phoneticPr fontId="1"/>
  </si>
  <si>
    <t>https://www.marklines.com/en/global/1343</t>
    <phoneticPr fontId="1"/>
  </si>
  <si>
    <t>On September 19, Automotive Cells Company (ACC) held a meeting at its offices in the Termoli plant with the new President of the Molise Region, and relevant representatives of the region management to present an update on its European business plan and renew the collaboration with local institutions to execute the ambitious project in Italy. ACC said that the local territory can do a lot for the project for example by facilitating the upgrading of the railway infrastructure and the availability of sustainable and affordable electricity.</t>
    <phoneticPr fontId="1"/>
  </si>
  <si>
    <t>On September 19, the Ford Sanand Engine Plant in India celebrated the production of one million powerplants with an engine that came off of the Panther production line. Ford India had sold the Sanand plant to Tata Passenger Electric Mobility Limited in January 2023, and now leases back the land and buildings to operate the production of engines. The Sanand plant continues to produce single- and twin-turbocharged versions of the 2.0-liter Panther powerplant for Vietnam, Thailand, and Argentina</t>
    <phoneticPr fontId="1"/>
  </si>
  <si>
    <t>On September 18, Daimler Truck announced that it is conducting extensive safety systems testing worldwide to meet rigorous standards and can go into series production. The Development and Testing Centre (EVZ) in Wörth am Rhein, along with locations in Finland, Spain, Japan, and the Daimler Truck North America test track in Oregon, play crucial roles in these tests. Approximately 60 Daimler Truck vehicles undergo endurance testing each year, covering around five million km from 2020 to the end of 2023. Recent tests at the EVZ focused on systems that will be integrated into Daimler Truck trucks and buses starting in April 2024. These systems include Active Brake Assist (ABA) 6, Frontguard Assist, Active Sideguard Assist (ASGA) 2, Active Drive Assist (ADA) 3, and Traffic Sign Assist. These advancements underscore Daimler Truck's commitment to safety and set new standards. At the EVZ test track in Wörth, advanced equipment is available for testing various applications repeatedly. This includes high-tech measurement-equipped vehicles, steering and accelerator pedal robots, GPS-controlled dummies, and targets.</t>
    <phoneticPr fontId="1"/>
  </si>
  <si>
    <t>https://www.marklines.com/en/global/3051</t>
    <phoneticPr fontId="1"/>
  </si>
  <si>
    <t>On September 18, the Government of Russia announced that it will soon return to assessing the project to organize the assembly of the new generation Lada Vesta in Uzbekistan and a decision will be made. However, it depends on how the production of components within the country will be increased, and on meeting demand in the domestic market.</t>
    <phoneticPr fontId="1"/>
  </si>
  <si>
    <t>On September 16, Chery announced that it named its upcoming NEV (New Energy Vehicle) lineup “Fulwin”, which will focus on hybrid vehicles and is expected to be officially unveiled in Q4 2023. Chery also released the official images of the A9, the first Fulwin model. Positioned as a mid-to-large-size sedan, the new vehicle will be equipped with the Chery Power C-DM super hybrid system and be unveiled in Q4 2023.</t>
    <phoneticPr fontId="1"/>
  </si>
  <si>
    <t>Hanma</t>
    <phoneticPr fontId="1"/>
  </si>
  <si>
    <t>https://www.marklines.com/en/global/3895</t>
    <phoneticPr fontId="1"/>
  </si>
  <si>
    <t>On September 16, Hanma Technology issued an announcement on in the establishment of Anhui Hanma Engine Co., Ltd. (Hanma Engine). The announcement indicates that Hanma Technology approved of Hualing Auto, a wholly-owned subsidiary, investing its own funds in establishing the Hanma Engine wholly-owned subsidiary in the Ma’anshan Economic and Technological Development Zone in Anhui Province according to the actual operating conditions and strategic development needs. The new company has a registered capital of CNY 30 million, of which 100% was contributed by Hualing Auto in cash. It will integrate Hualing Auto’s engine R&amp;D, production, and sales operations.</t>
    <phoneticPr fontId="1"/>
  </si>
  <si>
    <t>https://www.marklines.com/en/global/3893</t>
    <phoneticPr fontId="1"/>
  </si>
  <si>
    <t>On September 15, Audi unveiled its In-Campus GmbH, a joint venture between the City of Ingolstadt and Audi AG, which has established a technology park in Ingolstadt, including the new IT Center. The site aims to host various companies and institutions in subsequent construction phases. The Audi IT Center spans nearly 10,000 square meters. It houses approximately 800 servers and data storage units on a 2,400 square-meter area. Cariad, located in the In-Campus, is developing premium software and electronics architecture for Audi and Porsche models based on the new Premium Platform Electric (PPE). The Automated Driving Alliance, in collaboration with Bosch, is also situated here. In-Campus also includes a functional building housing the Technische Hochschule Ingolstadt's control centre for the IN2Lab project, focused on automated and connected driving.</t>
    <phoneticPr fontId="1"/>
  </si>
  <si>
    <t>On September 15, JAC Motors (JAC) officially launched the QX PHEV, its first compact plug-in hybrid SUV. Based on the MIS platform architecture, the QX PHEV has an extreme lateral stability G-value of 1.02, which is comparable to that of a high-performance battery electric coupe. The vehicle adopts an IP68-level constant temperature battery. The QX PHEV is equipped with a 150kW high-power motor and an electro continuously variable transmission (ECVT), mated to a 21.68kWh ternary lithium battery. The vehicle has a combined range of 1,300km, a CLTC electric-mode range of 120km, a combined fuel consumption as low as 1.33L/100km, a feeder fuel consumption as low as 5.37L/100km, and a 0 to 100km/h acceleration time of only 7.3 seconds. A parallel drive mode can be activated in advance at 63km/h, enabling a 17% enhancement in acceleration performance compared with other vehicles in its class. The QX PHEV comes with rides on a next-generation iFlytek AI voice technology and algorithm engine.</t>
    <phoneticPr fontId="1"/>
  </si>
  <si>
    <t>On September 15, the first Skyworth Auto right-hand drive vehicles rolled off the production line. The automaker, a subsidiary of Nanjing Golden Dragon Bus, approved a right-hand drive vehicle project in 2022.</t>
    <phoneticPr fontId="1"/>
  </si>
  <si>
    <t>https://www.marklines.com/en/global/10357</t>
    <phoneticPr fontId="1"/>
  </si>
  <si>
    <t>On September 15, Nio officially launched the next-generation EC6 midsize electric coupe. The next-generation EC6 is powered by a 150kW high-performance AC asynchronous motor in the front and a 210kW high-efficiency silicon carbide permanent magnet synchronous motor in the rear, with a maximum power of 360kW, a peak torque of 700Nm, an intelligent 4WD layout, and a 0 to 100km/h acceleration time of 4.4 seconds. The vehicle comes standard with a 75kWh battery pack (CLTC combined range 450-495km). The next-generation EC6 is equipped with the Aquila super sensing system, and the Adam super computing platform, with 24 safety and assisted driving features.</t>
    <phoneticPr fontId="1"/>
  </si>
  <si>
    <t>On September 15, Geely officially launched the new Panda Knight micro electric vehicle (EV). The Panda Knight is powered by a permanent magnet synchronous motor (maximum power 30kW and peak torque 110Nm), mated to a 17.03kWh lithium iron phosphate battery, with a rear-engine RWD layout. The vehicle has a maximum speed of 100km/h and a CLTC range of 200km.</t>
    <phoneticPr fontId="1"/>
  </si>
  <si>
    <t>According to multiple press releases dated September 15, Longquan Xiazhi Thermal Management System Co., Ltd. was recently established in Lishui, Zhejiang. The new company’s registered capital is CNY 30 million, and its business scope includes R&amp;D of automotive parts, R&amp;D of emerging energy technologies, manufacturing of motors, and manufacturing of electronic elements. The company is indirectly wholly owned by Zhejiang Jirun Automobile Co., Ltd., a Geely subsidiary.</t>
    <phoneticPr fontId="1"/>
  </si>
  <si>
    <t>On September 14, Voyah, a Dongfeng Motor (DFM) sub-brand, officially unveiled the new Zhuiguang PHEV luxury ultra-long-range executive sedan. Equipped with Lanhai Power intelligent multimodal hybrid technology, the Zhuiguang PHEV supports multiple power modes such as battery electric, range-extending, and high-speed hybrid direct drive, with a maximum power of 390kW, a peak torque of 790Nm, and a combined fuel consumption of 0.5L/100km. A 43kWh ternary lithium battery completes the powertrain, with a CLTC electric-mode range of 262km and a CLTC combined range of 1,227km when fully fueled and charged, making the vehicle the 4WD model with the longest electric-mode range among all plug-in hybrid vehicles.</t>
    <phoneticPr fontId="1"/>
  </si>
  <si>
    <t>On September 14, SAIC Roewe disclosed the official images of the D5X DMH, a new model of its D family. The model will be officially unveiled in 2023. The D5X DMH, the third model under SAIC Roewe’s New Energy strategy of introducing eight New Energy models in three years, is positioned as a hybrid SUV. The D5X DMH comes with a next-generation Roewe dual-motor long-range hybrid technology. Equipped with a 1.5T hybrid-dedicated engine, the vehicle has a CLTC electric-mode range of 135km and a CLTC combined range of 1,300km.</t>
    <phoneticPr fontId="1"/>
  </si>
  <si>
    <t>On September 14, Mazda Motor Corporation began taking reservations in Japan for the MX-30 Rotary-EV, a series-type plug-in hybrid electric vehicle (PHEV) model that uses a rotary engine as a generator. Production takes place at the Ujina No. 1 Plant in Hiroshima Prefecture. The model is scheduled to go on sale in November. The MX-30 Rotary-EV uses a newly developed rotary engine to generate electricity only and is powered 100% by the motor. 107 km of EV range is available, and the rotary engine can also generate electricity for longer-distance travel. The rotary engine is integrated with a low-profile, high-power generator and a high-output motor that produces a maximum output of 125 kW on the same axis. This compact electric drive unit, combined with a 17.8kWh lithium-ion battery and 50L fuel tank, creates a unique series-type plug-in hybrid system.</t>
    <phoneticPr fontId="1"/>
  </si>
  <si>
    <t>On September 13, FAW Group held a memorandum of understanding signing ceremony with Mobileye, an Israeli autonomous driving technology company, in Changchun, Jilin. The two parties will leverage their respective industry advantages in software, hardware, and technology products to create new products based on the Mobileye SuperVision and Mobileye Chauffeur platforms and explore more intelligent transportation and intelligent driving solutions. In the future, the two parties will start working together on FAW Hongqi models, bringing the Mobileye SuperVision advanced automated driving assist platform to key FAW Hongqi models. In addition, the two parties plan to start mass producing models equipped with Mobileye SuperVision at the end of 2024 and those equipped with Mobileye Chauffeur at the end of 2025. Other FAW Group sub-brands are in line to gradually follow, applying Mobileye platform solutions to relevant models.</t>
    <phoneticPr fontId="1"/>
  </si>
  <si>
    <t>According to multiple press releases dated September 13, a Tangshan industrial site co-built by Ftxt Energy, a Great Wall Motor subsidiary, and the Caofeidian District People’s Government of Tangshan City of Hebei Province was recently officially commissioned, with the first batch of products rolling off the production line. The site is the first hydrogen fuel cell vehicle (HFCV) core parts manufacturing site in the city and has an annual capacity of 2,000 units (sets) for its three main products. Covering a total land area of about 8,200 square meters, the Phase I hydrogen energy industrial park at the Tangshan industrial site comes with three core parts production lines for hydrogen fuel cell systems, hydrogen fuel cell stacks, and hydrogen storage systems, and has digital, intelligent, platform-based manufacturing process control and quality management capabilities.</t>
    <phoneticPr fontId="1"/>
  </si>
  <si>
    <t>On September 13, Geely Holding Group signed a strategic cooperation agreement with Tianqi Lithium Corporation (Tianqi Lithium). According to the agreement, the two parties will conduct in-depth cooperation in areas such as upstream resources, core materials, research on lithium battery technologies, lightweight materials for New Energy Vehicles, and development of software technologies to jointly promote the R&amp;D and innovation of lithium battery materials and the vertical integration of the industrial chain to accelerate the transformation and upgrading of the New Energy industry.</t>
    <phoneticPr fontId="1"/>
  </si>
  <si>
    <t>On September 13, BYD officially launched the Seal midsize battery electric coupe, the second model of its Ocean series, in Colombia.</t>
    <phoneticPr fontId="1"/>
  </si>
  <si>
    <t>On September 13, BYD announced that it officially launched the Dolphin small electric vehicle (EV) in Nepal in partnership with Cimex Inc. The Dolphin is equipped with the proprietary BYD e-Platform 3.0 pure electric platform, an ultra-safe blade battery, an intelligent driver assistance system, and an intelligent braking system.</t>
    <phoneticPr fontId="1"/>
  </si>
  <si>
    <t>On September 12, Skyworth, a division of the Skywell Group, launched its self-developed SKYLIGHTNING energy storage and supercharging solutions at a technology event held in Xuzhou, Jiangsu Province. In addition, Skyworth unveiled two new variants of the EV6 Ⅱ electric mid-sized SUV: the 400V fast charging AIR+ version and the 800V supercharging PLUS+ version. They will be launched in China and overseas markets simultaneously in late September. The 400V version features a motor that has a maximum power 170kW and a peak torque 310Nm, combined with a 54.75kWh ternary lithium battery, providing a CLTC range of 430km. The 800V version features a motor that has a maximum power 250kW and a peak torque 340Nm, combined with a 65.71kWh ternary lithium battery, providing a CLTC range of 520km. Both versions adopt a front-engine, front-wheel-drive layout.</t>
    <phoneticPr fontId="1"/>
  </si>
  <si>
    <t>https://www.marklines.com/en/global/3349</t>
    <phoneticPr fontId="1"/>
  </si>
  <si>
    <t>On September 12, FAW Jiefang signed the “Strategic Cooperation on the Promotion and Application of Hydrogen Fuel Cell Vehicles (HFCVs)” agreement with Ftxt Energy Technology Co., Ltd. (Ftxt Energy). According to the agreement, the two parties will conduct in-depth cooperation on the promotion and application of HFCVs to promote the large-scale application of fuel cell vehicles (FCVs) in a wider and more diverse range of application scenarios. Concurrently, they will co-develop hydrogen fuel cells, improve the development and management of carbon assets for hydrogen energy vehicles, promote the construction and application of hydrogen energy infrastructure, and drive the demonstration application of commercial HFCVs. FAW Jiefang released the “15333” New Energy strategy in 2021. The automaker is planning to build an FCV- and fuel cell system-dedicated site featuring hydrogen energy industrial clusters.</t>
    <phoneticPr fontId="1"/>
  </si>
  <si>
    <t>On September 12, Yamato Transport Co., Ltd. (Yamato Transport) announced it will sequentially introduce around 900 units of the all-new eCanter electric light-duty truck developed by Mitsubishi Fuso Truck and Bus Corporation (MFTBC) throughout Japan starting in September. The Yamato Group with Yamato Transport at its core is introducing electric vehicles as part of its efforts to achieve a 48% reduction in greenhouse gas emissions by 2030 (compared to FY2020), followed by virtually zero greenhouse gas emissions by 2050. The eCanters that will be introduced by Yamato Transport are a standard cab, S-battery (41 kWh LIB) van vehicle with three compartments for dry, refrigerated, and frozen functions. Maximum payload capacity is 2 tons.</t>
    <phoneticPr fontId="1"/>
  </si>
  <si>
    <t>Suzuki Motor Corporation announced on September 8 that it has gradually introduced "Shizuoka Green Denki," CO2-free electricity derived from renewable energy sources, for use at its headquarters and plants in Shizuoka Prefecture since July. Shizuoka Green Denki" is a service provided by Chubu Electric Power Miraiz Co., Inc. that uses hydroelectric power plants and other facilities located in Shizuoka Prefecture to supply CO2-free electricity. As a result, Suzuki's sites in Shizuoka Prefecture will have zero CO2 emissions from electricity consumption.  The service covers all of Suzuki's sites in Shizuoka, including the head office, Kosai Plant, Iwata Plant, Sagara Plant, Osuka Plant, Hamamatsu Plant.  In addition, other group companies such as Suzuki Auto Parts Mfg. Co.,Ltd. have also introduced CO2-free electricity.</t>
    <phoneticPr fontId="1"/>
  </si>
  <si>
    <t>https://www.marklines.com/en/global/497</t>
    <phoneticPr fontId="1"/>
  </si>
  <si>
    <t>https://www.marklines.com/en/global/499</t>
    <phoneticPr fontId="1"/>
  </si>
  <si>
    <t>https://www.marklines.com/en/global/9138</t>
    <phoneticPr fontId="1"/>
  </si>
  <si>
    <t>https://www.marklines.com/en/global/10519</t>
    <phoneticPr fontId="1"/>
  </si>
  <si>
    <t>https://www.marklines.com/en/global/529</t>
    <phoneticPr fontId="1"/>
  </si>
  <si>
    <t>Subaru Corporation (Subaru) began accepting pre-orders for the new Levorg Layback SUV in Japan on September 7, with the official launch scheduled for the fall of 2023. The "Levorg Layback" is an SUV derived from the "Levorg" and developed for the Japanese market. According to the specifications of the prototype disclosed on Subaru's official website, the vehicle measures 4,770 mm (length) x 1,820 mm (width) x 1,570 mm (height) (including roof antenna) with a wheelbase of 2,670 mm. The powertrain is a 1.8L horizontally opposed 4-cylinder direct injection turbo "DIT" engine (maximum output 130kW/maximum torque 300Nm) combined with Lineartronic (fully electronically controlled automatic continuously variable transmission). It is also equipped with EyeSight, the latest driver assistance system that uses three cameras and radar to recognize obstacles.</t>
    <phoneticPr fontId="1"/>
  </si>
  <si>
    <t>According to a release issued by the AESC Group ("AESC"), a leading automotive battery manufacturer, on September 6, the Ibaraki Plant will produce next-generation lithium-ion batteries. The battery has 1.3 times higher energy density and 35% faster charging speed than conventional batteries and will be supplied to Nissan and other Japanese automakers. Construction of the first building at the Ibaraki Plant was completed in mid-August, and production is scheduled to begin in March 2024 with an annual production capacity of 6GWh. The entire plant covers an area of approximately 360,000 square meters, or about eight times the size of the Tokyo Dome stadium.</t>
    <phoneticPr fontId="1"/>
  </si>
  <si>
    <t>https://www.marklines.com/en/global/7</t>
    <phoneticPr fontId="1"/>
  </si>
  <si>
    <t>On August 31, MG Motor Taiwan Co., Ltd., a subsidiary of China Motor Corporation, launched the MG brand crossover SUV (CUV) "ZS" in Taiwan. This is the second locally produced MG brand vehicle following the "HS" SUV launched in 2022. The lineup includes only the flagship type priced at NTD 749,000. The vehicle measures 4,323 mm (L) x 1,809 mm (W) x 1,653 mm (H) x 2,585 mm (W) and features a trendy and high-tech front mask, flexible luggage space that can be expanded from 448 liters up to 1,375 liters, and a panoramic roof like a giant screen, etc. It is also equipped with the MG Pilot 2.0 autonomous Level 2 driver assistance system. The powertrain is a 1.5L DVVT 4-cylinder gasoline engine (maximum output 120ps/maximum torque 15.3kgm), mated to CVT with an 8-speed manual mode. Like the HS, the ZS is produced at China Motor's Yangmei Plant.</t>
    <phoneticPr fontId="1"/>
  </si>
  <si>
    <t>On September 15, multiple sources reported that Toyota Motor Manufacturing Czech Republic s.r.o. (TMMCZ) started production of bodywork and the paint shop at its Kolin plant, while the final assembly production will start on September 19, 2023.  Previously, the company announced a halt to its production, due to a parts shortage, which was caused by a large-scale fire incident at the production and storage facilities of a local supplier, Novares, in Zebrak. The incident resulted in a 19-day shutdown, in which the automaker was supposed to produce 25,000 cars. According to the automaker, the missing parts for both models, i.e., Yaris and Aygo, were found in cooperation with Novares CZ and other suppliers.</t>
    <phoneticPr fontId="1"/>
  </si>
  <si>
    <t>https://www.marklines.com/en/global/1679</t>
    <phoneticPr fontId="1"/>
  </si>
  <si>
    <t>On September 18, MAN Truck and Bus announced that it has achieved the production of the 1,000th MAN Lion's City E bus, which is produced at the Starachowice plant in Poland. Auto Periferia S.A., a subsidiary of Spain's Grupo Ruiz, ordered the eBus. Grupo Ruiz, the first Spanish customer to purchase MAN electric buses, currently operates 20 MAN eBuses and aims to have 60 in its fleet by the end of 2023. MAN Truck &amp; Bus holds the second position in Europe for new eBus registrations, with a total of 260 units in the first half of 2023.</t>
    <phoneticPr fontId="1"/>
  </si>
  <si>
    <t>On September 18, Mercedes-Benz announced an agreement with Steel Dynamics to source more than 50,000 metric tonnes of CO₂-reduced steel annually for its plant in Tuscaloosa, Alabama. Using an electric arc furnace with electricity from 100% renewable sources, SDI flat rolled steel made of 70% or greater recycled scrap content is being used in all models built in Tuscaloosa, including the EQS SUV and EQE SUV.</t>
    <phoneticPr fontId="1"/>
  </si>
  <si>
    <t>On September 16, Tesla announced that it had produced its five millionth EV, a Model 3 Highland sedan, at Gigafactory Shanghai, which earlier this month produced its two millionth electric car. The cumulative level of 4,000,000 units was announced on March 1, 2023, just over six months ago. If the current rate remains stable or further increases, the sixth millionth Tesla can be expected in early 2024.</t>
    <phoneticPr fontId="1"/>
  </si>
  <si>
    <t>Eicher Motors</t>
    <phoneticPr fontId="1"/>
  </si>
  <si>
    <t>https://www.marklines.com/en/global/9982</t>
    <phoneticPr fontId="1"/>
  </si>
  <si>
    <t>On September 15, GreenCell Mobility (Nuego Brand), promoted by Eversource Capital, signed a memorandum of understanding (MoU) with VE Commercial Vehicles (VECV) Volvo Eicher. As per the MoU, VECV shall be partnering with GreenCell to supply 1,000 Eicher electric buses for its inter-city business, NueGo, over the next 5 years, with both parties working together to ensure industry-leading vehicle engineering, data integration and safety features in these buses. NueGo is already operating in over 30 cities, like Delhi, Chandigarh, Dehradun etc.</t>
    <phoneticPr fontId="1"/>
  </si>
  <si>
    <t>On September 15, Hyundai Thanh Cong Vietnam (HTV) officially launched the locally manufactured Hyundai Palisade SUV. Hyundai Palisade possesses a sophisticated and impressive design, creating the distinction of being the most premium-positioned SUV in the lineup of Hyundai SUVs. It is powered by an R 2.2 diesel engine (code D4HB), paired with an 8-speed automatic gearbox. </t>
    <phoneticPr fontId="1"/>
  </si>
  <si>
    <t>On September 15, GM said it expects to idle its Fairfax Assembly plant, which builds the Cadillac XT4 and Chevrolet Malibu, because of a shortage of stampings made at the Wentzville Assembly plant, which went on strike Friday. The UAW strike at Ford’s Michigan Assembly Plant's final assembly and paint departments is causing Ford to lay off 600 employees in the body construction department and south sub-assembly because they use parts that have been e-coated for protection in the paint department. The UAW has also targeted Stellantis’ Jeep plant in Toledo in its initial strike move.</t>
    <phoneticPr fontId="1"/>
  </si>
  <si>
    <t>On September 15, General Motors announced that beginning in October it will idle its CAMI Assembly Plant in Ingersoll, Ontario, until spring 2024 due to delays in the supply of battery modules from the Ultium Cells plant in Warren, Ohio. At that time, van production will be supplied by CAMI’s new 400,000 square-foot battery-module line in Ingersoll, which will have the capacity not only to fully support BrightDrop Zevo production at the plant, but also supplement EV production at other GM plants.</t>
    <phoneticPr fontId="1"/>
  </si>
  <si>
    <t>On September 15, Hyundai Thanh Cong Vietnam officially introduced the Hyundai Custin mid-sized MPV for the first time in Vietnam. Also known as the Custo, the MPV's development and production started at Beijing Hyundai plant in China. After a period of research and testing, Hyundai Thanh Cong has also officially produced and distributed this completely new product to the Vietnamese market. Riding on the N-3 Platform, the Custin is designed with a modern style, optimal aerodynamics and class, and is equipped with FWD front-wheel drive system. Its first engine choice is the 2.0L Turbo GDi engine (code G4NIII) and the second engine option is the 1.5L Turbo GDi engine (code G4FII). Both options are paired with an 8-speed AT.</t>
    <phoneticPr fontId="1"/>
  </si>
  <si>
    <t>https://www.marklines.com/en/global/2719</t>
    <phoneticPr fontId="1"/>
  </si>
  <si>
    <t>On September 14, H2 Green Steel signed a long-term supply agreement with Volvo Group for green steel from its new plant in Boden in Northern Sweden. As steel is one of the main materials in the manufacturing of trucks and buses, a shift towards green steel is vital for Volvo Group's continued journey towards decarbonization. The production of green steel is planned to start by the end of 2025 while the deliveries to Volvo Group will start by mid-2026. </t>
    <phoneticPr fontId="1"/>
  </si>
  <si>
    <t>https://www.marklines.com/en/global/2707</t>
    <phoneticPr fontId="1"/>
  </si>
  <si>
    <t>https://www.marklines.com/en/global/2713</t>
    <phoneticPr fontId="1"/>
  </si>
  <si>
    <t>https://www.marklines.com/en/global/2715</t>
    <phoneticPr fontId="1"/>
  </si>
  <si>
    <t>https://www.marklines.com/en/global/2709</t>
    <phoneticPr fontId="1"/>
  </si>
  <si>
    <t>Negotiations between UAW and Detroit 3 to reach a new collective bargaining agreement have broken down and the UAW went on strike. UAW has customarily selected one company from the Detroit 3 as a target company for negotiations in the past, but this year took a new approach by negotiating with all three companies simultaneously. As a result, for the first time in the more than 80 years of the UAW's history, the strike began simultaneously with all three companies. UAW selected one major plant from each company to initiate the strike, a strategy known as a "stand-up strike," and is prepared to expand the number of plants targeted for strike action if necessary. Strikes atarted  on September 15 at GM's Wentzville plant in Missouri, Ford's Michigan Plant, and Stellantis' Toledo plant in Ohio.</t>
    <phoneticPr fontId="1"/>
  </si>
  <si>
    <t>Temsa</t>
    <phoneticPr fontId="1"/>
  </si>
  <si>
    <t>https://www.marklines.com/en/global/1440</t>
    <phoneticPr fontId="1"/>
  </si>
  <si>
    <t>On September 13, TEMSA, Turkey announced that it has collaborated with CaetanoBus on an R&amp;D project to develop a hydrogen bus. The hydrogen bus is expected to have a range of up to 1,000 km, with a prototype set for completion in 2024 and mass production in 2025 at TEMSA's Adana facility. The collaboration expands its zero-emission product range by combining CaetanoBus, part of Toyota Caetano Portugal, hydrogen fuel cell technology with TEMSA's electric and long-distance bus expertise on the TEMSA HD platform.</t>
    <phoneticPr fontId="1"/>
  </si>
  <si>
    <t>CaetanoBus</t>
    <phoneticPr fontId="1"/>
  </si>
  <si>
    <t>https://www.marklines.com/en/global/1386</t>
    <phoneticPr fontId="1"/>
  </si>
  <si>
    <t>https://www.marklines.com/en/global/3035</t>
    <phoneticPr fontId="1"/>
  </si>
  <si>
    <t>On September 11, Mullen Automotive announced the purchase of battery pack production assets from Romeo Power for approximately USD 3.5 million. The deal includes equipment, inventory, and intellectual property for high-volume EV battery pack and module production. The Romeo assets will be transferred to Mullen’s high-voltage facility in Monrovia, California. Mullen has assembly plants in Mishawaka, Indiana and Tunica, Mississippi.</t>
    <phoneticPr fontId="1"/>
  </si>
  <si>
    <t>On September 29 2023, the Detroit News reported that the United Auto Workers (UAW) ongoing strike against the “Big 3” OEMs has expanded to include the Ford assembly plant near Chicago, Illinois, as well as GM’s Delta Township plant near Lansing, Michigan. These two shutdowns add approximately 7,000 workers to picket lines surrounding various UAW-represented facilities, especially final assembly plants. </t>
    <phoneticPr fontId="1"/>
  </si>
  <si>
    <t>https://www.marklines.com/en/global/2595</t>
    <phoneticPr fontId="1"/>
  </si>
  <si>
    <t>https://www.marklines.com/en/global/2549</t>
    <phoneticPr fontId="1"/>
  </si>
  <si>
    <t>On September 29, 2023, the Detroit News reported that the Canadian equivalent of the United Autoworkers Union, Unifor, has given GM a deadline of October 9, 2023, to reach a new labor contract. Unifor’s negotiations with GM cover approximately 4,300 workers at the St. Catharines Powertrain Plant, which builds engines for the Chevrolet Equinox and Corvette, Oshawa Assembly Complex making light- and heavy-duty Chevrolet Silverado pickup trucks and parts for other vehicles, and the Woodstock Parts Distribution Centre in Ontario.</t>
    <phoneticPr fontId="1"/>
  </si>
  <si>
    <t>https://www.marklines.com/en/global/2547</t>
    <phoneticPr fontId="1"/>
  </si>
  <si>
    <t>On September 29, multiple sources reported that Stellantis' Vigo factory halted operations on September 28, 2023, during the night shift due to ongoing supply shortages, affecting both assembly lines (System 1 and System 2) at the plant. This marks another disruption caused by supply issues in recent months, with production already halted during multiple shifts earlier this week.</t>
    <phoneticPr fontId="1"/>
  </si>
  <si>
    <t>On September 28, Volvo Cars and Northvolt announced the start of construction work on their joint venture, Novo Energy's Li-on battery gigafactory in Gothenburg, Sweden. The work at the site will start on October 1, 2023. The gigafactory spans over an area equivalent to 130,000 square meters. The first production line of the plant is expected to be operational by late 2026. By the completion of the construction work, the plant aims to have over 3,000 employees, an annual cell production capacity of up to 50 GWh, and a production capacity of half a million cars per year. NovoEnergy currently has around 200 employees at the site.</t>
    <phoneticPr fontId="1"/>
  </si>
  <si>
    <t>On September 28, multiple sources reported that Stellantis will temporarily halt production at its Mirafiori plant in Turin due to decreased EV demand. The factory, responsible for manufacturing the Fiat New 500 electric car and Maserati vehicles, was already stopped this week and will experience another pause from October 19 to November 3, 2023. The suspension will affect both production lines, impacting approximately 2,400 employees who will be placed on forced leave.</t>
    <phoneticPr fontId="1"/>
  </si>
  <si>
    <t>Maserati</t>
    <phoneticPr fontId="1"/>
  </si>
  <si>
    <t>On September 27, Volkswagen Navarra, Spain proposed a collective agreement for the 2024-2026 transition to electric vehicles during the first meeting of the 10th Collective Agreement negotiating table. Production estimates for 2024 are approximately 255,000 units, 215,000 units for 2025, and 200,000 units (including electric and combustion models) in 2026 with the launch of two electric models i.e., Skoda and Volkswagen ID.2X. Plans for 2027 and 2028, the company targets the annual production volumes of 350,000 cars, aiming to surpass current employment figures. Starting in the second quarter of 2024 until the end of 2025, the factory will run two and a half shifts to meet production demands, reducing 400 personnels.</t>
    <phoneticPr fontId="1"/>
  </si>
  <si>
    <t>On September 26, Jetour, a Chery sub-brand, announced the X70 Plus in Russia. It is developed within the framework of the Travel+ brand concept. The length of the car is 4724 mm, width 1900 mm, height 1720 mm. The wheelbase reaches 2720 mm, and the minimum ground clearance is 204 mm. It is powered by a 1.6-litre turbocharged four-cylinder TGDI engine producing 190 PS, mated to a 7-speed 7DCT dual-clutch automatic transmission.</t>
    <phoneticPr fontId="1"/>
  </si>
  <si>
    <t>On September 27, multiple sources reported that an IT failure at Volkswagen's global headquarters in Wolfsburg, Germany, temporarily halted production for several hours across the country. The disruption halted production at other German manufacturing plants i.e., Emden, Zwickau, and Osnabrueck, and also impacted some other facilities outside Germany. On September 28, the issue has been resolved in the morning, and the network is now stable again. The exact cause of the failure is currently unknown, but it's been ruled out as a cyber attack.</t>
    <phoneticPr fontId="1"/>
  </si>
  <si>
    <t>On September 27, multiple sources reported that the former plant of Volvo Trucks in Russia will resume production before the end of 2023. It was stated by the governor of the Kaluga region. It will reach full capacity in 2024.</t>
    <phoneticPr fontId="1"/>
  </si>
  <si>
    <t>On September 27, Indus Motor Company, the manufacturers of Toyota in Pakistan announced that based on the current level of inventory of manufactured vehicles, the company has decided to close its production plant from September 28 to October 9, 2023 (both days inclusive). It would update in case of any change in the plan.</t>
    <phoneticPr fontId="1"/>
  </si>
  <si>
    <t>On September 27, the Lucid Group officially opened the first-ever car manufacturing facility in Saudi Arabia. As Lucid's second Advanced Manufacturing Plant (AMP-2) has begun semi knocked-down (SKD) assembly of vehicle 'kits' pre-manufactured at the company's U.S. AMP-1 facility in Casa Grande, Arizona, and is expected to have an annual capacity of 5,000 cars. In the second phase, Lucid aims to transition AMP-2 to complete build unit (CBU) production after the middle of the decade, with an additional annual capacity of 150,000 cars to build 155,000 total vehicles per year.</t>
    <phoneticPr fontId="1"/>
  </si>
  <si>
    <t>On September 27, Iveco Bus announced it has provided 39 units of the 17-280 chassis to public transporters in Curitiba, Brazil that were manufactured at the Iveco plant in Sete Lagoas. Iveco Bus also provided 3 units of the 10-190 chassis and 16 units of the 17-280 chassis to transport companies.</t>
    <phoneticPr fontId="1"/>
  </si>
  <si>
    <t>The Ultium Cells plant in Spring Hill, Tennessee has announced an increase in starting wages for several positions following an interim pay raise for workers in August at the Ultium Cells plant in Warren, Ohio amid ongoing negotiations between management and the United Auto Workers (UAW) to bring the union in there. At present, workers for the Ultium Cells joint venture between GM and LG Energy Systems are not included under UAW labor contracts, with the Ultium Cells venture claiming that having to include its workers into negotiations is not viable. However, current General Motors-UAW contract talks in Detroit may yet change that matter.</t>
    <phoneticPr fontId="1"/>
  </si>
  <si>
    <t>https://www.marklines.com/en/global/10475</t>
    <phoneticPr fontId="1"/>
  </si>
  <si>
    <t>https://www.marklines.com/en/global/10759</t>
    <phoneticPr fontId="1"/>
  </si>
  <si>
    <t>On September 25, Ford Motor Company announced it is immediately "pausing work" on a USD 3.5 billion EV battery plant in the Marshall, Michigan area. “We’re pausing work and limiting spending on construction on the Marshall site, effective today, until we’re confident about our ability to competitively operate the plant." said Ford spokesman T.R. Reid. "We haven’t made any final decision about the planned investment there." Reid said a "number of considerations" were at play in the company's business decision, but would not say whether the UAW strike was a factor. The 2.5-million-square-foot battery park was to be run by a wholly-owned subsidiary of Ford called “Blue Oval Battery Park Michigan” and employ 2,500 people. As part of the deal, Michigan Gov. Gretchen Whitmer, state lawmakers and local officials agreed to provide Ford with a combined USD 1.7 billion in public subsidies. Ford planned to license battery technology from Contemporary Amperex Technology Co. Ltd., though Ford promised state lawmakers that CATL would not receive state tax incentives. The project has prompted pushback from many in the community, citing fears about Chinese influence, transparency of the process, and substantial change it would bring to the community.</t>
    <phoneticPr fontId="1"/>
  </si>
  <si>
    <t>https://www.marklines.com/en/global/10574</t>
    <phoneticPr fontId="1"/>
  </si>
  <si>
    <t>On September 22, BYD officially launched the Dolphin small electric vehicle (EV) in Mexico. With an NEDC range of 405km when fully charged.</t>
    <phoneticPr fontId="1"/>
  </si>
  <si>
    <t>On September 22, Antonio Filosa, president of Stellantis for South America, presented the new Citroën C3 Aircross SUV, as the second of three models based on the new CMP platform, to members of the Brazilian government and confirmed the continuity of investments at the company’s Porto Real complex, which will reach BRL 2.5 billion by 2025. A third model will also be produced on the CMP variant platform that is compatible with thermal, hybrid and electric motorization, including the group’s Bio-Hybrid technology, and is also compatible with the production lines at the Betim and Pernambuco plants.</t>
    <phoneticPr fontId="1"/>
  </si>
  <si>
    <t>https://www.marklines.com/en/global/1973</t>
    <phoneticPr fontId="1"/>
  </si>
  <si>
    <t>On September 8, BMW Parts Manufacturing Thailand has officially been opened in Rayong, marking the 4th company under BMW Group Thailand. It is also the first component plant for BMW Motorrad outside of Germany. From September 2023, the plant will supply key motorcycle components, including cylinder heads, crankcases, engines, rear axles, wheels, frames, and swing arms, for the assembly of BMW Motorrad vehicles at BMW Group Manufacturing Thailand's Rayong Plant. Backed by an investment of THB 2.35 billion, the plant covers an area of approximately 11,000 sqm. With a projected annual production capacity of up to 80,000 components/parts, the plant is expected to create over 160 new jobs during the ramp-up phase.</t>
    <phoneticPr fontId="1"/>
  </si>
  <si>
    <t>On September 27, the Moskvich plant was assigned the status of an industrial complex. The new status will provide tax benefits, and the plant will be able to use the saved funds to develop production. The Moskvich 3 crossover, the Moskvich 3e electric car, and the Moskvich 6 sedan are produced here. It will launch production of two more models the Moskvich 5 and Moskvich 8 crossovers, next year.</t>
    <phoneticPr fontId="1"/>
  </si>
  <si>
    <t>https://www.marklines.com/en/global/10054</t>
    <phoneticPr fontId="1"/>
  </si>
  <si>
    <t>On September 27, Nissan announced that it will be leading the UK's newest autonomous driving research project - evolvAD, along with its consortium partners Connected Places Catapult, Humanising Autonomy, SBD Automotive, and TRL. The research project is jointly funded by the government and the consortium partners, the government's GBP 100 million intelligent mobility fund is administered by the Centre for Connected and Autonomous Vehicles (CCAV) and delivered by the UK's innovation agency, Innovate UK. The project started in July 2023 and is already underway in the development phase, using 100% electric Nissan LEAFs as the test vehicles. Over the course of the following 21 months, it aims to enhance the UK's autonomous drive capability while technically supporting the supply chain's readiness for mass deployment of AD technologies in the UK.</t>
    <phoneticPr fontId="1"/>
  </si>
  <si>
    <t>On September 26, Polestar announced that it conducted extreme hot weather testing of Polestar 3 in the United Arab Emirates. The 2-weeks testing process was conducted in the urban metropolises and deserts surrounding Dubai and Abu Dhabi in temperatures up to 50 degrees Celsius (122° F) and is one of several extreme weather tests that Polestar cars undergo during development. The Polestar 3 is already available to buy online, while the production of the vehicle is planned to start in Q1 2024.</t>
    <phoneticPr fontId="1"/>
  </si>
  <si>
    <t>https://www.marklines.com/en/global/2275</t>
    <phoneticPr fontId="1"/>
  </si>
  <si>
    <t>On September 26, multiple sources reported that Volkswagen is temporarily halting production of its electric cars, ID.3 and Cupra Born, at its Zwickau and Dresden plants in Germany due to lower demand for EVs. The production line will be paused from October 2 to 13, 2023 in the Zwickau plant and in the Dresden plant on October 2 and will resume on October 16. The decision comes in response to the current market conditions.</t>
    <phoneticPr fontId="1"/>
  </si>
  <si>
    <t>On September 26, the Ministry of Investments, Industry, and Trade of the Republic of Uzbekistan and the BYD signed a document to organize the production of hybrid and electric cars and components in Uzbekistan. BYD Auto Company and Uzavtosanoat JSC will establish BYD Uzbekistan Factory, a joint venture that produces hybrid and electric cars. The planned production volume in the first and second stages of the investment project is 50,000 units, and by the end of the third stage, this indicator will be 300,000 units. BYD Uzbekistan Factory will be the first joint venture of BYD in electric cars outside of China.</t>
    <phoneticPr fontId="1"/>
  </si>
  <si>
    <t>On September 26, Mercedes Benz unveiled all-new GLC Coupé SUV with AMG performance. The vehicle is available in two performance levels of the AMG 2.0-litre four cylinder turbocharged engine, assembled in Affalterbach. The entry model is GLC 43 4MATIC Coupé and the top model is GLC 63 S E Performance Coupé.</t>
    <phoneticPr fontId="1"/>
  </si>
  <si>
    <t>On September 26, Audi announced that its Ingolstadt plant, Germany will achieve net carbon-neutral production starting January 1, 2024, when it begins building the Audi Q6 e-tron series. Audi's Mission:Zero environmental program aims to attain net carbon neutrality across all its global sites by 2025. The program addresses not only decarbonization but also focuses on water use, resource efficiency, and biodiversity preservation. In 2022, Audi's Ingolstadt site saved 35,000 megawatt hours of energy and prevented 5,000 tons of carbon emissions through energy management measures. Audi has installed photovoltaic modules covering 23,000 square meters at the Ingolstadt plant, with plans to increase in-house energy generation at all production sites. Since 2012, Audi has exclusively used green electricity for car production in Ingolstadt, covering most of its energy needs from renewables. Audi offsets a maximum of 10% of original carbon emissions by purchasing certified carbon credits, including logistics within the Ingolstadt plant.</t>
    <phoneticPr fontId="1"/>
  </si>
  <si>
    <t>On September 26, Mahindra &amp; Mahindra Limited (M&amp;M) received an intimation from MEAL (Mahindra Electric Automobile Limited) that it allotted 100 equity shares to BII (British International Investment Plc) for cash. Consequent to the above, MEAL has ceased to be a wholly owned subsidiary of the company with effect from September 26, 2023 but continues to be a subsidiary of the Company.</t>
    <phoneticPr fontId="1"/>
  </si>
  <si>
    <t>https://www.marklines.com/en/global/1205</t>
    <phoneticPr fontId="1"/>
  </si>
  <si>
    <t>On September 26, Mahindra &amp; Mahindra (M&amp;M) announced that it rolled out 100 thousand units of 'all-new' Bolero MaXX Pik-Up range in a span of 16 month. Mahindra launched a series of 8 different models in April 2023. This range included new variants under CITY range and HD range, catering to various payloads and cargo lengths.</t>
    <phoneticPr fontId="1"/>
  </si>
  <si>
    <t>https://www.marklines.com/en/global/1203</t>
    <phoneticPr fontId="1"/>
  </si>
  <si>
    <t>On September 25, Nissan is pressing ahead with plans to achieve 100% EV in Europe by 2030, with all new Nissan models from now to be all-electric in Europe. With capability to design, engineer and build vehicles in the UK, and building on the brand's core strengths of electrification and crossovers, the switch will also support Nissan's drive towards carbon neutrality. The company unveiled an all-new sporty urban electric concept car, Nissan Concept 20-23.For the Nissan Technical Center Europe and Nissan Design Europe, an investment program of more than EUR 40 million is ongoing.</t>
    <phoneticPr fontId="1"/>
  </si>
  <si>
    <t>https://www.marklines.com/en/global/10058</t>
    <phoneticPr fontId="1"/>
  </si>
  <si>
    <t>https://www.marklines.com/en/global/10059</t>
    <phoneticPr fontId="1"/>
  </si>
  <si>
    <t>https://www.marklines.com/en/global/2361</t>
    <phoneticPr fontId="1"/>
  </si>
  <si>
    <t>https://www.marklines.com/en/global/10360</t>
    <phoneticPr fontId="1"/>
  </si>
  <si>
    <t>https://www.marklines.com/en/global/10057</t>
    <phoneticPr fontId="1"/>
  </si>
  <si>
    <t>On September 23, Voyah, a Dongfeng Motor (DFM) sub-brand, announced the signing of a strategic cooperation agreement with Tencent. Through this cooperation, both parties will work on further in-depth co-creation in fields such as digital marketing, intelligent cockpits, and navigation and maps. In addition, they will conduct further cooperation in fields such as cloud services, overseas digitalization and intelligentization, intelligent connected vehicle safety, and intelligent parks.</t>
    <phoneticPr fontId="1"/>
  </si>
  <si>
    <t>On September 22, Polestones, an auto brand jointly established by Rox Motor Tech Co., Ltd. and Beijing Automobile Works, announced that it received a USD 1 billion strategic investment from Shandong Weiqiao Pioneering Group. The funds will be used for all-aluminum vehicle body R&amp;D, integrated die casting technologies, and a short-process intelligent manufacturing plant project. In November 2023, the Polestones 01 mid-to-large-size electric SUV will be available for delivery across China.</t>
    <phoneticPr fontId="1"/>
  </si>
  <si>
    <t>On September 21, at the NIO In 2023 event, NIO panoramically presented the NIO Full Stack covering 12 technology domains for the first time and launched multiple innovative products and solutions. In terms of hardware, NIO launched Yang Jian, the industry’s first in-house developed mass-produced chip for LiDAR. The automaker also launched the ADAM CCC (Central Computing Cluster). In terms of software, NIO launched the SkyOS, the industry’s first intelligent electric vehicle operating system developed in-house by an automaker. By 2025, Decision making for 80% of NIO’s manufacturing work will be AI-assisted to further improve efficiency.</t>
    <phoneticPr fontId="1"/>
  </si>
  <si>
    <t>Tesla has received environmental impact permits from the Mexican state of Nuevo Leon's Ministry of the Environment to build its Gigafactory Mexico, and now has 26 months to prepare the site and start building the factory, although other permits and a series of requirements must be affected before this happens. Among the conditions imposed by the environmental impact permit is that Tesla may not clear the entire area at once, but must proceed in stages, so that only the areas required for the current construction phase may be prepared and levelled.</t>
    <phoneticPr fontId="1"/>
  </si>
  <si>
    <t>https://www.marklines.com/en/global/389</t>
    <phoneticPr fontId="1"/>
  </si>
  <si>
    <t>Toyota Motor Corporation (Toyota) held a "Monozukuri Workshop," an informational session for the press, where various production technologies being developed at the Teiho, Myochi, and Motomachi plants were unveiled. Toyota is working on product development and mass production methods with the aim of commercializing all-solid-state batteries for electric vehicles (EVs) in 2027-2028. At the Teiho Plant, the process development site and a part of the planned mass production methods were made public. In an all-solid-state battery, ions move through the solid, so ideally the negative electrode, positive electrode, and solid electrolyte layers are in close contact with each other without any gaps. According to the announcement, Toyota has achieved high-speed, high-precision lamination with an eye toward mass production, without damaging battery materials. Toyota is also working on product development and production methods for bipolar lithium-ion battery, which will be the next generation battery (popularization version), with a view to commercialization in 2026-2027. At this workshop, the coating process was unveiled.</t>
    <phoneticPr fontId="1"/>
  </si>
  <si>
    <t>https://www.marklines.com/en/global/385</t>
    <phoneticPr fontId="1"/>
  </si>
  <si>
    <t>Toyota Motor Corporation (Toyota) held a "Monozukuri Workshop," an informational session for the press, where various production technologies being developed at the Teiho, Myochi, and Motomachi plants were unveiled. At the Myochi Plant, the development of Giga casting (a technology for integrated molding with aluminum die-casting), which will be used in next-generation electric vehicles (EV), is underway. At this workshop, the prototype equipment at the Akechi Plant were open to the public. Giga casting requires periodic mold changes, which usually take about 24 hours. Toyota has divided the molds into "general-purpose molds," which remain in the equipment, and "special-purpose molds," which are shaped differently for each vehicle model. By automatically detaching only the compact dedicated mold from the general-purpose mold, the lead time required for mold replacement is reduced to approximately 20 minutes.</t>
    <phoneticPr fontId="1"/>
  </si>
  <si>
    <t>Toyota Motor Corporation (Toyota) held a "Monozukuri Workshop," an informational session for the press, where various production technologies being developed at the Teiho, Myochi, and Motomachi plants were unveiled. At the Motomachi Plant, part of the preparation status of the next-generation electric vehicle (EV) production line were shown. The line will employ a new modular structure and self-propelled production, with the aim of reducing the number of processes and plant investment amount by half. In the new modular structure introduced at the Motomachi Plant, the underbody is divided into three sections (front, center, and rear), and parts are assembled to each section. Compared to the work conventionally done by having people climb into the vehicle, the new modular structure improves work efficiency and shortens the process. The Giga casting technology (casting method) to be used for the module structure is under development at the Myochi Plant. Furthermore, by applying self-propelled transport to the next-generation EV production line will greatly improve the flexibility of the line layout. This will enable a significant reduction in production preparation lead time and plant investment. The Motomachi Plant is also working to improve vehicle transport operations in the finished vehicle yard. To solve the labor shortage and reduce the workload, a vehicle transport robot called a Vehicle Logistics Robot (VLR) has been introduced. In addition to high-precision autonomous driving, a control system centrally manages the movements of multiple robots, enabling transport along optimal routes while monitoring safety.</t>
    <phoneticPr fontId="1"/>
  </si>
  <si>
    <t>https://www.marklines.com/en/global/10084</t>
    <phoneticPr fontId="1"/>
  </si>
  <si>
    <t>Saitama</t>
  </si>
  <si>
    <t>On September 19, Honda Motor Co., Ltd. announced that Honda R&amp;D Co., Ltd. (Honda R&amp;D), the R&amp;D subsidiary of Honda Motor, and Toray Industries, Inc. (Toray) have begun joint verification testing related to closed-loop recycling of Nylon 6 resin (Nylon resin) recovered from End-of-Life Vehicles (ELVs). This testing is certified by the Japanese Ministry of the Environment as a part of its project to establish a decarbonized circular economy system. Honda R&amp;D and Toray have jointly succeeded in monomerizing recovered nylon resin back into its molecular state using subcritical water. This method, which uses water as a solvent, enables more environmentally responsible and efficient monomer production, taking only one-fifth the time compared to methods using conventional acid catalysts. Applying this technology in this joint verification testing, the two companies will verify the recycling of intake manifolds recovered from ELVs in Japan. The two companies aim to put this recycling process into practical application by around 2027.</t>
    <phoneticPr fontId="1"/>
  </si>
  <si>
    <t>On September 25, the Chair of Production Engineering of E-Mobility Components (PEM) of RWTH Aachen University joined forces with Volkswagen's battery subsidiary PowerCo and Jagenberg Converting Solutions in the "MiKoBatt" research project funded by the German Federal Ministry of Education and Research. The concept is intended to reduce the air space volumes to be conditioned in battery cell production compared to classic dry and clean rooms and in this way significantly reduce energy consumption, save operating costs to a large extent, and improve the protection of the product and employees.</t>
    <phoneticPr fontId="1"/>
  </si>
  <si>
    <t>https://www.marklines.com/en/global/709</t>
    <phoneticPr fontId="1"/>
  </si>
  <si>
    <t>On September 25, multiple sources reported that the head of the Minister of Industry and Trade of the Russian Federation stated that a Russian company will buy Hyundai's plant in St. Petersburg. Hyundai plans to sell it with a two-year buyback option. Hyundai Motor plant in St. Petersburg is designed to produce 200 thousand cars per year.</t>
    <phoneticPr fontId="1"/>
  </si>
  <si>
    <t>https://www.marklines.com/en/global/3061</t>
    <phoneticPr fontId="1"/>
  </si>
  <si>
    <t>On September 25, Mercedes-Benz announced it has applied for tax breaks for potential projects at its plants in Tuscaloosa, Alabama and Charleston, South Carolina, under the Inflation Reduction Act. While the spokesperson did not comment on the proposed projects, sources have reported that Mercedes-Benz is looking to expand its Alabama plant to produce the all-electric GLC from 2026 and wants to build fully electric delivery vans and medium-sized luxury transporters on the new VAN.EA electric platform at its plant in South Carolina.</t>
    <phoneticPr fontId="1"/>
  </si>
  <si>
    <t>https://www.marklines.com/en/global/10707</t>
    <phoneticPr fontId="1"/>
  </si>
  <si>
    <t>On September 24, BMW announced that the Straßkirchen referendum results are in, with over 75% of residents voting in favor of building the new high-voltage battery assembly plant. In October, the next step towards plant construction will begin with a second round of public consultation as part of the local land-use planning process. Upon completing the initial construction phase, BMW Group plans to employ around 1,600 people at the new production site, with 70% coming from existing BMW Group locations.</t>
    <phoneticPr fontId="1"/>
  </si>
  <si>
    <t>On September 21, the Economic Cities and Special Zones Authority (ECZA) granted Lucid Motors an operating permit within the King Abdullah Economic City (KAEC) special economic zone to commence car production operations, which paves the way toward a new era of sustainable electric car manufacturing.</t>
    <phoneticPr fontId="1"/>
  </si>
  <si>
    <t>On September 21, GWM officially signed a framework agreement on deepening strategic cooperation with Autoliv in Baoding, Hebei. According to the agreement, both parties will work closely in areas such as R&amp;D and application of new safety technologies, sustainable development, and expansion of overseas operations, and focus on R&amp;D of common solutions and integration and development of restraint systems to further enhance GWM’s competitiveness overseas.</t>
    <phoneticPr fontId="1"/>
  </si>
  <si>
    <t>On September 21, SAIC Maxus officially unveiled the eDeliver brand for New Energy light vehicles (NELVs) and introduced MILA, the world’s first electric intelligent light vehicle architecture platform. The eDeliver V1 and T1, the first models based on the platform, were simultaneously launched. The new MILA platform enables a flexible combination of the vehicle structure, the battery system, the drive system, and the suspension system, rapidly creating up to 15 products for the lineup, and significantly shortening the development cycle from 24 months to 12 months. The Spider Battery, which is the core of the platform and exceeds the most authoritative UL2580 global standard, has a maximum service life of 8 years or 800,000km. The MILA-based eDeliver V1 battery electric logistics vehicle is equipped with a 120kW high-power electric drive and delivers a power consumption as low as 15.9kWh/100km. The eDeliver T1 adopt a maximum range of 500km. The first eDeliver models unveiled on this occasion will also be launched in countries and regions such as the UK, France, Chile, and Australia. In the next two years, 10 new eDeliver New Energy models will be introduced.</t>
    <phoneticPr fontId="1"/>
  </si>
  <si>
    <t>On September 21, Dongfeng Honda held an event at the Wuhan Sports Center, where the new “Stay Ahead” brand value, the Lingxi brand for New Energy Vehicles (NEVs), and the brand’s first concept vehicle were unveiled. Taking the e:HEV and e:PHEV technology brands, the e:NS electrification brand, and the Lingxi brand as the core, Dongfeng Honda will fully make deployments in the New Energy technology routes of EV, HEV, and PHEV and build an electrified product portfolio covering market segments at all levels.</t>
    <phoneticPr fontId="1"/>
  </si>
  <si>
    <t>https://www.marklines.com/en/global/8784</t>
    <phoneticPr fontId="1"/>
  </si>
  <si>
    <t>On September 20, Triton EV (TEV) announced that it will be introducing a 3.5T Triton EV pickup truck for Indian and Middle East Market from TEV's EV range. Triton EV has established its comprehensive Research and Development (R&amp;D) Centre facility in Kheda, Anand District near Ahmedabad, Gujarat. The facility is 150 thousand square feet in area. The R&amp;D centre has become the global centre of Triton EV's entire R&amp;D activities which includes the development of Triton EV Trucks and special purpose vehicles.</t>
    <phoneticPr fontId="1"/>
  </si>
  <si>
    <t>https://www.marklines.com/en/global/3721</t>
    <phoneticPr fontId="1"/>
  </si>
  <si>
    <t>On September 20, Foton Motor officially launched the Xiangling Q global micro truck. Based on Foton Motor’s global network, the vehicle will be simultaneously launched for online and offline sales in regions such as China, Europe, the Americas, and Southeast Asia. The ICE variant of the Xiangling Q is powered by a Dongan Auto 1.6L engine, China’s only engine designed in accordance with Phase IV fuel economy regulations for CVs of Category N1, with a 10% lower fuel consumption than the industry average. It is also available with a Wuling Liuji 1.3L engine. The New Energy variant, the world’s first battery electric micro truck, is the first vehicle in the industry to be equipped with a CATL 3rd-generation battery with either a 32kWh or 42kWh capacity.</t>
    <phoneticPr fontId="1"/>
  </si>
  <si>
    <t>https://www.marklines.com/en/global/1279</t>
    <phoneticPr fontId="1"/>
  </si>
  <si>
    <t>On September 25, Tata Motors announced that there was a fire incident at the Fiat India Automobile Company's Ranjangaon plant (Joint venture plant of Stellantis (FCA) and Tata Motors) recently which was brought under control very quickly. It mentioned that, due to the flexible manufacturing techniques and agile working culture, it managed to swiftly address the situation by ramping up the paint shop in its other facility causing no major disruption at the plant. It also mentioned that there was no major impact on its supplies.</t>
    <phoneticPr fontId="1"/>
  </si>
  <si>
    <t>https://www.marklines.com/en/global/10682</t>
    <phoneticPr fontId="1"/>
  </si>
  <si>
    <t>On September 23, Skoda Auto celebrated its official market entry in Vietnam with the launch of the Karoq and Kodiaq SUVs, imported from Europe (Kvasiny plant, Czechia), with local sales starting on September 25. From H2/2024, the first Skoda Kushaq units will have been shipped from the Pune facility in India to Vietnam for assembly from CKD kits, with the Slavia set to follow in 2025. Construction of a production line at the Viet Hung Industrial Park in Quang Ninh province by Thanh Cong Group (TC Group) is already underway. Based on market trends, Skoda aims to ramp up production, potentially assembling as many as 27,000 vehicles per year after 2027. Skoda’s medium-term plans include assemble around 30,000 cars from CKD kits. As Skoda sees Vietnam as its gateway to the ASEAN region, the capacity at the TC Group-owned plant could also be used in the future to expand production to potentially exporting Skoda models across the region. </t>
    <phoneticPr fontId="1"/>
  </si>
  <si>
    <t>On September 22, INEOS Automotive started production of Grenadier 4X4s for North America in Hambach, France. More than 7,000 orders have already been placed for the Grenadier in the USA, making it INEOS Automotive's largest market, with first customer deliveries due to start in November for the USA and January 2024 for Canadian buyers. With the addition of North America, the plant is now producing for export to five continents. Grenadier is powered by a choice of BMW 3.0-litre turbo-charged inline six-cylinder gasoline or diesel engines (gasoline only for North America).</t>
    <phoneticPr fontId="1"/>
  </si>
  <si>
    <t>On September 21, Mercedes Benz announced that its Rastatt plant will start producing the MMA platform in the mid of 2020s after renovating assembly hall 4.0, embracing a "digital first" approach. The digital transformation enabled the swift conversion of the production line without disrupting the current compact model production. Over 400 km of cable were laid, and the virtual conversion was completed in twelve weeks. Furthermore, the plant expanded its photovoltaic areas to 18,000 square meters, aiming to generate up to 2.75 MWp of power when the new PV system becomes fully operational in October 2023.</t>
    <phoneticPr fontId="1"/>
  </si>
  <si>
    <t>On September 21, Kamaz announced that a delegation of the largest Belarusian enterprise to produce automotive equipment, MAZ (Minsk Automobile Plant) OJSC visited its engine plant. During the business meeting, the parties discussed implementing a joint program to develop and use import-substituting standardized components, systems, and materials. The delegation got acquainted with the work of the P6 engine cylinder block processing line, the P6 engine assembly line, and the axle assembly line. They also visited CF KAMA LLC and the company’s newest plant – the cabin frame plant.</t>
    <phoneticPr fontId="1"/>
  </si>
  <si>
    <t>On September 21, URAL Automobile Plant hosted a visiting meeting of the Legislative Assembly of the Chelyabinsk Region. URAL revealed that it is producing 72 cars per day. It is yet to reach its peak production. The company is also planning to hire 1,000 new employees in three years.</t>
    <phoneticPr fontId="1"/>
  </si>
  <si>
    <t>On September 21, multiple sources reported that Hongqi had started production of HS5 crossovers at the facilities of the Unison company in Minsk, Belarus. Hongqi is planning to assemble 1,000 to 1,500 cars by the end of 2023. The cars will be produced using the large-unit method from ready-made vehicle kits. In the future, the assembly of cars will be localized in Belarus completely.</t>
    <phoneticPr fontId="1"/>
  </si>
  <si>
    <t>https://www.marklines.com/en/global/3339</t>
    <phoneticPr fontId="1"/>
  </si>
  <si>
    <t>On September 21, SAIC VW and SAIC Motor Z-One Software Company (SAIC Z-One) officially established a joint innovation and R&amp;D center in Shanghai. Based on this center, the two parties will conduct comprehensive cooperation in areas such as product definition of intelligent vehicles, development of software and hardware, and operations and maintenance to accelerate the intelligentization transformation of SAIC VW and the industrialization and upscaling of SAIC Z-One full-stack products.</t>
    <phoneticPr fontId="1"/>
  </si>
  <si>
    <t>On September 20, Volvo Buses announced that it would deliver 50 new Volvo BZL Electric double-deck buses, each with MCV bodywork, to Lothian Buses, Edinburgh's municipal bus company. With an investment of over GBP 24 million, Lothian will introduce these new vehicles in two batches across 2024, with the first vehicles appearing on Edinburgh's streets in early spring.</t>
    <phoneticPr fontId="1"/>
  </si>
  <si>
    <t>Yangwang</t>
    <phoneticPr fontId="1"/>
  </si>
  <si>
    <t>On September 20, Yangwang Auto officially launched the Premium Edition of the U8, it first plug-in hybrid off-road SUV. The U8 Premium Edition rides on the e4 platform (a quad-motor drive system capable of four-wheel independent torque vectoring) and the DiSus-P intelligent hydraulic body control system. The vehicle is powered by a PHEV 2.0T high-power engine, a permanent magnet synchronous motor, and a 49.05kWh blade battery, delivering a maximum power of 880kW, a peak torque of 1,280Nm, a 0 to 100km/h acceleration time of 3.6 seconds, a top speed of 200km/h, a CLTC electric-mode range of 180km, a CLTC combined range of 1,000km, and a peak charging power of 110kW. The U8 Premium Edition comes with such configurations as a 4nm 5G chip customized by BYD and Qualcomm, and is available with such features as the Yangwang Pilot advanced intelligent driver assistance system.</t>
    <phoneticPr fontId="1"/>
  </si>
  <si>
    <t>On September 20, Leapmotor officially launched the range-extended C01 mid-to-large-size sedan. The range-extended C01 is equipped with a single permanent magnet synchronous motor (maximum power 200kW and peak torque 360Nm) in the rear and a range-extending power generation system consisting of a 1.5L four-cylinder range extender and a high-efficiency motor. Either a 30.1kWh lithium iron phosphate or 43.7kWh ternary lithium battery completes the powertrain. The vehicle has a maximum CLTC combined range of 1,276km, a rear-engine RWD layout, and a fuel consumption of 4.9L/100km at the lowest charge. The range-extended C01 rides on a Qualcomm Snapdragon SA8155P chip. The vehicle has such features as ACC (Adaptive Cruise Control), AEB (Automatic Emergency Braking).</t>
    <phoneticPr fontId="1"/>
  </si>
  <si>
    <t>On September 19, a HiPhi event was opened, where the automaker presented its latest R&amp;D achievements and cutting-edge technologies and officially launched an in-house developed high-computing-power intelligent cockpit platform. With a maximum AI computing power of 96TOPS. HiPhi plans to conduct small-scale internal testing of the platform on the existing HiPhi X model at the end of 2023 and apply it to vehicles in volume in Q1 2024.</t>
    <phoneticPr fontId="1"/>
  </si>
  <si>
    <t>On September 19, Jiyue, a Geely Holding Group sub-brand, started accepting pre-orders for the Jiyue 01, the world’s first AI automotive robot. Based on the Geely SEA architecture, the Jiyue 01 has a CLTC range of up to 720km and a 0 to 100km/h acceleration time of only 3.8 seconds. The Jiyue 01 is the first vehicle in China to ride on a Qualcomm Snapdragon 8295 chip, with a computing power eight times that of a Qualcomm Snapdragon 8155 chip. The vehicle comes with such features as Baidu Apollo advanced autonomous driving capabilities, PPA (Point to Point Autopilot), and APA (Automatic Parking Assist).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</si>
</sst>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
  </numFmts>
  <fonts count="8" x14ac:knownFonts="1">
    <font>
      <sz val="11"/>
      <color theme="1"/>
      <name val="ＭＳ Ｐゴシック"/>
      <family val="3"/>
      <charset val="128"/>
      <scheme val="minor"/>
    </font>
    <font>
      <sz val="6"/>
      <name val="ＭＳ Ｐゴシック"/>
      <family val="3"/>
      <charset val="128"/>
    </font>
    <font>
      <u/>
      <sz val="11"/>
      <color theme="10"/>
      <name val="ＭＳ Ｐゴシック"/>
      <family val="3"/>
      <charset val="128"/>
    </font>
    <font>
      <b/>
      <sz val="11"/>
      <color theme="1"/>
      <name val="ＭＳ Ｐゴシック"/>
      <family val="3"/>
      <charset val="128"/>
      <scheme val="minor"/>
    </font>
    <font>
      <sz val="11"/>
      <name val="ＭＳ Ｐゴシック"/>
      <family val="3"/>
      <charset val="128"/>
      <scheme val="minor"/>
    </font>
    <font>
      <sz val="11"/>
      <name val="ＭＳ Ｐゴシック"/>
      <family val="3"/>
      <charset val="128"/>
    </font>
    <font>
      <u/>
      <sz val="10"/>
      <color theme="10"/>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8" tint="0.59999389629810485"/>
        <bgColor indexed="64"/>
      </patternFill>
    </fill>
  </fills>
  <borders count="1">
    <border>
      <left/>
      <right/>
      <top/>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6">
    <xf numFmtId="0" fontId="0" fillId="0" borderId="0" xfId="0">
      <alignment vertical="center"/>
    </xf>
    <xf numFmtId="176" fontId="0" fillId="0" borderId="0" xfId="0" applyNumberFormat="1">
      <alignment vertical="center"/>
    </xf>
    <xf numFmtId="0" fontId="3" fillId="2" borderId="0" xfId="0" applyFont="1" applyFill="1" applyAlignment="1">
      <alignment horizontal="center" vertical="center"/>
    </xf>
    <xf numFmtId="176" fontId="3" fillId="2" borderId="0" xfId="0" applyNumberFormat="1" applyFont="1" applyFill="1" applyAlignment="1">
      <alignment horizontal="center" vertical="center"/>
    </xf>
    <xf numFmtId="0" fontId="3" fillId="2" borderId="0" xfId="0" applyFont="1" applyFill="1" applyAlignment="1">
      <alignment horizontal="left" vertical="center"/>
    </xf>
    <xf numFmtId="176" fontId="0" fillId="0" borderId="0" xfId="0" applyNumberFormat="1" applyAlignment="1">
      <alignment horizontal="left" vertical="center"/>
    </xf>
    <xf numFmtId="0" fontId="3" fillId="2" borderId="0" xfId="0" applyFont="1" applyFill="1">
      <alignment vertical="center"/>
    </xf>
    <xf numFmtId="14" fontId="4" fillId="0" borderId="0" xfId="0" applyNumberFormat="1" applyFont="1" applyAlignment="1">
      <alignment horizontal="left" vertical="center"/>
    </xf>
    <xf numFmtId="0" fontId="4" fillId="0" borderId="0" xfId="0" applyFont="1">
      <alignment vertical="center"/>
    </xf>
    <xf numFmtId="0" fontId="2" fillId="0" borderId="0" xfId="1" applyAlignment="1" applyProtection="1">
      <alignment vertical="center"/>
    </xf>
    <xf numFmtId="176" fontId="4" fillId="0" borderId="0" xfId="0" applyNumberFormat="1" applyFont="1" applyAlignment="1">
      <alignment horizontal="left" vertical="center"/>
    </xf>
    <xf numFmtId="14" fontId="5" fillId="0" borderId="0" xfId="0" applyNumberFormat="1" applyFont="1" applyAlignment="1">
      <alignment horizontal="left" vertical="center"/>
    </xf>
    <xf numFmtId="0" fontId="5" fillId="0" borderId="0" xfId="0" applyFont="1">
      <alignment vertical="center"/>
    </xf>
    <xf numFmtId="0" fontId="6" fillId="0" borderId="0" xfId="1" applyFont="1" applyAlignment="1" applyProtection="1">
      <alignment vertical="center"/>
    </xf>
    <xf numFmtId="176" fontId="5" fillId="0" borderId="0" xfId="0" applyNumberFormat="1" applyFont="1" applyAlignment="1">
      <alignment horizontal="left" vertical="center"/>
    </xf>
    <xf numFmtId="0" fontId="7" fillId="0" borderId="0" xfId="0" applyFont="1">
      <alignmen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64"/>
  <sheetViews>
    <sheetView tabSelected="1" zoomScaleNormal="100" workbookViewId="0"/>
  </sheetViews>
  <sheetFormatPr defaultRowHeight="13.5" x14ac:dyDescent="0.15"/>
  <cols>
    <col min="1" max="1" width="12.875" customWidth="1"/>
    <col min="2" max="2" width="18.75" bestFit="1" customWidth="1"/>
    <col min="3" max="3" width="14.875" bestFit="1" customWidth="1"/>
    <col min="4" max="4" width="39.375" customWidth="1"/>
    <col min="6" max="6" width="22.25" bestFit="1" customWidth="1"/>
    <col min="7" max="7" width="14.25" bestFit="1" customWidth="1"/>
    <col min="8" max="8" width="14.875" bestFit="1" customWidth="1"/>
    <col min="9" max="9" width="13.75" style="5" bestFit="1" customWidth="1"/>
    <col min="10" max="10" width="62.875" customWidth="1"/>
  </cols>
  <sheetData>
    <row r="1" spans="1:10" x14ac:dyDescent="0.15">
      <c r="D1" t="s">
        <v>8</v>
      </c>
      <c r="I1" s="1"/>
    </row>
    <row r="2" spans="1:10" ht="14.1" customHeight="1" x14ac:dyDescent="0.15">
      <c r="A2" s="6" t="s">
        <v>5</v>
      </c>
      <c r="B2" s="2" t="s">
        <v>4</v>
      </c>
      <c r="C2" s="2" t="s">
        <v>3</v>
      </c>
      <c r="D2" s="2" t="s">
        <v>9</v>
      </c>
      <c r="E2" s="2" t="s">
        <v>2</v>
      </c>
      <c r="F2" s="2" t="s">
        <v>1</v>
      </c>
      <c r="G2" s="2" t="s">
        <v>0</v>
      </c>
      <c r="H2" s="2" t="s">
        <v>10</v>
      </c>
      <c r="I2" s="3" t="s">
        <v>6</v>
      </c>
      <c r="J2" s="4" t="s">
        <v>7</v>
      </c>
    </row>
    <row r="3" spans="1:10" s="15" customFormat="1" x14ac:dyDescent="0.15">
      <c r="A3" s="11">
        <v>45199</v>
      </c>
      <c r="B3" s="12" t="s">
        <v>12</v>
      </c>
      <c r="C3" s="12" t="s">
        <v>19</v>
      </c>
      <c r="D3" s="13" t="str">
        <f>HYPERLINK("https://www.marklines.com/en/global/2473","General Motors, Lansing Delta Township Plant")</f>
        <v>General Motors, Lansing Delta Township Plant</v>
      </c>
      <c r="E3" s="12" t="s">
        <v>577</v>
      </c>
      <c r="F3" s="12" t="s">
        <v>16</v>
      </c>
      <c r="G3" s="12" t="s">
        <v>11</v>
      </c>
      <c r="H3" s="12" t="s">
        <v>59</v>
      </c>
      <c r="I3" s="14">
        <v>45198</v>
      </c>
      <c r="J3" s="12" t="s">
        <v>1605</v>
      </c>
    </row>
    <row r="4" spans="1:10" s="15" customFormat="1" x14ac:dyDescent="0.15">
      <c r="A4" s="11">
        <v>45199</v>
      </c>
      <c r="B4" s="12" t="s">
        <v>12</v>
      </c>
      <c r="C4" s="12" t="s">
        <v>579</v>
      </c>
      <c r="D4" s="13" t="str">
        <f>HYPERLINK("https://www.marklines.com/en/global/2473","General Motors, Lansing Delta Township Plant")</f>
        <v>General Motors, Lansing Delta Township Plant</v>
      </c>
      <c r="E4" s="12" t="s">
        <v>577</v>
      </c>
      <c r="F4" s="12" t="s">
        <v>16</v>
      </c>
      <c r="G4" s="12" t="s">
        <v>11</v>
      </c>
      <c r="H4" s="12" t="s">
        <v>59</v>
      </c>
      <c r="I4" s="14">
        <v>45198</v>
      </c>
      <c r="J4" s="12" t="s">
        <v>1605</v>
      </c>
    </row>
    <row r="5" spans="1:10" s="15" customFormat="1" x14ac:dyDescent="0.15">
      <c r="A5" s="11">
        <v>45199</v>
      </c>
      <c r="B5" s="12" t="s">
        <v>12</v>
      </c>
      <c r="C5" s="12" t="s">
        <v>351</v>
      </c>
      <c r="D5" s="13" t="str">
        <f>HYPERLINK("https://www.marklines.com/en/global/2473","General Motors, Lansing Delta Township Plant")</f>
        <v>General Motors, Lansing Delta Township Plant</v>
      </c>
      <c r="E5" s="12" t="s">
        <v>577</v>
      </c>
      <c r="F5" s="12" t="s">
        <v>16</v>
      </c>
      <c r="G5" s="12" t="s">
        <v>11</v>
      </c>
      <c r="H5" s="12" t="s">
        <v>59</v>
      </c>
      <c r="I5" s="14">
        <v>45198</v>
      </c>
      <c r="J5" s="12" t="s">
        <v>1605</v>
      </c>
    </row>
    <row r="6" spans="1:10" s="15" customFormat="1" x14ac:dyDescent="0.15">
      <c r="A6" s="11">
        <v>45199</v>
      </c>
      <c r="B6" s="12" t="s">
        <v>12</v>
      </c>
      <c r="C6" s="12" t="s">
        <v>12</v>
      </c>
      <c r="D6" s="13" t="str">
        <f>HYPERLINK("https://www.marklines.com/en/global/2473","General Motors, Lansing Delta Township Plant")</f>
        <v>General Motors, Lansing Delta Township Plant</v>
      </c>
      <c r="E6" s="12" t="s">
        <v>577</v>
      </c>
      <c r="F6" s="12" t="s">
        <v>16</v>
      </c>
      <c r="G6" s="12" t="s">
        <v>11</v>
      </c>
      <c r="H6" s="12" t="s">
        <v>59</v>
      </c>
      <c r="I6" s="14">
        <v>45198</v>
      </c>
      <c r="J6" s="12" t="s">
        <v>1605</v>
      </c>
    </row>
    <row r="7" spans="1:10" s="15" customFormat="1" x14ac:dyDescent="0.15">
      <c r="A7" s="11">
        <v>45199</v>
      </c>
      <c r="B7" s="12" t="s">
        <v>24</v>
      </c>
      <c r="C7" s="12" t="s">
        <v>24</v>
      </c>
      <c r="D7" s="13" t="str">
        <f>HYPERLINK("https://www.marklines.com/en/global/2595","Ford Motor, Chicago Assembly Plant")</f>
        <v>Ford Motor, Chicago Assembly Plant</v>
      </c>
      <c r="E7" s="12" t="s">
        <v>1606</v>
      </c>
      <c r="F7" s="12" t="s">
        <v>16</v>
      </c>
      <c r="G7" s="12" t="s">
        <v>11</v>
      </c>
      <c r="H7" s="12" t="s">
        <v>58</v>
      </c>
      <c r="I7" s="14">
        <v>45198</v>
      </c>
      <c r="J7" s="12" t="s">
        <v>1605</v>
      </c>
    </row>
    <row r="8" spans="1:10" s="15" customFormat="1" x14ac:dyDescent="0.15">
      <c r="A8" s="11">
        <v>45199</v>
      </c>
      <c r="B8" s="12" t="s">
        <v>12</v>
      </c>
      <c r="C8" s="12" t="s">
        <v>19</v>
      </c>
      <c r="D8" s="13" t="str">
        <f>HYPERLINK("https://www.marklines.com/en/global/2549","General Motors Canada, St. Catharines Plant")</f>
        <v>General Motors Canada, St. Catharines Plant</v>
      </c>
      <c r="E8" s="12" t="s">
        <v>1607</v>
      </c>
      <c r="F8" s="12" t="s">
        <v>16</v>
      </c>
      <c r="G8" s="12" t="s">
        <v>82</v>
      </c>
      <c r="H8" s="12"/>
      <c r="I8" s="14">
        <v>45198</v>
      </c>
      <c r="J8" s="12" t="s">
        <v>1608</v>
      </c>
    </row>
    <row r="9" spans="1:10" s="15" customFormat="1" x14ac:dyDescent="0.15">
      <c r="A9" s="11">
        <v>45199</v>
      </c>
      <c r="B9" s="12" t="s">
        <v>12</v>
      </c>
      <c r="C9" s="12" t="s">
        <v>12</v>
      </c>
      <c r="D9" s="13" t="str">
        <f>HYPERLINK("https://www.marklines.com/en/global/2547","General Motors Canada, Oshawa Metal Centre")</f>
        <v>General Motors Canada, Oshawa Metal Centre</v>
      </c>
      <c r="E9" s="12" t="s">
        <v>1609</v>
      </c>
      <c r="F9" s="12" t="s">
        <v>16</v>
      </c>
      <c r="G9" s="12" t="s">
        <v>82</v>
      </c>
      <c r="H9" s="12"/>
      <c r="I9" s="14">
        <v>45198</v>
      </c>
      <c r="J9" s="12" t="s">
        <v>1608</v>
      </c>
    </row>
    <row r="10" spans="1:10" s="15" customFormat="1" x14ac:dyDescent="0.15">
      <c r="A10" s="11">
        <v>45198</v>
      </c>
      <c r="B10" s="12" t="s">
        <v>22</v>
      </c>
      <c r="C10" s="12" t="s">
        <v>22</v>
      </c>
      <c r="D10" s="13" t="str">
        <f>HYPERLINK("https://www.marklines.com/en/global/1939","Stellantis, Peugeot Citroen Automoviles Espana S.A., Vigo Plant")</f>
        <v>Stellantis, Peugeot Citroen Automoviles Espana S.A., Vigo Plant</v>
      </c>
      <c r="E10" s="12" t="s">
        <v>158</v>
      </c>
      <c r="F10" s="12" t="s">
        <v>17</v>
      </c>
      <c r="G10" s="12" t="s">
        <v>114</v>
      </c>
      <c r="H10" s="12"/>
      <c r="I10" s="14">
        <v>45198</v>
      </c>
      <c r="J10" s="12" t="s">
        <v>1610</v>
      </c>
    </row>
    <row r="11" spans="1:10" s="15" customFormat="1" x14ac:dyDescent="0.15">
      <c r="A11" s="11">
        <v>45198</v>
      </c>
      <c r="B11" s="12" t="s">
        <v>68</v>
      </c>
      <c r="C11" s="12" t="s">
        <v>887</v>
      </c>
      <c r="D11" s="13" t="str">
        <f>HYPERLINK("https://www.marklines.com/en/global/1939","Stellantis, Peugeot Citroen Automoviles Espana S.A., Vigo Plant")</f>
        <v>Stellantis, Peugeot Citroen Automoviles Espana S.A., Vigo Plant</v>
      </c>
      <c r="E11" s="12" t="s">
        <v>158</v>
      </c>
      <c r="F11" s="12" t="s">
        <v>17</v>
      </c>
      <c r="G11" s="12" t="s">
        <v>114</v>
      </c>
      <c r="H11" s="12"/>
      <c r="I11" s="14">
        <v>45198</v>
      </c>
      <c r="J11" s="12" t="s">
        <v>1610</v>
      </c>
    </row>
    <row r="12" spans="1:10" s="15" customFormat="1" x14ac:dyDescent="0.15">
      <c r="A12" s="11">
        <v>45198</v>
      </c>
      <c r="B12" s="12" t="s">
        <v>68</v>
      </c>
      <c r="C12" s="12" t="s">
        <v>1119</v>
      </c>
      <c r="D12" s="13" t="str">
        <f>HYPERLINK("https://www.marklines.com/en/global/1939","Stellantis, Peugeot Citroen Automoviles Espana S.A., Vigo Plant")</f>
        <v>Stellantis, Peugeot Citroen Automoviles Espana S.A., Vigo Plant</v>
      </c>
      <c r="E12" s="12" t="s">
        <v>158</v>
      </c>
      <c r="F12" s="12" t="s">
        <v>17</v>
      </c>
      <c r="G12" s="12" t="s">
        <v>114</v>
      </c>
      <c r="H12" s="12"/>
      <c r="I12" s="14">
        <v>45198</v>
      </c>
      <c r="J12" s="12" t="s">
        <v>1610</v>
      </c>
    </row>
    <row r="13" spans="1:10" s="15" customFormat="1" x14ac:dyDescent="0.15">
      <c r="A13" s="11">
        <v>45198</v>
      </c>
      <c r="B13" s="12" t="s">
        <v>68</v>
      </c>
      <c r="C13" s="12" t="s">
        <v>72</v>
      </c>
      <c r="D13" s="13" t="str">
        <f>HYPERLINK("https://www.marklines.com/en/global/1939","Stellantis, Peugeot Citroen Automoviles Espana S.A., Vigo Plant")</f>
        <v>Stellantis, Peugeot Citroen Automoviles Espana S.A., Vigo Plant</v>
      </c>
      <c r="E13" s="12" t="s">
        <v>158</v>
      </c>
      <c r="F13" s="12" t="s">
        <v>17</v>
      </c>
      <c r="G13" s="12" t="s">
        <v>114</v>
      </c>
      <c r="H13" s="12"/>
      <c r="I13" s="14">
        <v>45198</v>
      </c>
      <c r="J13" s="12" t="s">
        <v>1610</v>
      </c>
    </row>
    <row r="14" spans="1:10" s="15" customFormat="1" x14ac:dyDescent="0.15">
      <c r="A14" s="11">
        <v>45198</v>
      </c>
      <c r="B14" s="12" t="s">
        <v>68</v>
      </c>
      <c r="C14" s="12" t="s">
        <v>935</v>
      </c>
      <c r="D14" s="13" t="str">
        <f>HYPERLINK("https://www.marklines.com/en/global/1939","Stellantis, Peugeot Citroen Automoviles Espana S.A., Vigo Plant")</f>
        <v>Stellantis, Peugeot Citroen Automoviles Espana S.A., Vigo Plant</v>
      </c>
      <c r="E14" s="12" t="s">
        <v>158</v>
      </c>
      <c r="F14" s="12" t="s">
        <v>17</v>
      </c>
      <c r="G14" s="12" t="s">
        <v>114</v>
      </c>
      <c r="H14" s="12"/>
      <c r="I14" s="14">
        <v>45198</v>
      </c>
      <c r="J14" s="12" t="s">
        <v>1610</v>
      </c>
    </row>
    <row r="15" spans="1:10" s="15" customFormat="1" x14ac:dyDescent="0.15">
      <c r="A15" s="11">
        <v>45198</v>
      </c>
      <c r="B15" s="12" t="s">
        <v>68</v>
      </c>
      <c r="C15" s="12" t="s">
        <v>79</v>
      </c>
      <c r="D15" s="13" t="str">
        <f>HYPERLINK("https://www.marklines.com/en/global/1939","Stellantis, Peugeot Citroen Automoviles Espana S.A., Vigo Plant")</f>
        <v>Stellantis, Peugeot Citroen Automoviles Espana S.A., Vigo Plant</v>
      </c>
      <c r="E15" s="12" t="s">
        <v>158</v>
      </c>
      <c r="F15" s="12" t="s">
        <v>17</v>
      </c>
      <c r="G15" s="12" t="s">
        <v>114</v>
      </c>
      <c r="H15" s="12"/>
      <c r="I15" s="14">
        <v>45198</v>
      </c>
      <c r="J15" s="12" t="s">
        <v>1610</v>
      </c>
    </row>
    <row r="16" spans="1:10" s="15" customFormat="1" x14ac:dyDescent="0.15">
      <c r="A16" s="11">
        <v>45198</v>
      </c>
      <c r="B16" s="12" t="s">
        <v>29</v>
      </c>
      <c r="C16" s="12" t="s">
        <v>141</v>
      </c>
      <c r="D16" s="13" t="str">
        <f>HYPERLINK("https://www.marklines.com/en/global/10539","NOVO Energy AB, Torslanda (tentative name)")</f>
        <v>NOVO Energy AB, Torslanda (tentative name)</v>
      </c>
      <c r="E16" s="12" t="s">
        <v>314</v>
      </c>
      <c r="F16" s="12" t="s">
        <v>17</v>
      </c>
      <c r="G16" s="12" t="s">
        <v>80</v>
      </c>
      <c r="H16" s="12"/>
      <c r="I16" s="14">
        <v>45198</v>
      </c>
      <c r="J16" s="12" t="s">
        <v>1611</v>
      </c>
    </row>
    <row r="17" spans="1:10" s="15" customFormat="1" x14ac:dyDescent="0.15">
      <c r="A17" s="11">
        <v>45198</v>
      </c>
      <c r="B17" s="12" t="s">
        <v>68</v>
      </c>
      <c r="C17" s="12" t="s">
        <v>79</v>
      </c>
      <c r="D17" s="13" t="str">
        <f>HYPERLINK("https://www.marklines.com/en/global/1327","Stellantis, FCA Italy, Mirafiori (Turin) Plant")</f>
        <v>Stellantis, FCA Italy, Mirafiori (Turin) Plant</v>
      </c>
      <c r="E17" s="12" t="s">
        <v>89</v>
      </c>
      <c r="F17" s="12" t="s">
        <v>17</v>
      </c>
      <c r="G17" s="12" t="s">
        <v>70</v>
      </c>
      <c r="H17" s="12"/>
      <c r="I17" s="14">
        <v>45197</v>
      </c>
      <c r="J17" s="12" t="s">
        <v>1612</v>
      </c>
    </row>
    <row r="18" spans="1:10" s="15" customFormat="1" x14ac:dyDescent="0.15">
      <c r="A18" s="11">
        <v>45198</v>
      </c>
      <c r="B18" s="12" t="s">
        <v>68</v>
      </c>
      <c r="C18" s="12" t="s">
        <v>1613</v>
      </c>
      <c r="D18" s="13" t="str">
        <f>HYPERLINK("https://www.marklines.com/en/global/1327","Stellantis, FCA Italy, Mirafiori (Turin) Plant")</f>
        <v>Stellantis, FCA Italy, Mirafiori (Turin) Plant</v>
      </c>
      <c r="E18" s="12" t="s">
        <v>89</v>
      </c>
      <c r="F18" s="12" t="s">
        <v>17</v>
      </c>
      <c r="G18" s="12" t="s">
        <v>70</v>
      </c>
      <c r="H18" s="12"/>
      <c r="I18" s="14">
        <v>45197</v>
      </c>
      <c r="J18" s="12" t="s">
        <v>1612</v>
      </c>
    </row>
    <row r="19" spans="1:10" s="15" customFormat="1" x14ac:dyDescent="0.15">
      <c r="A19" s="11">
        <v>45198</v>
      </c>
      <c r="B19" s="12" t="s">
        <v>43</v>
      </c>
      <c r="C19" s="12" t="s">
        <v>67</v>
      </c>
      <c r="D19" s="13" t="str">
        <f>HYPERLINK("https://www.marklines.com/en/global/1965","Volkswagen Navarra, S.A., Pamplona (Landaben) Plant")</f>
        <v>Volkswagen Navarra, S.A., Pamplona (Landaben) Plant</v>
      </c>
      <c r="E19" s="12" t="s">
        <v>1275</v>
      </c>
      <c r="F19" s="12" t="s">
        <v>17</v>
      </c>
      <c r="G19" s="12" t="s">
        <v>114</v>
      </c>
      <c r="H19" s="12"/>
      <c r="I19" s="14">
        <v>45196</v>
      </c>
      <c r="J19" s="12" t="s">
        <v>1614</v>
      </c>
    </row>
    <row r="20" spans="1:10" s="15" customFormat="1" x14ac:dyDescent="0.15">
      <c r="A20" s="11">
        <v>45198</v>
      </c>
      <c r="B20" s="12" t="s">
        <v>43</v>
      </c>
      <c r="C20" s="12" t="s">
        <v>347</v>
      </c>
      <c r="D20" s="13" t="str">
        <f>HYPERLINK("https://www.marklines.com/en/global/1965","Volkswagen Navarra, S.A., Pamplona (Landaben) Plant")</f>
        <v>Volkswagen Navarra, S.A., Pamplona (Landaben) Plant</v>
      </c>
      <c r="E20" s="12" t="s">
        <v>1275</v>
      </c>
      <c r="F20" s="12" t="s">
        <v>17</v>
      </c>
      <c r="G20" s="12" t="s">
        <v>114</v>
      </c>
      <c r="H20" s="12"/>
      <c r="I20" s="14">
        <v>45196</v>
      </c>
      <c r="J20" s="12" t="s">
        <v>1614</v>
      </c>
    </row>
    <row r="21" spans="1:10" s="15" customFormat="1" x14ac:dyDescent="0.15">
      <c r="A21" s="11">
        <v>45198</v>
      </c>
      <c r="B21" s="12" t="s">
        <v>62</v>
      </c>
      <c r="C21" s="12" t="s">
        <v>759</v>
      </c>
      <c r="D21" s="13" t="str">
        <f>HYPERLINK("https://www.marklines.com/en/global/3969","Chery Commercial Vehicle (Anhui) Co., Ltd. Henan Branch (formerly Chery Automobile Henan Co., Ltd.)")</f>
        <v>Chery Commercial Vehicle (Anhui) Co., Ltd. Henan Branch (formerly Chery Automobile Henan Co., Ltd.)</v>
      </c>
      <c r="E21" s="12" t="s">
        <v>760</v>
      </c>
      <c r="F21" s="12" t="s">
        <v>20</v>
      </c>
      <c r="G21" s="12" t="s">
        <v>27</v>
      </c>
      <c r="H21" s="12" t="s">
        <v>47</v>
      </c>
      <c r="I21" s="14">
        <v>45195</v>
      </c>
      <c r="J21" s="12" t="s">
        <v>1615</v>
      </c>
    </row>
    <row r="22" spans="1:10" s="15" customFormat="1" x14ac:dyDescent="0.15">
      <c r="A22" s="11">
        <v>45197</v>
      </c>
      <c r="B22" s="12" t="s">
        <v>43</v>
      </c>
      <c r="C22" s="12" t="s">
        <v>67</v>
      </c>
      <c r="D22" s="13" t="str">
        <f>HYPERLINK("https://www.marklines.com/en/global/2165","Volkswagen Osnabrück GmbH, Osnabrück Plant")</f>
        <v>Volkswagen Osnabrück GmbH, Osnabrück Plant</v>
      </c>
      <c r="E22" s="12" t="s">
        <v>1443</v>
      </c>
      <c r="F22" s="12" t="s">
        <v>17</v>
      </c>
      <c r="G22" s="12" t="s">
        <v>21</v>
      </c>
      <c r="H22" s="12"/>
      <c r="I22" s="14">
        <v>45196</v>
      </c>
      <c r="J22" s="12" t="s">
        <v>1616</v>
      </c>
    </row>
    <row r="23" spans="1:10" s="15" customFormat="1" x14ac:dyDescent="0.15">
      <c r="A23" s="11">
        <v>45197</v>
      </c>
      <c r="B23" s="12" t="s">
        <v>43</v>
      </c>
      <c r="C23" s="12" t="s">
        <v>67</v>
      </c>
      <c r="D23" s="13" t="str">
        <f>HYPERLINK("https://www.marklines.com/en/global/2267","Volkswagen AG, Emden Plant")</f>
        <v>Volkswagen AG, Emden Plant</v>
      </c>
      <c r="E23" s="12" t="s">
        <v>71</v>
      </c>
      <c r="F23" s="12" t="s">
        <v>17</v>
      </c>
      <c r="G23" s="12" t="s">
        <v>21</v>
      </c>
      <c r="H23" s="12"/>
      <c r="I23" s="14">
        <v>45196</v>
      </c>
      <c r="J23" s="12" t="s">
        <v>1616</v>
      </c>
    </row>
    <row r="24" spans="1:10" s="15" customFormat="1" x14ac:dyDescent="0.15">
      <c r="A24" s="11">
        <v>45197</v>
      </c>
      <c r="B24" s="12" t="s">
        <v>43</v>
      </c>
      <c r="C24" s="12" t="s">
        <v>67</v>
      </c>
      <c r="D24" s="13" t="str">
        <f>HYPERLINK("https://www.marklines.com/en/global/2261","Volkswagen AG, Wolfsburg Plant")</f>
        <v>Volkswagen AG, Wolfsburg Plant</v>
      </c>
      <c r="E24" s="12" t="s">
        <v>1352</v>
      </c>
      <c r="F24" s="12" t="s">
        <v>17</v>
      </c>
      <c r="G24" s="12" t="s">
        <v>21</v>
      </c>
      <c r="H24" s="12"/>
      <c r="I24" s="14">
        <v>45196</v>
      </c>
      <c r="J24" s="12" t="s">
        <v>1616</v>
      </c>
    </row>
    <row r="25" spans="1:10" s="15" customFormat="1" x14ac:dyDescent="0.15">
      <c r="A25" s="11">
        <v>45197</v>
      </c>
      <c r="B25" s="12" t="s">
        <v>43</v>
      </c>
      <c r="C25" s="12" t="s">
        <v>67</v>
      </c>
      <c r="D25" s="13" t="str">
        <f>HYPERLINK("https://www.marklines.com/en/global/2277","Volkswagen Sachsen GmbH, Zwickau/Mosel Plant")</f>
        <v>Volkswagen Sachsen GmbH, Zwickau/Mosel Plant</v>
      </c>
      <c r="E25" s="12" t="s">
        <v>1407</v>
      </c>
      <c r="F25" s="12" t="s">
        <v>17</v>
      </c>
      <c r="G25" s="12" t="s">
        <v>21</v>
      </c>
      <c r="H25" s="12"/>
      <c r="I25" s="14">
        <v>45196</v>
      </c>
      <c r="J25" s="12" t="s">
        <v>1616</v>
      </c>
    </row>
    <row r="26" spans="1:10" s="15" customFormat="1" x14ac:dyDescent="0.15">
      <c r="A26" s="11">
        <v>45197</v>
      </c>
      <c r="B26" s="12" t="s">
        <v>374</v>
      </c>
      <c r="C26" s="12" t="s">
        <v>374</v>
      </c>
      <c r="D26" s="13" t="str">
        <f>HYPERLINK("https://www.marklines.com/en/global/813","former Volvo Trucks Russia (ZAO Volvo Vostok), Kaluga Plant")</f>
        <v>former Volvo Trucks Russia (ZAO Volvo Vostok), Kaluga Plant</v>
      </c>
      <c r="E26" s="12" t="s">
        <v>1464</v>
      </c>
      <c r="F26" s="12" t="s">
        <v>18</v>
      </c>
      <c r="G26" s="12" t="s">
        <v>14</v>
      </c>
      <c r="H26" s="12"/>
      <c r="I26" s="14">
        <v>45196</v>
      </c>
      <c r="J26" s="12" t="s">
        <v>1617</v>
      </c>
    </row>
    <row r="27" spans="1:10" s="15" customFormat="1" x14ac:dyDescent="0.15">
      <c r="A27" s="11">
        <v>45197</v>
      </c>
      <c r="B27" s="12" t="s">
        <v>22</v>
      </c>
      <c r="C27" s="12" t="s">
        <v>22</v>
      </c>
      <c r="D27" s="13" t="str">
        <f>HYPERLINK("https://www.marklines.com/en/global/1065","Indus Motor Company Ltd. (IMC), Karachi Plant")</f>
        <v>Indus Motor Company Ltd. (IMC), Karachi Plant</v>
      </c>
      <c r="E27" s="12" t="s">
        <v>365</v>
      </c>
      <c r="F27" s="12" t="s">
        <v>25</v>
      </c>
      <c r="G27" s="12" t="s">
        <v>366</v>
      </c>
      <c r="H27" s="12"/>
      <c r="I27" s="14">
        <v>45196</v>
      </c>
      <c r="J27" s="12" t="s">
        <v>1618</v>
      </c>
    </row>
    <row r="28" spans="1:10" s="15" customFormat="1" x14ac:dyDescent="0.15">
      <c r="A28" s="11">
        <v>45197</v>
      </c>
      <c r="B28" s="12" t="s">
        <v>383</v>
      </c>
      <c r="C28" s="12" t="s">
        <v>383</v>
      </c>
      <c r="D28" s="13" t="str">
        <f>HYPERLINK("https://www.marklines.com/en/global/9873","Lucid Motors (Lucid Group, Inc.), Casa Grande plant")</f>
        <v>Lucid Motors (Lucid Group, Inc.), Casa Grande plant</v>
      </c>
      <c r="E28" s="12" t="s">
        <v>384</v>
      </c>
      <c r="F28" s="12" t="s">
        <v>16</v>
      </c>
      <c r="G28" s="12" t="s">
        <v>11</v>
      </c>
      <c r="H28" s="12" t="s">
        <v>355</v>
      </c>
      <c r="I28" s="14">
        <v>45196</v>
      </c>
      <c r="J28" s="12" t="s">
        <v>1619</v>
      </c>
    </row>
    <row r="29" spans="1:10" s="15" customFormat="1" x14ac:dyDescent="0.15">
      <c r="A29" s="11">
        <v>45197</v>
      </c>
      <c r="B29" s="12" t="s">
        <v>69</v>
      </c>
      <c r="C29" s="12" t="s">
        <v>69</v>
      </c>
      <c r="D29" s="13" t="str">
        <f>HYPERLINK("https://www.marklines.com/en/global/2869","Iveco Latin America Ltda., Sete Lagoas Plant")</f>
        <v>Iveco Latin America Ltda., Sete Lagoas Plant</v>
      </c>
      <c r="E29" s="12" t="s">
        <v>1180</v>
      </c>
      <c r="F29" s="12" t="s">
        <v>74</v>
      </c>
      <c r="G29" s="12" t="s">
        <v>75</v>
      </c>
      <c r="H29" s="12"/>
      <c r="I29" s="14">
        <v>45196</v>
      </c>
      <c r="J29" s="12" t="s">
        <v>1620</v>
      </c>
    </row>
    <row r="30" spans="1:10" s="15" customFormat="1" x14ac:dyDescent="0.15">
      <c r="A30" s="11">
        <v>45197</v>
      </c>
      <c r="B30" s="12" t="s">
        <v>12</v>
      </c>
      <c r="C30" s="12" t="s">
        <v>12</v>
      </c>
      <c r="D30" s="13" t="str">
        <f>HYPERLINK("https://www.marklines.com/en/global/9976","Ultium Cells LLC, Warren Plant ")</f>
        <v xml:space="preserve">Ultium Cells LLC, Warren Plant </v>
      </c>
      <c r="E30" s="12" t="s">
        <v>586</v>
      </c>
      <c r="F30" s="12" t="s">
        <v>16</v>
      </c>
      <c r="G30" s="12" t="s">
        <v>11</v>
      </c>
      <c r="H30" s="12" t="s">
        <v>587</v>
      </c>
      <c r="I30" s="14">
        <v>45195</v>
      </c>
      <c r="J30" s="12" t="s">
        <v>1621</v>
      </c>
    </row>
    <row r="31" spans="1:10" s="15" customFormat="1" x14ac:dyDescent="0.15">
      <c r="A31" s="11">
        <v>45197</v>
      </c>
      <c r="B31" s="12" t="s">
        <v>12</v>
      </c>
      <c r="C31" s="12" t="s">
        <v>12</v>
      </c>
      <c r="D31" s="13" t="str">
        <f>HYPERLINK("https://www.marklines.com/en/global/10475","Ultium Cells LLC, Spring Hill Plant ")</f>
        <v xml:space="preserve">Ultium Cells LLC, Spring Hill Plant </v>
      </c>
      <c r="E31" s="12" t="s">
        <v>1622</v>
      </c>
      <c r="F31" s="12" t="s">
        <v>16</v>
      </c>
      <c r="G31" s="12" t="s">
        <v>11</v>
      </c>
      <c r="H31" s="12" t="s">
        <v>498</v>
      </c>
      <c r="I31" s="14">
        <v>45195</v>
      </c>
      <c r="J31" s="12" t="s">
        <v>1621</v>
      </c>
    </row>
    <row r="32" spans="1:10" s="15" customFormat="1" x14ac:dyDescent="0.15">
      <c r="A32" s="11">
        <v>45197</v>
      </c>
      <c r="B32" s="12" t="s">
        <v>24</v>
      </c>
      <c r="C32" s="12" t="s">
        <v>24</v>
      </c>
      <c r="D32" s="13" t="str">
        <f>HYPERLINK("https://www.marklines.com/en/global/10759","Ford, BlueOval Battery Park Michigan")</f>
        <v>Ford, BlueOval Battery Park Michigan</v>
      </c>
      <c r="E32" s="12" t="s">
        <v>1623</v>
      </c>
      <c r="F32" s="12" t="s">
        <v>16</v>
      </c>
      <c r="G32" s="12" t="s">
        <v>11</v>
      </c>
      <c r="H32" s="12" t="s">
        <v>59</v>
      </c>
      <c r="I32" s="14">
        <v>45194</v>
      </c>
      <c r="J32" s="12" t="s">
        <v>1624</v>
      </c>
    </row>
    <row r="33" spans="1:10" s="15" customFormat="1" x14ac:dyDescent="0.15">
      <c r="A33" s="11">
        <v>45197</v>
      </c>
      <c r="B33" s="12" t="s">
        <v>109</v>
      </c>
      <c r="C33" s="12" t="s">
        <v>109</v>
      </c>
      <c r="D33" s="13" t="str">
        <f>HYPERLINK("https://www.marklines.com/en/global/10574","BYD Automobile Industry Co., Ltd., Jinan Branch")</f>
        <v>BYD Automobile Industry Co., Ltd., Jinan Branch</v>
      </c>
      <c r="E33" s="12" t="s">
        <v>1625</v>
      </c>
      <c r="F33" s="12" t="s">
        <v>20</v>
      </c>
      <c r="G33" s="12" t="s">
        <v>27</v>
      </c>
      <c r="H33" s="12" t="s">
        <v>469</v>
      </c>
      <c r="I33" s="14">
        <v>45191</v>
      </c>
      <c r="J33" s="12" t="s">
        <v>1626</v>
      </c>
    </row>
    <row r="34" spans="1:10" s="15" customFormat="1" x14ac:dyDescent="0.15">
      <c r="A34" s="11">
        <v>45197</v>
      </c>
      <c r="B34" s="12" t="s">
        <v>109</v>
      </c>
      <c r="C34" s="12" t="s">
        <v>109</v>
      </c>
      <c r="D34" s="13" t="str">
        <f>HYPERLINK("https://www.marklines.com/en/global/4125","BYD Automobile Industry Co., Ltd., Shenzhen Plant")</f>
        <v>BYD Automobile Industry Co., Ltd., Shenzhen Plant</v>
      </c>
      <c r="E34" s="12" t="s">
        <v>137</v>
      </c>
      <c r="F34" s="12" t="s">
        <v>20</v>
      </c>
      <c r="G34" s="12" t="s">
        <v>27</v>
      </c>
      <c r="H34" s="12" t="s">
        <v>31</v>
      </c>
      <c r="I34" s="14">
        <v>45191</v>
      </c>
      <c r="J34" s="12" t="s">
        <v>1626</v>
      </c>
    </row>
    <row r="35" spans="1:10" s="15" customFormat="1" x14ac:dyDescent="0.15">
      <c r="A35" s="11">
        <v>45197</v>
      </c>
      <c r="B35" s="12" t="s">
        <v>109</v>
      </c>
      <c r="C35" s="12" t="s">
        <v>109</v>
      </c>
      <c r="D35" s="13" t="str">
        <f>HYPERLINK("https://www.marklines.com/en/global/4043","BYD Automobile Industry Co., Ltd., Changsha Branch")</f>
        <v>BYD Automobile Industry Co., Ltd., Changsha Branch</v>
      </c>
      <c r="E35" s="12" t="s">
        <v>136</v>
      </c>
      <c r="F35" s="12" t="s">
        <v>20</v>
      </c>
      <c r="G35" s="12" t="s">
        <v>27</v>
      </c>
      <c r="H35" s="12" t="s">
        <v>112</v>
      </c>
      <c r="I35" s="14">
        <v>45191</v>
      </c>
      <c r="J35" s="12" t="s">
        <v>1626</v>
      </c>
    </row>
    <row r="36" spans="1:10" s="15" customFormat="1" x14ac:dyDescent="0.15">
      <c r="A36" s="11">
        <v>45197</v>
      </c>
      <c r="B36" s="12" t="s">
        <v>68</v>
      </c>
      <c r="C36" s="12" t="s">
        <v>935</v>
      </c>
      <c r="D36" s="13" t="str">
        <f>HYPERLINK("https://www.marklines.com/en/global/2903","Stellantis, Peugeot-Citroen do Brasil S.A., Porto Real Plant")</f>
        <v>Stellantis, Peugeot-Citroen do Brasil S.A., Porto Real Plant</v>
      </c>
      <c r="E36" s="12" t="s">
        <v>139</v>
      </c>
      <c r="F36" s="12" t="s">
        <v>74</v>
      </c>
      <c r="G36" s="12" t="s">
        <v>75</v>
      </c>
      <c r="H36" s="12"/>
      <c r="I36" s="14">
        <v>45191</v>
      </c>
      <c r="J36" s="12" t="s">
        <v>1627</v>
      </c>
    </row>
    <row r="37" spans="1:10" s="15" customFormat="1" x14ac:dyDescent="0.15">
      <c r="A37" s="11">
        <v>45197</v>
      </c>
      <c r="B37" s="12" t="s">
        <v>39</v>
      </c>
      <c r="C37" s="12" t="s">
        <v>39</v>
      </c>
      <c r="D37" s="13" t="str">
        <f>HYPERLINK("https://www.marklines.com/en/global/1973","BMW Thailand, Rayong Plant")</f>
        <v>BMW Thailand, Rayong Plant</v>
      </c>
      <c r="E37" s="12" t="s">
        <v>1628</v>
      </c>
      <c r="F37" s="12" t="s">
        <v>49</v>
      </c>
      <c r="G37" s="12" t="s">
        <v>170</v>
      </c>
      <c r="H37" s="12" t="s">
        <v>172</v>
      </c>
      <c r="I37" s="14">
        <v>45177</v>
      </c>
      <c r="J37" s="12" t="s">
        <v>1629</v>
      </c>
    </row>
    <row r="38" spans="1:10" s="15" customFormat="1" x14ac:dyDescent="0.15">
      <c r="A38" s="11">
        <v>45196</v>
      </c>
      <c r="B38" s="12" t="s">
        <v>13</v>
      </c>
      <c r="C38" s="12" t="s">
        <v>13</v>
      </c>
      <c r="D38" s="13" t="str">
        <f>HYPERLINK("https://www.marklines.com/en/global/757","JSC Moscow Automobile Plant Moskvich, Moscow Plant (former CJSC Renault Russia)")</f>
        <v>JSC Moscow Automobile Plant Moskvich, Moscow Plant (former CJSC Renault Russia)</v>
      </c>
      <c r="E38" s="12" t="s">
        <v>597</v>
      </c>
      <c r="F38" s="12" t="s">
        <v>18</v>
      </c>
      <c r="G38" s="12" t="s">
        <v>14</v>
      </c>
      <c r="H38" s="12"/>
      <c r="I38" s="14">
        <v>45196</v>
      </c>
      <c r="J38" s="12" t="s">
        <v>1630</v>
      </c>
    </row>
    <row r="39" spans="1:10" s="15" customFormat="1" x14ac:dyDescent="0.15">
      <c r="A39" s="11">
        <v>45196</v>
      </c>
      <c r="B39" s="12" t="s">
        <v>100</v>
      </c>
      <c r="C39" s="12" t="s">
        <v>100</v>
      </c>
      <c r="D39" s="13" t="str">
        <f>HYPERLINK("https://www.marklines.com/en/global/10054","Nissan Technical Centre Europe (NTCE) (Cranfield)")</f>
        <v>Nissan Technical Centre Europe (NTCE) (Cranfield)</v>
      </c>
      <c r="E39" s="12" t="s">
        <v>1631</v>
      </c>
      <c r="F39" s="12" t="s">
        <v>17</v>
      </c>
      <c r="G39" s="12" t="s">
        <v>73</v>
      </c>
      <c r="H39" s="12"/>
      <c r="I39" s="14">
        <v>45196</v>
      </c>
      <c r="J39" s="12" t="s">
        <v>1632</v>
      </c>
    </row>
    <row r="40" spans="1:10" s="15" customFormat="1" x14ac:dyDescent="0.15">
      <c r="A40" s="11">
        <v>45196</v>
      </c>
      <c r="B40" s="12" t="s">
        <v>29</v>
      </c>
      <c r="C40" s="12" t="s">
        <v>1112</v>
      </c>
      <c r="D40" s="13" t="str">
        <f>HYPERLINK("https://www.marklines.com/en/global/4303","Volvo Car Chengdu Manufacturing Plant")</f>
        <v>Volvo Car Chengdu Manufacturing Plant</v>
      </c>
      <c r="E40" s="12" t="s">
        <v>1308</v>
      </c>
      <c r="F40" s="12" t="s">
        <v>20</v>
      </c>
      <c r="G40" s="12" t="s">
        <v>27</v>
      </c>
      <c r="H40" s="12" t="s">
        <v>659</v>
      </c>
      <c r="I40" s="14">
        <v>45195</v>
      </c>
      <c r="J40" s="12" t="s">
        <v>1633</v>
      </c>
    </row>
    <row r="41" spans="1:10" s="15" customFormat="1" x14ac:dyDescent="0.15">
      <c r="A41" s="11">
        <v>45196</v>
      </c>
      <c r="B41" s="12" t="s">
        <v>43</v>
      </c>
      <c r="C41" s="12" t="s">
        <v>67</v>
      </c>
      <c r="D41" s="13" t="str">
        <f>HYPERLINK("https://www.marklines.com/en/global/2275","Volkswagen Sachsen GmbH, Dresden Plant")</f>
        <v>Volkswagen Sachsen GmbH, Dresden Plant</v>
      </c>
      <c r="E41" s="12" t="s">
        <v>1634</v>
      </c>
      <c r="F41" s="12" t="s">
        <v>17</v>
      </c>
      <c r="G41" s="12" t="s">
        <v>21</v>
      </c>
      <c r="H41" s="12"/>
      <c r="I41" s="14">
        <v>45195</v>
      </c>
      <c r="J41" s="12" t="s">
        <v>1635</v>
      </c>
    </row>
    <row r="42" spans="1:10" s="15" customFormat="1" x14ac:dyDescent="0.15">
      <c r="A42" s="11">
        <v>45196</v>
      </c>
      <c r="B42" s="12" t="s">
        <v>43</v>
      </c>
      <c r="C42" s="12" t="s">
        <v>603</v>
      </c>
      <c r="D42" s="13" t="str">
        <f>HYPERLINK("https://www.marklines.com/en/global/2277","Volkswagen Sachsen GmbH, Zwickau/Mosel Plant")</f>
        <v>Volkswagen Sachsen GmbH, Zwickau/Mosel Plant</v>
      </c>
      <c r="E42" s="12" t="s">
        <v>1407</v>
      </c>
      <c r="F42" s="12" t="s">
        <v>17</v>
      </c>
      <c r="G42" s="12" t="s">
        <v>21</v>
      </c>
      <c r="H42" s="12"/>
      <c r="I42" s="14">
        <v>45195</v>
      </c>
      <c r="J42" s="12" t="s">
        <v>1635</v>
      </c>
    </row>
    <row r="43" spans="1:10" s="15" customFormat="1" x14ac:dyDescent="0.15">
      <c r="A43" s="11">
        <v>45196</v>
      </c>
      <c r="B43" s="12" t="s">
        <v>12</v>
      </c>
      <c r="C43" s="12" t="s">
        <v>19</v>
      </c>
      <c r="D43" s="13" t="str">
        <f>HYPERLINK("https://www.marklines.com/en/global/9012","UzAuto Motors, Asaka Plant (formerly UzDaewooAuto, GM Uzbekistan)")</f>
        <v>UzAuto Motors, Asaka Plant (formerly UzDaewooAuto, GM Uzbekistan)</v>
      </c>
      <c r="E43" s="12" t="s">
        <v>180</v>
      </c>
      <c r="F43" s="12" t="s">
        <v>18</v>
      </c>
      <c r="G43" s="12" t="s">
        <v>181</v>
      </c>
      <c r="H43" s="12"/>
      <c r="I43" s="14">
        <v>45195</v>
      </c>
      <c r="J43" s="12" t="s">
        <v>1636</v>
      </c>
    </row>
    <row r="44" spans="1:10" s="15" customFormat="1" x14ac:dyDescent="0.15">
      <c r="A44" s="11">
        <v>45196</v>
      </c>
      <c r="B44" s="12" t="s">
        <v>109</v>
      </c>
      <c r="C44" s="12" t="s">
        <v>109</v>
      </c>
      <c r="D44" s="13" t="str">
        <f>HYPERLINK("https://www.marklines.com/en/global/9500","BYD Co., Ltd.")</f>
        <v>BYD Co., Ltd.</v>
      </c>
      <c r="E44" s="12" t="s">
        <v>812</v>
      </c>
      <c r="F44" s="12" t="s">
        <v>20</v>
      </c>
      <c r="G44" s="12" t="s">
        <v>27</v>
      </c>
      <c r="H44" s="12" t="s">
        <v>31</v>
      </c>
      <c r="I44" s="14">
        <v>45195</v>
      </c>
      <c r="J44" s="12" t="s">
        <v>1636</v>
      </c>
    </row>
    <row r="45" spans="1:10" s="15" customFormat="1" x14ac:dyDescent="0.15">
      <c r="A45" s="11">
        <v>45196</v>
      </c>
      <c r="B45" s="12" t="s">
        <v>60</v>
      </c>
      <c r="C45" s="12" t="s">
        <v>61</v>
      </c>
      <c r="D45" s="13" t="str">
        <f>HYPERLINK("https://www.marklines.com/en/global/9820","Mercedes-AMG GmbH, AMG engine plant (Affalterbach plant)")</f>
        <v>Mercedes-AMG GmbH, AMG engine plant (Affalterbach plant)</v>
      </c>
      <c r="E45" s="12" t="s">
        <v>573</v>
      </c>
      <c r="F45" s="12" t="s">
        <v>17</v>
      </c>
      <c r="G45" s="12" t="s">
        <v>21</v>
      </c>
      <c r="H45" s="12"/>
      <c r="I45" s="14">
        <v>45195</v>
      </c>
      <c r="J45" s="12" t="s">
        <v>1637</v>
      </c>
    </row>
    <row r="46" spans="1:10" s="15" customFormat="1" x14ac:dyDescent="0.15">
      <c r="A46" s="11">
        <v>45196</v>
      </c>
      <c r="B46" s="12" t="s">
        <v>60</v>
      </c>
      <c r="C46" s="12" t="s">
        <v>61</v>
      </c>
      <c r="D46" s="13" t="str">
        <f>HYPERLINK("https://www.marklines.com/en/global/2237","Mercedes-Benz Group AG, Bremen Plant")</f>
        <v>Mercedes-Benz Group AG, Bremen Plant</v>
      </c>
      <c r="E46" s="12" t="s">
        <v>190</v>
      </c>
      <c r="F46" s="12" t="s">
        <v>17</v>
      </c>
      <c r="G46" s="12" t="s">
        <v>21</v>
      </c>
      <c r="H46" s="12"/>
      <c r="I46" s="14">
        <v>45195</v>
      </c>
      <c r="J46" s="12" t="s">
        <v>1637</v>
      </c>
    </row>
    <row r="47" spans="1:10" s="15" customFormat="1" x14ac:dyDescent="0.15">
      <c r="A47" s="11">
        <v>45196</v>
      </c>
      <c r="B47" s="12" t="s">
        <v>43</v>
      </c>
      <c r="C47" s="12" t="s">
        <v>127</v>
      </c>
      <c r="D47" s="13" t="str">
        <f>HYPERLINK("https://www.marklines.com/en/global/2199","Audi AG, Ingolstadt Plant")</f>
        <v>Audi AG, Ingolstadt Plant</v>
      </c>
      <c r="E47" s="12" t="s">
        <v>179</v>
      </c>
      <c r="F47" s="12" t="s">
        <v>17</v>
      </c>
      <c r="G47" s="12" t="s">
        <v>21</v>
      </c>
      <c r="H47" s="12"/>
      <c r="I47" s="14">
        <v>45195</v>
      </c>
      <c r="J47" s="12" t="s">
        <v>1638</v>
      </c>
    </row>
    <row r="48" spans="1:10" s="15" customFormat="1" x14ac:dyDescent="0.15">
      <c r="A48" s="11">
        <v>45196</v>
      </c>
      <c r="B48" s="12" t="s">
        <v>790</v>
      </c>
      <c r="C48" s="12" t="s">
        <v>925</v>
      </c>
      <c r="D48" s="13" t="str">
        <f>HYPERLINK("https://www.marklines.com/en/global/1195","Mahindra &amp; Mahindra Ltd.")</f>
        <v>Mahindra &amp; Mahindra Ltd.</v>
      </c>
      <c r="E48" s="12" t="s">
        <v>928</v>
      </c>
      <c r="F48" s="12" t="s">
        <v>25</v>
      </c>
      <c r="G48" s="12" t="s">
        <v>26</v>
      </c>
      <c r="H48" s="12" t="s">
        <v>736</v>
      </c>
      <c r="I48" s="14">
        <v>45195</v>
      </c>
      <c r="J48" s="12" t="s">
        <v>1639</v>
      </c>
    </row>
    <row r="49" spans="1:10" s="15" customFormat="1" x14ac:dyDescent="0.15">
      <c r="A49" s="11">
        <v>45196</v>
      </c>
      <c r="B49" s="12" t="s">
        <v>790</v>
      </c>
      <c r="C49" s="12" t="s">
        <v>925</v>
      </c>
      <c r="D49" s="13" t="str">
        <f>HYPERLINK("https://www.marklines.com/en/global/1205","Mahindra, Nashik (Satpur) Plant")</f>
        <v>Mahindra, Nashik (Satpur) Plant</v>
      </c>
      <c r="E49" s="12" t="s">
        <v>1640</v>
      </c>
      <c r="F49" s="12" t="s">
        <v>25</v>
      </c>
      <c r="G49" s="12" t="s">
        <v>26</v>
      </c>
      <c r="H49" s="12" t="s">
        <v>736</v>
      </c>
      <c r="I49" s="14">
        <v>45195</v>
      </c>
      <c r="J49" s="12" t="s">
        <v>1641</v>
      </c>
    </row>
    <row r="50" spans="1:10" s="15" customFormat="1" x14ac:dyDescent="0.15">
      <c r="A50" s="11">
        <v>45196</v>
      </c>
      <c r="B50" s="12" t="s">
        <v>790</v>
      </c>
      <c r="C50" s="12" t="s">
        <v>925</v>
      </c>
      <c r="D50" s="13" t="str">
        <f>HYPERLINK("https://www.marklines.com/en/global/1203","Mahindra, Kandivali Plant")</f>
        <v>Mahindra, Kandivali Plant</v>
      </c>
      <c r="E50" s="12" t="s">
        <v>1642</v>
      </c>
      <c r="F50" s="12" t="s">
        <v>25</v>
      </c>
      <c r="G50" s="12" t="s">
        <v>26</v>
      </c>
      <c r="H50" s="12" t="s">
        <v>736</v>
      </c>
      <c r="I50" s="14">
        <v>45195</v>
      </c>
      <c r="J50" s="12" t="s">
        <v>1641</v>
      </c>
    </row>
    <row r="51" spans="1:10" s="15" customFormat="1" x14ac:dyDescent="0.15">
      <c r="A51" s="11">
        <v>45196</v>
      </c>
      <c r="B51" s="12" t="s">
        <v>790</v>
      </c>
      <c r="C51" s="12" t="s">
        <v>925</v>
      </c>
      <c r="D51" s="13" t="str">
        <f>HYPERLINK("https://www.marklines.com/en/global/1209","Mahindra, Zaheerabad Plant")</f>
        <v>Mahindra, Zaheerabad Plant</v>
      </c>
      <c r="E51" s="12" t="s">
        <v>1356</v>
      </c>
      <c r="F51" s="12" t="s">
        <v>25</v>
      </c>
      <c r="G51" s="12" t="s">
        <v>26</v>
      </c>
      <c r="H51" s="12" t="s">
        <v>113</v>
      </c>
      <c r="I51" s="14">
        <v>45195</v>
      </c>
      <c r="J51" s="12" t="s">
        <v>1641</v>
      </c>
    </row>
    <row r="52" spans="1:10" s="15" customFormat="1" x14ac:dyDescent="0.15">
      <c r="A52" s="11">
        <v>45196</v>
      </c>
      <c r="B52" s="12" t="s">
        <v>100</v>
      </c>
      <c r="C52" s="12" t="s">
        <v>100</v>
      </c>
      <c r="D52" s="13" t="str">
        <f>HYPERLINK("https://www.marklines.com/en/global/10054","Nissan Technical Centre Europe (NTCE) (Cranfield)")</f>
        <v>Nissan Technical Centre Europe (NTCE) (Cranfield)</v>
      </c>
      <c r="E52" s="12" t="s">
        <v>1631</v>
      </c>
      <c r="F52" s="12" t="s">
        <v>17</v>
      </c>
      <c r="G52" s="12" t="s">
        <v>73</v>
      </c>
      <c r="H52" s="12"/>
      <c r="I52" s="14">
        <v>45194</v>
      </c>
      <c r="J52" s="12" t="s">
        <v>1643</v>
      </c>
    </row>
    <row r="53" spans="1:10" s="15" customFormat="1" x14ac:dyDescent="0.15">
      <c r="A53" s="11">
        <v>45196</v>
      </c>
      <c r="B53" s="12" t="s">
        <v>100</v>
      </c>
      <c r="C53" s="12" t="s">
        <v>100</v>
      </c>
      <c r="D53" s="13" t="str">
        <f>HYPERLINK("https://www.marklines.com/en/global/10058","Nissan Motor Ibérica, S.A., Nissan Technical Centre Europe (NTCE) (Barcelona)")</f>
        <v>Nissan Motor Ibérica, S.A., Nissan Technical Centre Europe (NTCE) (Barcelona)</v>
      </c>
      <c r="E53" s="12" t="s">
        <v>1644</v>
      </c>
      <c r="F53" s="12" t="s">
        <v>17</v>
      </c>
      <c r="G53" s="12" t="s">
        <v>114</v>
      </c>
      <c r="H53" s="12"/>
      <c r="I53" s="14">
        <v>45194</v>
      </c>
      <c r="J53" s="12" t="s">
        <v>1643</v>
      </c>
    </row>
    <row r="54" spans="1:10" s="15" customFormat="1" x14ac:dyDescent="0.15">
      <c r="A54" s="11">
        <v>45196</v>
      </c>
      <c r="B54" s="12" t="s">
        <v>100</v>
      </c>
      <c r="C54" s="12" t="s">
        <v>100</v>
      </c>
      <c r="D54" s="13" t="str">
        <f>HYPERLINK("https://www.marklines.com/en/global/10059","Nissan Design Europe Ltd. (NDE) (London)")</f>
        <v>Nissan Design Europe Ltd. (NDE) (London)</v>
      </c>
      <c r="E54" s="12" t="s">
        <v>1645</v>
      </c>
      <c r="F54" s="12" t="s">
        <v>17</v>
      </c>
      <c r="G54" s="12" t="s">
        <v>73</v>
      </c>
      <c r="H54" s="12"/>
      <c r="I54" s="14">
        <v>45194</v>
      </c>
      <c r="J54" s="12" t="s">
        <v>1643</v>
      </c>
    </row>
    <row r="55" spans="1:10" s="15" customFormat="1" x14ac:dyDescent="0.15">
      <c r="A55" s="11">
        <v>45196</v>
      </c>
      <c r="B55" s="12" t="s">
        <v>100</v>
      </c>
      <c r="C55" s="12" t="s">
        <v>100</v>
      </c>
      <c r="D55" s="13" t="str">
        <f>HYPERLINK("https://www.marklines.com/en/global/2361","Nissan Motor Manufacturing UK (NMUK), Sunderland Plant")</f>
        <v>Nissan Motor Manufacturing UK (NMUK), Sunderland Plant</v>
      </c>
      <c r="E55" s="12" t="s">
        <v>1646</v>
      </c>
      <c r="F55" s="12" t="s">
        <v>17</v>
      </c>
      <c r="G55" s="12" t="s">
        <v>73</v>
      </c>
      <c r="H55" s="12"/>
      <c r="I55" s="14">
        <v>45194</v>
      </c>
      <c r="J55" s="12" t="s">
        <v>1643</v>
      </c>
    </row>
    <row r="56" spans="1:10" s="15" customFormat="1" x14ac:dyDescent="0.15">
      <c r="A56" s="11">
        <v>45196</v>
      </c>
      <c r="B56" s="12" t="s">
        <v>100</v>
      </c>
      <c r="C56" s="12" t="s">
        <v>100</v>
      </c>
      <c r="D56" s="13" t="str">
        <f>HYPERLINK("https://www.marklines.com/en/global/10360","Nissan International SA")</f>
        <v>Nissan International SA</v>
      </c>
      <c r="E56" s="12" t="s">
        <v>1647</v>
      </c>
      <c r="F56" s="12" t="s">
        <v>17</v>
      </c>
      <c r="G56" s="12" t="s">
        <v>40</v>
      </c>
      <c r="H56" s="12"/>
      <c r="I56" s="14">
        <v>45194</v>
      </c>
      <c r="J56" s="12" t="s">
        <v>1643</v>
      </c>
    </row>
    <row r="57" spans="1:10" s="15" customFormat="1" x14ac:dyDescent="0.15">
      <c r="A57" s="11">
        <v>45196</v>
      </c>
      <c r="B57" s="12" t="s">
        <v>100</v>
      </c>
      <c r="C57" s="12" t="s">
        <v>100</v>
      </c>
      <c r="D57" s="13" t="str">
        <f>HYPERLINK("https://www.marklines.com/en/global/10057","Nissan Technical Centre Europe, S.A. (NTCE) (Brussels)")</f>
        <v>Nissan Technical Centre Europe, S.A. (NTCE) (Brussels)</v>
      </c>
      <c r="E57" s="12" t="s">
        <v>1648</v>
      </c>
      <c r="F57" s="12" t="s">
        <v>17</v>
      </c>
      <c r="G57" s="12" t="s">
        <v>138</v>
      </c>
      <c r="H57" s="12"/>
      <c r="I57" s="14">
        <v>45194</v>
      </c>
      <c r="J57" s="12" t="s">
        <v>1643</v>
      </c>
    </row>
    <row r="58" spans="1:10" s="15" customFormat="1" x14ac:dyDescent="0.15">
      <c r="A58" s="11">
        <v>45196</v>
      </c>
      <c r="B58" s="12" t="s">
        <v>437</v>
      </c>
      <c r="C58" s="12" t="s">
        <v>853</v>
      </c>
      <c r="D58" s="13" t="str">
        <f>HYPERLINK("https://www.marklines.com/en/global/9165","Dongfeng Motor (Wuhan) Co., Ltd. (formerly Dongfeng Renault Automotive  Co., Ltd.) ")</f>
        <v xml:space="preserve">Dongfeng Motor (Wuhan) Co., Ltd. (formerly Dongfeng Renault Automotive  Co., Ltd.) </v>
      </c>
      <c r="E58" s="12" t="s">
        <v>854</v>
      </c>
      <c r="F58" s="12" t="s">
        <v>20</v>
      </c>
      <c r="G58" s="12" t="s">
        <v>27</v>
      </c>
      <c r="H58" s="12" t="s">
        <v>46</v>
      </c>
      <c r="I58" s="14">
        <v>45192</v>
      </c>
      <c r="J58" s="12" t="s">
        <v>1649</v>
      </c>
    </row>
    <row r="59" spans="1:10" s="15" customFormat="1" x14ac:dyDescent="0.15">
      <c r="A59" s="11">
        <v>45196</v>
      </c>
      <c r="B59" s="12" t="s">
        <v>13</v>
      </c>
      <c r="C59" s="12" t="s">
        <v>667</v>
      </c>
      <c r="D59" s="13" t="str">
        <f>HYPERLINK("https://www.marklines.com/en/global/10447","Beijing Automobile Works (Qingdao) Co., Ltd.")</f>
        <v>Beijing Automobile Works (Qingdao) Co., Ltd.</v>
      </c>
      <c r="E59" s="12" t="s">
        <v>670</v>
      </c>
      <c r="F59" s="12" t="s">
        <v>20</v>
      </c>
      <c r="G59" s="12" t="s">
        <v>27</v>
      </c>
      <c r="H59" s="12" t="s">
        <v>469</v>
      </c>
      <c r="I59" s="14">
        <v>45191</v>
      </c>
      <c r="J59" s="12" t="s">
        <v>1650</v>
      </c>
    </row>
    <row r="60" spans="1:10" s="15" customFormat="1" x14ac:dyDescent="0.15">
      <c r="A60" s="11">
        <v>45196</v>
      </c>
      <c r="B60" s="12" t="s">
        <v>470</v>
      </c>
      <c r="C60" s="12" t="s">
        <v>470</v>
      </c>
      <c r="D60" s="13" t="str">
        <f>HYPERLINK("https://www.marklines.com/en/global/9503","Shanghai NIO Automobile Co., Ltd.")</f>
        <v>Shanghai NIO Automobile Co., Ltd.</v>
      </c>
      <c r="E60" s="12" t="s">
        <v>471</v>
      </c>
      <c r="F60" s="12" t="s">
        <v>20</v>
      </c>
      <c r="G60" s="12" t="s">
        <v>27</v>
      </c>
      <c r="H60" s="12" t="s">
        <v>106</v>
      </c>
      <c r="I60" s="14">
        <v>45190</v>
      </c>
      <c r="J60" s="12" t="s">
        <v>1651</v>
      </c>
    </row>
    <row r="61" spans="1:10" s="15" customFormat="1" x14ac:dyDescent="0.15">
      <c r="A61" s="11">
        <v>45196</v>
      </c>
      <c r="B61" s="12" t="s">
        <v>34</v>
      </c>
      <c r="C61" s="12" t="s">
        <v>34</v>
      </c>
      <c r="D61" s="13" t="str">
        <f>HYPERLINK("https://www.marklines.com/en/global/10671","Tesla Gigafactory Mexico")</f>
        <v>Tesla Gigafactory Mexico</v>
      </c>
      <c r="E61" s="12" t="s">
        <v>429</v>
      </c>
      <c r="F61" s="12" t="s">
        <v>16</v>
      </c>
      <c r="G61" s="12" t="s">
        <v>430</v>
      </c>
      <c r="H61" s="12"/>
      <c r="I61" s="14">
        <v>45190</v>
      </c>
      <c r="J61" s="12" t="s">
        <v>1652</v>
      </c>
    </row>
    <row r="62" spans="1:10" s="15" customFormat="1" x14ac:dyDescent="0.15">
      <c r="A62" s="11">
        <v>45196</v>
      </c>
      <c r="B62" s="12" t="s">
        <v>22</v>
      </c>
      <c r="C62" s="12" t="s">
        <v>22</v>
      </c>
      <c r="D62" s="13" t="str">
        <f>HYPERLINK("https://www.marklines.com/en/global/389","Toyota Motor, Teiho Plant")</f>
        <v>Toyota Motor, Teiho Plant</v>
      </c>
      <c r="E62" s="12" t="s">
        <v>1653</v>
      </c>
      <c r="F62" s="12" t="s">
        <v>20</v>
      </c>
      <c r="G62" s="12" t="s">
        <v>23</v>
      </c>
      <c r="H62" s="12" t="s">
        <v>108</v>
      </c>
      <c r="I62" s="14">
        <v>45188</v>
      </c>
      <c r="J62" s="12" t="s">
        <v>1654</v>
      </c>
    </row>
    <row r="63" spans="1:10" s="15" customFormat="1" x14ac:dyDescent="0.15">
      <c r="A63" s="11">
        <v>45196</v>
      </c>
      <c r="B63" s="12" t="s">
        <v>22</v>
      </c>
      <c r="C63" s="12" t="s">
        <v>22</v>
      </c>
      <c r="D63" s="13" t="str">
        <f>HYPERLINK("https://www.marklines.com/en/global/385","Toyota Motor, Myochi Plant")</f>
        <v>Toyota Motor, Myochi Plant</v>
      </c>
      <c r="E63" s="12" t="s">
        <v>1655</v>
      </c>
      <c r="F63" s="12" t="s">
        <v>20</v>
      </c>
      <c r="G63" s="12" t="s">
        <v>23</v>
      </c>
      <c r="H63" s="12" t="s">
        <v>108</v>
      </c>
      <c r="I63" s="14">
        <v>45188</v>
      </c>
      <c r="J63" s="12" t="s">
        <v>1656</v>
      </c>
    </row>
    <row r="64" spans="1:10" s="15" customFormat="1" x14ac:dyDescent="0.15">
      <c r="A64" s="11">
        <v>45196</v>
      </c>
      <c r="B64" s="12" t="s">
        <v>22</v>
      </c>
      <c r="C64" s="12" t="s">
        <v>22</v>
      </c>
      <c r="D64" s="13" t="str">
        <f>HYPERLINK("https://www.marklines.com/en/global/373","Toyota Motor, Motomachi Plant")</f>
        <v>Toyota Motor, Motomachi Plant</v>
      </c>
      <c r="E64" s="12" t="s">
        <v>1327</v>
      </c>
      <c r="F64" s="12" t="s">
        <v>20</v>
      </c>
      <c r="G64" s="12" t="s">
        <v>23</v>
      </c>
      <c r="H64" s="12" t="s">
        <v>108</v>
      </c>
      <c r="I64" s="14">
        <v>45188</v>
      </c>
      <c r="J64" s="12" t="s">
        <v>1657</v>
      </c>
    </row>
    <row r="65" spans="1:10" s="15" customFormat="1" x14ac:dyDescent="0.15">
      <c r="A65" s="11">
        <v>45196</v>
      </c>
      <c r="B65" s="12" t="s">
        <v>15</v>
      </c>
      <c r="C65" s="12" t="s">
        <v>15</v>
      </c>
      <c r="D65" s="13" t="str">
        <f>HYPERLINK("https://www.marklines.com/en/global/10084","Honda R&amp;D Co., Ltd. (Saitama)")</f>
        <v>Honda R&amp;D Co., Ltd. (Saitama)</v>
      </c>
      <c r="E65" s="12" t="s">
        <v>1658</v>
      </c>
      <c r="F65" s="12" t="s">
        <v>20</v>
      </c>
      <c r="G65" s="12" t="s">
        <v>23</v>
      </c>
      <c r="H65" s="12" t="s">
        <v>1659</v>
      </c>
      <c r="I65" s="14">
        <v>45188</v>
      </c>
      <c r="J65" s="12" t="s">
        <v>1660</v>
      </c>
    </row>
    <row r="66" spans="1:10" s="15" customFormat="1" x14ac:dyDescent="0.15">
      <c r="A66" s="11">
        <v>45195</v>
      </c>
      <c r="B66" s="12" t="s">
        <v>43</v>
      </c>
      <c r="C66" s="12" t="s">
        <v>67</v>
      </c>
      <c r="D66" s="13" t="str">
        <f>HYPERLINK("https://www.marklines.com/en/global/2271","Volkswagen AG, Salzgitter Plant / Power Co SE, Salzgitter Gigafactory")</f>
        <v>Volkswagen AG, Salzgitter Plant / Power Co SE, Salzgitter Gigafactory</v>
      </c>
      <c r="E66" s="12" t="s">
        <v>140</v>
      </c>
      <c r="F66" s="12" t="s">
        <v>17</v>
      </c>
      <c r="G66" s="12" t="s">
        <v>21</v>
      </c>
      <c r="H66" s="12"/>
      <c r="I66" s="14">
        <v>45194</v>
      </c>
      <c r="J66" s="12" t="s">
        <v>1661</v>
      </c>
    </row>
    <row r="67" spans="1:10" s="15" customFormat="1" x14ac:dyDescent="0.15">
      <c r="A67" s="11">
        <v>45195</v>
      </c>
      <c r="B67" s="12" t="s">
        <v>65</v>
      </c>
      <c r="C67" s="12" t="s">
        <v>65</v>
      </c>
      <c r="D67" s="13" t="str">
        <f>HYPERLINK("https://www.marklines.com/en/global/709","Hyundai Motor Manufacturing Russia (HMMR), Kamenka (St. Petersburg)  Plant")</f>
        <v>Hyundai Motor Manufacturing Russia (HMMR), Kamenka (St. Petersburg)  Plant</v>
      </c>
      <c r="E67" s="12" t="s">
        <v>1662</v>
      </c>
      <c r="F67" s="12" t="s">
        <v>18</v>
      </c>
      <c r="G67" s="12" t="s">
        <v>14</v>
      </c>
      <c r="H67" s="12"/>
      <c r="I67" s="14">
        <v>45194</v>
      </c>
      <c r="J67" s="12" t="s">
        <v>1663</v>
      </c>
    </row>
    <row r="68" spans="1:10" s="15" customFormat="1" x14ac:dyDescent="0.15">
      <c r="A68" s="11">
        <v>45195</v>
      </c>
      <c r="B68" s="12" t="s">
        <v>60</v>
      </c>
      <c r="C68" s="12" t="s">
        <v>61</v>
      </c>
      <c r="D68" s="13" t="str">
        <f>HYPERLINK("https://www.marklines.com/en/global/3061","Mercedes-Benz Vans, LLC, North Charleston Plant")</f>
        <v>Mercedes-Benz Vans, LLC, North Charleston Plant</v>
      </c>
      <c r="E68" s="12" t="s">
        <v>1664</v>
      </c>
      <c r="F68" s="12" t="s">
        <v>16</v>
      </c>
      <c r="G68" s="12" t="s">
        <v>11</v>
      </c>
      <c r="H68" s="12" t="s">
        <v>111</v>
      </c>
      <c r="I68" s="14">
        <v>45194</v>
      </c>
      <c r="J68" s="12" t="s">
        <v>1665</v>
      </c>
    </row>
    <row r="69" spans="1:10" s="15" customFormat="1" x14ac:dyDescent="0.15">
      <c r="A69" s="11">
        <v>45195</v>
      </c>
      <c r="B69" s="12" t="s">
        <v>60</v>
      </c>
      <c r="C69" s="12" t="s">
        <v>61</v>
      </c>
      <c r="D69" s="13" t="str">
        <f>HYPERLINK("https://www.marklines.com/en/global/3049","Mercedes-Benz U.S. International (MBUSI), Tuscaloosa (Vance) Plant")</f>
        <v>Mercedes-Benz U.S. International (MBUSI), Tuscaloosa (Vance) Plant</v>
      </c>
      <c r="E69" s="12" t="s">
        <v>1532</v>
      </c>
      <c r="F69" s="12" t="s">
        <v>16</v>
      </c>
      <c r="G69" s="12" t="s">
        <v>11</v>
      </c>
      <c r="H69" s="12" t="s">
        <v>974</v>
      </c>
      <c r="I69" s="14">
        <v>45194</v>
      </c>
      <c r="J69" s="12" t="s">
        <v>1665</v>
      </c>
    </row>
    <row r="70" spans="1:10" s="15" customFormat="1" x14ac:dyDescent="0.15">
      <c r="A70" s="11">
        <v>45195</v>
      </c>
      <c r="B70" s="12" t="s">
        <v>39</v>
      </c>
      <c r="C70" s="12" t="s">
        <v>39</v>
      </c>
      <c r="D70" s="13" t="str">
        <f>HYPERLINK("https://www.marklines.com/en/global/10707","BMW Battery plant, Irlbach (Straßkirchen) (Tentative Name）")</f>
        <v>BMW Battery plant, Irlbach (Straßkirchen) (Tentative Name）</v>
      </c>
      <c r="E70" s="12" t="s">
        <v>1666</v>
      </c>
      <c r="F70" s="12" t="s">
        <v>17</v>
      </c>
      <c r="G70" s="12" t="s">
        <v>21</v>
      </c>
      <c r="H70" s="12"/>
      <c r="I70" s="14">
        <v>45193</v>
      </c>
      <c r="J70" s="12" t="s">
        <v>1667</v>
      </c>
    </row>
    <row r="71" spans="1:10" s="15" customFormat="1" x14ac:dyDescent="0.15">
      <c r="A71" s="11">
        <v>45195</v>
      </c>
      <c r="B71" s="12" t="s">
        <v>383</v>
      </c>
      <c r="C71" s="12" t="s">
        <v>383</v>
      </c>
      <c r="D71" s="13" t="str">
        <f>HYPERLINK("https://www.marklines.com/en/global/9873","Lucid Motors (Lucid Group, Inc.), Casa Grande plant")</f>
        <v>Lucid Motors (Lucid Group, Inc.), Casa Grande plant</v>
      </c>
      <c r="E71" s="12" t="s">
        <v>384</v>
      </c>
      <c r="F71" s="12" t="s">
        <v>16</v>
      </c>
      <c r="G71" s="12" t="s">
        <v>11</v>
      </c>
      <c r="H71" s="12" t="s">
        <v>355</v>
      </c>
      <c r="I71" s="14">
        <v>45190</v>
      </c>
      <c r="J71" s="12" t="s">
        <v>1668</v>
      </c>
    </row>
    <row r="72" spans="1:10" s="15" customFormat="1" x14ac:dyDescent="0.15">
      <c r="A72" s="11">
        <v>45195</v>
      </c>
      <c r="B72" s="12" t="s">
        <v>53</v>
      </c>
      <c r="C72" s="12" t="s">
        <v>53</v>
      </c>
      <c r="D72" s="13" t="str">
        <f>HYPERLINK("https://www.marklines.com/en/global/3533","Great Wall Motor Company Limited (GWM)")</f>
        <v>Great Wall Motor Company Limited (GWM)</v>
      </c>
      <c r="E72" s="12" t="s">
        <v>556</v>
      </c>
      <c r="F72" s="12" t="s">
        <v>20</v>
      </c>
      <c r="G72" s="12" t="s">
        <v>27</v>
      </c>
      <c r="H72" s="12" t="s">
        <v>557</v>
      </c>
      <c r="I72" s="14">
        <v>45190</v>
      </c>
      <c r="J72" s="12" t="s">
        <v>1669</v>
      </c>
    </row>
    <row r="73" spans="1:10" s="15" customFormat="1" x14ac:dyDescent="0.15">
      <c r="A73" s="11">
        <v>45195</v>
      </c>
      <c r="B73" s="12" t="s">
        <v>41</v>
      </c>
      <c r="C73" s="12" t="s">
        <v>145</v>
      </c>
      <c r="D73" s="13" t="str">
        <f>HYPERLINK("https://www.marklines.com/en/global/9598","SAIC MAXUS Automotive Co., Ltd. Nanjing Branch")</f>
        <v>SAIC MAXUS Automotive Co., Ltd. Nanjing Branch</v>
      </c>
      <c r="E73" s="12" t="s">
        <v>147</v>
      </c>
      <c r="F73" s="12" t="s">
        <v>20</v>
      </c>
      <c r="G73" s="12" t="s">
        <v>27</v>
      </c>
      <c r="H73" s="12" t="s">
        <v>52</v>
      </c>
      <c r="I73" s="14">
        <v>45190</v>
      </c>
      <c r="J73" s="12" t="s">
        <v>1670</v>
      </c>
    </row>
    <row r="74" spans="1:10" s="15" customFormat="1" x14ac:dyDescent="0.15">
      <c r="A74" s="11">
        <v>45195</v>
      </c>
      <c r="B74" s="12" t="s">
        <v>15</v>
      </c>
      <c r="C74" s="12" t="s">
        <v>15</v>
      </c>
      <c r="D74" s="13" t="str">
        <f>HYPERLINK("https://www.marklines.com/en/global/3981","Dongfeng Honda Automobile Co., Ltd. ")</f>
        <v xml:space="preserve">Dongfeng Honda Automobile Co., Ltd. </v>
      </c>
      <c r="E74" s="12" t="s">
        <v>538</v>
      </c>
      <c r="F74" s="12" t="s">
        <v>20</v>
      </c>
      <c r="G74" s="12" t="s">
        <v>27</v>
      </c>
      <c r="H74" s="12" t="s">
        <v>46</v>
      </c>
      <c r="I74" s="14">
        <v>45190</v>
      </c>
      <c r="J74" s="12" t="s">
        <v>1671</v>
      </c>
    </row>
    <row r="75" spans="1:10" s="15" customFormat="1" x14ac:dyDescent="0.15">
      <c r="A75" s="11">
        <v>45195</v>
      </c>
      <c r="B75" s="12" t="s">
        <v>13</v>
      </c>
      <c r="C75" s="12" t="s">
        <v>13</v>
      </c>
      <c r="D75" s="13" t="str">
        <f>HYPERLINK("https://www.marklines.com/en/global/8784","Triton Electric Vehicle India Pvt Ltd., Bhuj, Gujarat plant (formerly AMW Motors Limited)")</f>
        <v>Triton Electric Vehicle India Pvt Ltd., Bhuj, Gujarat plant (formerly AMW Motors Limited)</v>
      </c>
      <c r="E75" s="12" t="s">
        <v>1672</v>
      </c>
      <c r="F75" s="12" t="s">
        <v>25</v>
      </c>
      <c r="G75" s="12" t="s">
        <v>26</v>
      </c>
      <c r="H75" s="12" t="s">
        <v>95</v>
      </c>
      <c r="I75" s="14">
        <v>45189</v>
      </c>
      <c r="J75" s="12" t="s">
        <v>1673</v>
      </c>
    </row>
    <row r="76" spans="1:10" s="15" customFormat="1" x14ac:dyDescent="0.15">
      <c r="A76" s="11">
        <v>45195</v>
      </c>
      <c r="B76" s="12" t="s">
        <v>63</v>
      </c>
      <c r="C76" s="12" t="s">
        <v>64</v>
      </c>
      <c r="D76" s="13" t="str">
        <f>HYPERLINK("https://www.marklines.com/en/global/3721","Beiqi Foton Motor Co., Ltd. Shandong MPV Plant")</f>
        <v>Beiqi Foton Motor Co., Ltd. Shandong MPV Plant</v>
      </c>
      <c r="E76" s="12" t="s">
        <v>1674</v>
      </c>
      <c r="F76" s="12" t="s">
        <v>20</v>
      </c>
      <c r="G76" s="12" t="s">
        <v>27</v>
      </c>
      <c r="H76" s="12" t="s">
        <v>469</v>
      </c>
      <c r="I76" s="14">
        <v>45189</v>
      </c>
      <c r="J76" s="12" t="s">
        <v>1675</v>
      </c>
    </row>
    <row r="77" spans="1:10" s="15" customFormat="1" x14ac:dyDescent="0.15">
      <c r="A77" s="11">
        <v>45194</v>
      </c>
      <c r="B77" s="12" t="s">
        <v>133</v>
      </c>
      <c r="C77" s="12" t="s">
        <v>134</v>
      </c>
      <c r="D77" s="13" t="str">
        <f>HYPERLINK("https://www.marklines.com/en/global/1279","Fiat India Automobiles Private Limited (FIAPL), Ranjangaon Plant")</f>
        <v>Fiat India Automobiles Private Limited (FIAPL), Ranjangaon Plant</v>
      </c>
      <c r="E77" s="12" t="s">
        <v>1676</v>
      </c>
      <c r="F77" s="12" t="s">
        <v>25</v>
      </c>
      <c r="G77" s="12" t="s">
        <v>26</v>
      </c>
      <c r="H77" s="12" t="s">
        <v>736</v>
      </c>
      <c r="I77" s="14">
        <v>45194</v>
      </c>
      <c r="J77" s="12" t="s">
        <v>1677</v>
      </c>
    </row>
    <row r="78" spans="1:10" s="15" customFormat="1" x14ac:dyDescent="0.15">
      <c r="A78" s="11">
        <v>45194</v>
      </c>
      <c r="B78" s="12" t="s">
        <v>68</v>
      </c>
      <c r="C78" s="12" t="s">
        <v>79</v>
      </c>
      <c r="D78" s="13" t="str">
        <f>HYPERLINK("https://www.marklines.com/en/global/1279","Fiat India Automobiles Private Limited (FIAPL), Ranjangaon Plant")</f>
        <v>Fiat India Automobiles Private Limited (FIAPL), Ranjangaon Plant</v>
      </c>
      <c r="E78" s="12" t="s">
        <v>1676</v>
      </c>
      <c r="F78" s="12" t="s">
        <v>25</v>
      </c>
      <c r="G78" s="12" t="s">
        <v>26</v>
      </c>
      <c r="H78" s="12" t="s">
        <v>736</v>
      </c>
      <c r="I78" s="14">
        <v>45194</v>
      </c>
      <c r="J78" s="12" t="s">
        <v>1677</v>
      </c>
    </row>
    <row r="79" spans="1:10" s="15" customFormat="1" x14ac:dyDescent="0.15">
      <c r="A79" s="11">
        <v>45194</v>
      </c>
      <c r="B79" s="12" t="s">
        <v>43</v>
      </c>
      <c r="C79" s="12" t="s">
        <v>347</v>
      </c>
      <c r="D79" s="13" t="str">
        <f>HYPERLINK("https://www.marklines.com/en/global/10682","TC Motor – Skoda, Quang Ninh Plant (tentative name)")</f>
        <v>TC Motor – Skoda, Quang Ninh Plant (tentative name)</v>
      </c>
      <c r="E79" s="12" t="s">
        <v>1678</v>
      </c>
      <c r="F79" s="12" t="s">
        <v>49</v>
      </c>
      <c r="G79" s="12" t="s">
        <v>709</v>
      </c>
      <c r="H79" s="12"/>
      <c r="I79" s="14">
        <v>45192</v>
      </c>
      <c r="J79" s="12" t="s">
        <v>1679</v>
      </c>
    </row>
    <row r="80" spans="1:10" s="15" customFormat="1" x14ac:dyDescent="0.15">
      <c r="A80" s="11">
        <v>45194</v>
      </c>
      <c r="B80" s="12" t="s">
        <v>13</v>
      </c>
      <c r="C80" s="12" t="s">
        <v>13</v>
      </c>
      <c r="D80" s="13" t="str">
        <f>HYPERLINK("https://www.marklines.com/en/global/123","INEOS Automotive S.A.S., Hambach plant (formerly smart France S.A.S.)")</f>
        <v>INEOS Automotive S.A.S., Hambach plant (formerly smart France S.A.S.)</v>
      </c>
      <c r="E80" s="12" t="s">
        <v>1035</v>
      </c>
      <c r="F80" s="12" t="s">
        <v>17</v>
      </c>
      <c r="G80" s="12" t="s">
        <v>40</v>
      </c>
      <c r="H80" s="12"/>
      <c r="I80" s="14">
        <v>45191</v>
      </c>
      <c r="J80" s="12" t="s">
        <v>1680</v>
      </c>
    </row>
    <row r="81" spans="1:10" s="15" customFormat="1" x14ac:dyDescent="0.15">
      <c r="A81" s="11">
        <v>45194</v>
      </c>
      <c r="B81" s="12" t="s">
        <v>60</v>
      </c>
      <c r="C81" s="12" t="s">
        <v>61</v>
      </c>
      <c r="D81" s="13" t="str">
        <f>HYPERLINK("https://www.marklines.com/en/global/2223","Mercedes-Benz Group AG, Rastatt Plant")</f>
        <v>Mercedes-Benz Group AG, Rastatt Plant</v>
      </c>
      <c r="E81" s="12" t="s">
        <v>1509</v>
      </c>
      <c r="F81" s="12" t="s">
        <v>17</v>
      </c>
      <c r="G81" s="12" t="s">
        <v>21</v>
      </c>
      <c r="H81" s="12"/>
      <c r="I81" s="14">
        <v>45190</v>
      </c>
      <c r="J81" s="12" t="s">
        <v>1681</v>
      </c>
    </row>
    <row r="82" spans="1:10" s="15" customFormat="1" x14ac:dyDescent="0.15">
      <c r="A82" s="11">
        <v>45194</v>
      </c>
      <c r="B82" s="12" t="s">
        <v>174</v>
      </c>
      <c r="C82" s="12" t="s">
        <v>174</v>
      </c>
      <c r="D82" s="13" t="str">
        <f>HYPERLINK("https://www.marklines.com/en/global/737","Kamaz, Naberezhnye Chelny Plant")</f>
        <v>Kamaz, Naberezhnye Chelny Plant</v>
      </c>
      <c r="E82" s="12" t="s">
        <v>593</v>
      </c>
      <c r="F82" s="12" t="s">
        <v>18</v>
      </c>
      <c r="G82" s="12" t="s">
        <v>14</v>
      </c>
      <c r="H82" s="12"/>
      <c r="I82" s="14">
        <v>45190</v>
      </c>
      <c r="J82" s="12" t="s">
        <v>1682</v>
      </c>
    </row>
    <row r="83" spans="1:10" s="15" customFormat="1" x14ac:dyDescent="0.15">
      <c r="A83" s="11">
        <v>45194</v>
      </c>
      <c r="B83" s="12" t="s">
        <v>13</v>
      </c>
      <c r="C83" s="12" t="s">
        <v>362</v>
      </c>
      <c r="D83" s="13" t="str">
        <f>HYPERLINK("https://www.marklines.com/en/global/803","JSC UralAZ (Ural Avtomobilny Zavod), Chelyabinsk Plant")</f>
        <v>JSC UralAZ (Ural Avtomobilny Zavod), Chelyabinsk Plant</v>
      </c>
      <c r="E83" s="12" t="s">
        <v>363</v>
      </c>
      <c r="F83" s="12" t="s">
        <v>18</v>
      </c>
      <c r="G83" s="12" t="s">
        <v>14</v>
      </c>
      <c r="H83" s="12"/>
      <c r="I83" s="14">
        <v>45190</v>
      </c>
      <c r="J83" s="12" t="s">
        <v>1683</v>
      </c>
    </row>
    <row r="84" spans="1:10" s="15" customFormat="1" x14ac:dyDescent="0.15">
      <c r="A84" s="11">
        <v>45194</v>
      </c>
      <c r="B84" s="12" t="s">
        <v>533</v>
      </c>
      <c r="C84" s="12" t="s">
        <v>534</v>
      </c>
      <c r="D84" s="13" t="str">
        <f>HYPERLINK("https://www.marklines.com/en/global/3337","China FAW Corporation Limited Weishan 1st Plant")</f>
        <v>China FAW Corporation Limited Weishan 1st Plant</v>
      </c>
      <c r="E84" s="12" t="s">
        <v>535</v>
      </c>
      <c r="F84" s="12" t="s">
        <v>20</v>
      </c>
      <c r="G84" s="12" t="s">
        <v>27</v>
      </c>
      <c r="H84" s="12" t="s">
        <v>536</v>
      </c>
      <c r="I84" s="14">
        <v>45190</v>
      </c>
      <c r="J84" s="12" t="s">
        <v>1684</v>
      </c>
    </row>
    <row r="85" spans="1:10" s="15" customFormat="1" x14ac:dyDescent="0.15">
      <c r="A85" s="11">
        <v>45194</v>
      </c>
      <c r="B85" s="12" t="s">
        <v>533</v>
      </c>
      <c r="C85" s="12" t="s">
        <v>534</v>
      </c>
      <c r="D85" s="13" t="str">
        <f>HYPERLINK("https://www.marklines.com/en/global/3339","China FAW Corporation Limited Weishan 2nd Plant")</f>
        <v>China FAW Corporation Limited Weishan 2nd Plant</v>
      </c>
      <c r="E85" s="12" t="s">
        <v>1685</v>
      </c>
      <c r="F85" s="12" t="s">
        <v>20</v>
      </c>
      <c r="G85" s="12" t="s">
        <v>27</v>
      </c>
      <c r="H85" s="12" t="s">
        <v>536</v>
      </c>
      <c r="I85" s="14">
        <v>45190</v>
      </c>
      <c r="J85" s="12" t="s">
        <v>1684</v>
      </c>
    </row>
    <row r="86" spans="1:10" s="15" customFormat="1" x14ac:dyDescent="0.15">
      <c r="A86" s="11">
        <v>45194</v>
      </c>
      <c r="B86" s="12" t="s">
        <v>43</v>
      </c>
      <c r="C86" s="12" t="s">
        <v>67</v>
      </c>
      <c r="D86" s="13" t="str">
        <f>HYPERLINK("https://www.marklines.com/en/global/3615","SAIC Volkswagen Automotive Co., Ltd.")</f>
        <v>SAIC Volkswagen Automotive Co., Ltd.</v>
      </c>
      <c r="E86" s="12" t="s">
        <v>1519</v>
      </c>
      <c r="F86" s="12" t="s">
        <v>20</v>
      </c>
      <c r="G86" s="12" t="s">
        <v>27</v>
      </c>
      <c r="H86" s="12" t="s">
        <v>106</v>
      </c>
      <c r="I86" s="14">
        <v>45190</v>
      </c>
      <c r="J86" s="12" t="s">
        <v>1686</v>
      </c>
    </row>
    <row r="87" spans="1:10" s="15" customFormat="1" x14ac:dyDescent="0.15">
      <c r="A87" s="11">
        <v>45194</v>
      </c>
      <c r="B87" s="12" t="s">
        <v>41</v>
      </c>
      <c r="C87" s="12" t="s">
        <v>41</v>
      </c>
      <c r="D87" s="13" t="str">
        <f>HYPERLINK("https://www.marklines.com/en/global/3615","SAIC Volkswagen Automotive Co., Ltd.")</f>
        <v>SAIC Volkswagen Automotive Co., Ltd.</v>
      </c>
      <c r="E87" s="12" t="s">
        <v>1519</v>
      </c>
      <c r="F87" s="12" t="s">
        <v>20</v>
      </c>
      <c r="G87" s="12" t="s">
        <v>27</v>
      </c>
      <c r="H87" s="12" t="s">
        <v>106</v>
      </c>
      <c r="I87" s="14">
        <v>45190</v>
      </c>
      <c r="J87" s="12" t="s">
        <v>1686</v>
      </c>
    </row>
    <row r="88" spans="1:10" s="15" customFormat="1" x14ac:dyDescent="0.15">
      <c r="A88" s="11">
        <v>45194</v>
      </c>
      <c r="B88" s="12" t="s">
        <v>374</v>
      </c>
      <c r="C88" s="12" t="s">
        <v>374</v>
      </c>
      <c r="D88" s="13" t="str">
        <f>HYPERLINK("https://www.marklines.com/en/global/2715","Volvo Buses, Boras Plant")</f>
        <v>Volvo Buses, Boras Plant</v>
      </c>
      <c r="E88" s="12" t="s">
        <v>1595</v>
      </c>
      <c r="F88" s="12" t="s">
        <v>17</v>
      </c>
      <c r="G88" s="12" t="s">
        <v>80</v>
      </c>
      <c r="H88" s="12"/>
      <c r="I88" s="14">
        <v>45189</v>
      </c>
      <c r="J88" s="12" t="s">
        <v>1687</v>
      </c>
    </row>
    <row r="89" spans="1:10" s="15" customFormat="1" x14ac:dyDescent="0.15">
      <c r="A89" s="11">
        <v>45194</v>
      </c>
      <c r="B89" s="12" t="s">
        <v>109</v>
      </c>
      <c r="C89" s="12" t="s">
        <v>1688</v>
      </c>
      <c r="D89" s="13" t="str">
        <f>HYPERLINK("https://www.marklines.com/en/global/4269","BYD Automobile Co., Ltd.")</f>
        <v>BYD Automobile Co., Ltd.</v>
      </c>
      <c r="E89" s="12" t="s">
        <v>1423</v>
      </c>
      <c r="F89" s="12" t="s">
        <v>20</v>
      </c>
      <c r="G89" s="12" t="s">
        <v>27</v>
      </c>
      <c r="H89" s="12" t="s">
        <v>1424</v>
      </c>
      <c r="I89" s="14">
        <v>45189</v>
      </c>
      <c r="J89" s="12" t="s">
        <v>1689</v>
      </c>
    </row>
    <row r="90" spans="1:10" s="15" customFormat="1" x14ac:dyDescent="0.15">
      <c r="A90" s="11">
        <v>45194</v>
      </c>
      <c r="B90" s="12" t="s">
        <v>83</v>
      </c>
      <c r="C90" s="12" t="s">
        <v>83</v>
      </c>
      <c r="D90" s="13" t="str">
        <f>HYPERLINK("https://www.marklines.com/en/global/9553","Leapmotor Co., Ltd. ")</f>
        <v xml:space="preserve">Leapmotor Co., Ltd. </v>
      </c>
      <c r="E90" s="12" t="s">
        <v>1487</v>
      </c>
      <c r="F90" s="12" t="s">
        <v>20</v>
      </c>
      <c r="G90" s="12" t="s">
        <v>27</v>
      </c>
      <c r="H90" s="12" t="s">
        <v>51</v>
      </c>
      <c r="I90" s="14">
        <v>45189</v>
      </c>
      <c r="J90" s="12" t="s">
        <v>1690</v>
      </c>
    </row>
    <row r="91" spans="1:10" s="15" customFormat="1" x14ac:dyDescent="0.15">
      <c r="A91" s="11">
        <v>45194</v>
      </c>
      <c r="B91" s="12" t="s">
        <v>124</v>
      </c>
      <c r="C91" s="12" t="s">
        <v>125</v>
      </c>
      <c r="D91" s="13" t="str">
        <f>HYPERLINK("https://www.marklines.com/en/global/3767","Jiangsu Yueda Kia Motors Co., Ltd. (First Plant) (formerly Kia Motors Co., Ltd. (First Plant))")</f>
        <v>Jiangsu Yueda Kia Motors Co., Ltd. (First Plant) (formerly Kia Motors Co., Ltd. (First Plant))</v>
      </c>
      <c r="E91" s="12" t="s">
        <v>126</v>
      </c>
      <c r="F91" s="12" t="s">
        <v>20</v>
      </c>
      <c r="G91" s="12" t="s">
        <v>27</v>
      </c>
      <c r="H91" s="12" t="s">
        <v>52</v>
      </c>
      <c r="I91" s="14">
        <v>45188</v>
      </c>
      <c r="J91" s="12" t="s">
        <v>1691</v>
      </c>
    </row>
    <row r="92" spans="1:10" s="15" customFormat="1" x14ac:dyDescent="0.15">
      <c r="A92" s="11">
        <v>45194</v>
      </c>
      <c r="B92" s="12" t="s">
        <v>29</v>
      </c>
      <c r="C92" s="12" t="s">
        <v>29</v>
      </c>
      <c r="D92" s="13" t="str">
        <f>HYPERLINK("https://www.marklines.com/en/global/10387","Zeekr Automobile (Ningbo Hangzhou Bay New Zone) Co., Ltd. (formerly Ningbo Zeekr Intelligent Technology Co., Ltd.")</f>
        <v>Zeekr Automobile (Ningbo Hangzhou Bay New Zone) Co., Ltd. (formerly Ningbo Zeekr Intelligent Technology Co., Ltd.</v>
      </c>
      <c r="E92" s="12" t="s">
        <v>930</v>
      </c>
      <c r="F92" s="12" t="s">
        <v>20</v>
      </c>
      <c r="G92" s="12" t="s">
        <v>27</v>
      </c>
      <c r="H92" s="12" t="s">
        <v>51</v>
      </c>
      <c r="I92" s="14">
        <v>45188</v>
      </c>
      <c r="J92" s="12" t="s">
        <v>1692</v>
      </c>
    </row>
    <row r="93" spans="1:10" s="15" customFormat="1" x14ac:dyDescent="0.15">
      <c r="A93" s="11">
        <v>45194</v>
      </c>
      <c r="B93" s="12" t="s">
        <v>29</v>
      </c>
      <c r="C93" s="12" t="s">
        <v>29</v>
      </c>
      <c r="D93" s="13" t="str">
        <f>HYPERLINK("https://www.marklines.com/en/global/10391","Zhejiang Geely Automobile Co., Ltd. Meishan Plant")</f>
        <v>Zhejiang Geely Automobile Co., Ltd. Meishan Plant</v>
      </c>
      <c r="E93" s="12" t="s">
        <v>946</v>
      </c>
      <c r="F93" s="12" t="s">
        <v>20</v>
      </c>
      <c r="G93" s="12" t="s">
        <v>27</v>
      </c>
      <c r="H93" s="12" t="s">
        <v>51</v>
      </c>
      <c r="I93" s="14">
        <v>45188</v>
      </c>
      <c r="J93" s="12" t="s">
        <v>1692</v>
      </c>
    </row>
    <row r="94" spans="1:10" s="15" customFormat="1" x14ac:dyDescent="0.15">
      <c r="A94" s="11">
        <v>45191</v>
      </c>
      <c r="B94" s="12" t="s">
        <v>29</v>
      </c>
      <c r="C94" s="12" t="s">
        <v>141</v>
      </c>
      <c r="D94" s="13" t="str">
        <f>HYPERLINK("https://www.marklines.com/en/global/9144","Daqing Volvo Car Manufacturing Co., Ltd.")</f>
        <v>Daqing Volvo Car Manufacturing Co., Ltd.</v>
      </c>
      <c r="E94" s="12" t="s">
        <v>1496</v>
      </c>
      <c r="F94" s="12" t="s">
        <v>20</v>
      </c>
      <c r="G94" s="12" t="s">
        <v>27</v>
      </c>
      <c r="H94" s="12" t="s">
        <v>1497</v>
      </c>
      <c r="I94" s="14">
        <v>45191</v>
      </c>
      <c r="J94" s="12" t="s">
        <v>1498</v>
      </c>
    </row>
    <row r="95" spans="1:10" s="15" customFormat="1" x14ac:dyDescent="0.15">
      <c r="A95" s="11">
        <v>45191</v>
      </c>
      <c r="B95" s="12" t="s">
        <v>29</v>
      </c>
      <c r="C95" s="12" t="s">
        <v>141</v>
      </c>
      <c r="D95" s="13" t="str">
        <f>HYPERLINK("https://www.marklines.com/en/global/4303","Volvo Car Chengdu Manufacturing Plant")</f>
        <v>Volvo Car Chengdu Manufacturing Plant</v>
      </c>
      <c r="E95" s="12" t="s">
        <v>1308</v>
      </c>
      <c r="F95" s="12" t="s">
        <v>20</v>
      </c>
      <c r="G95" s="12" t="s">
        <v>27</v>
      </c>
      <c r="H95" s="12" t="s">
        <v>659</v>
      </c>
      <c r="I95" s="14">
        <v>45191</v>
      </c>
      <c r="J95" s="12" t="s">
        <v>1498</v>
      </c>
    </row>
    <row r="96" spans="1:10" s="15" customFormat="1" x14ac:dyDescent="0.15">
      <c r="A96" s="11">
        <v>45191</v>
      </c>
      <c r="B96" s="12" t="s">
        <v>29</v>
      </c>
      <c r="C96" s="12" t="s">
        <v>141</v>
      </c>
      <c r="D96" s="13" t="str">
        <f>HYPERLINK("https://www.marklines.com/en/global/3633","Volvo Car, APAC Headquarters")</f>
        <v>Volvo Car, APAC Headquarters</v>
      </c>
      <c r="E96" s="12" t="s">
        <v>1499</v>
      </c>
      <c r="F96" s="12" t="s">
        <v>20</v>
      </c>
      <c r="G96" s="12" t="s">
        <v>27</v>
      </c>
      <c r="H96" s="12" t="s">
        <v>106</v>
      </c>
      <c r="I96" s="14">
        <v>45191</v>
      </c>
      <c r="J96" s="12" t="s">
        <v>1498</v>
      </c>
    </row>
    <row r="97" spans="1:10" s="15" customFormat="1" x14ac:dyDescent="0.15">
      <c r="A97" s="11">
        <v>45191</v>
      </c>
      <c r="B97" s="12" t="s">
        <v>29</v>
      </c>
      <c r="C97" s="12" t="s">
        <v>141</v>
      </c>
      <c r="D97" s="13" t="str">
        <f>HYPERLINK("https://www.marklines.com/en/global/9324","Volvo Cars, Ridgeville Plant")</f>
        <v>Volvo Cars, Ridgeville Plant</v>
      </c>
      <c r="E97" s="12" t="s">
        <v>110</v>
      </c>
      <c r="F97" s="12" t="s">
        <v>16</v>
      </c>
      <c r="G97" s="12" t="s">
        <v>11</v>
      </c>
      <c r="H97" s="12" t="s">
        <v>111</v>
      </c>
      <c r="I97" s="14">
        <v>45191</v>
      </c>
      <c r="J97" s="12" t="s">
        <v>1498</v>
      </c>
    </row>
    <row r="98" spans="1:10" s="15" customFormat="1" x14ac:dyDescent="0.15">
      <c r="A98" s="11">
        <v>45191</v>
      </c>
      <c r="B98" s="12" t="s">
        <v>29</v>
      </c>
      <c r="C98" s="12" t="s">
        <v>141</v>
      </c>
      <c r="D98" s="13" t="str">
        <f>HYPERLINK("https://www.marklines.com/en/global/9867","Asia-Europe Automobile Manufacturing (Taizhou) Co., Ltd.")</f>
        <v>Asia-Europe Automobile Manufacturing (Taizhou) Co., Ltd.</v>
      </c>
      <c r="E98" s="12" t="s">
        <v>1113</v>
      </c>
      <c r="F98" s="12" t="s">
        <v>20</v>
      </c>
      <c r="G98" s="12" t="s">
        <v>27</v>
      </c>
      <c r="H98" s="12" t="s">
        <v>51</v>
      </c>
      <c r="I98" s="14">
        <v>45191</v>
      </c>
      <c r="J98" s="12" t="s">
        <v>1498</v>
      </c>
    </row>
    <row r="99" spans="1:10" s="15" customFormat="1" x14ac:dyDescent="0.15">
      <c r="A99" s="11">
        <v>45191</v>
      </c>
      <c r="B99" s="12" t="s">
        <v>29</v>
      </c>
      <c r="C99" s="12" t="s">
        <v>141</v>
      </c>
      <c r="D99" s="13" t="str">
        <f>HYPERLINK("https://www.marklines.com/en/global/1017","Volvo Car Manufacturing Malaysia Sdn. Bhd., Shah Alam Plant (former Swedish Motor Assemblies Sdn Bhd)")</f>
        <v>Volvo Car Manufacturing Malaysia Sdn. Bhd., Shah Alam Plant (former Swedish Motor Assemblies Sdn Bhd)</v>
      </c>
      <c r="E99" s="12" t="s">
        <v>1500</v>
      </c>
      <c r="F99" s="12" t="s">
        <v>49</v>
      </c>
      <c r="G99" s="12" t="s">
        <v>1164</v>
      </c>
      <c r="H99" s="12"/>
      <c r="I99" s="14">
        <v>45191</v>
      </c>
      <c r="J99" s="12" t="s">
        <v>1498</v>
      </c>
    </row>
    <row r="100" spans="1:10" s="15" customFormat="1" x14ac:dyDescent="0.15">
      <c r="A100" s="11">
        <v>45191</v>
      </c>
      <c r="B100" s="12" t="s">
        <v>29</v>
      </c>
      <c r="C100" s="12" t="s">
        <v>141</v>
      </c>
      <c r="D100" s="13" t="str">
        <f>HYPERLINK("https://www.marklines.com/en/global/2727","Volvo Car Corporation (Volvo Personvagnar AB)")</f>
        <v>Volvo Car Corporation (Volvo Personvagnar AB)</v>
      </c>
      <c r="E100" s="12" t="s">
        <v>1501</v>
      </c>
      <c r="F100" s="12" t="s">
        <v>17</v>
      </c>
      <c r="G100" s="12" t="s">
        <v>80</v>
      </c>
      <c r="H100" s="12"/>
      <c r="I100" s="14">
        <v>45191</v>
      </c>
      <c r="J100" s="12" t="s">
        <v>1498</v>
      </c>
    </row>
    <row r="101" spans="1:10" s="15" customFormat="1" x14ac:dyDescent="0.15">
      <c r="A101" s="11">
        <v>45191</v>
      </c>
      <c r="B101" s="12" t="s">
        <v>29</v>
      </c>
      <c r="C101" s="12" t="s">
        <v>141</v>
      </c>
      <c r="D101" s="13" t="str">
        <f>HYPERLINK("https://www.marklines.com/en/global/2729","Volvo Cars, Torslanda, Goteborg Plant")</f>
        <v>Volvo Cars, Torslanda, Goteborg Plant</v>
      </c>
      <c r="E101" s="12" t="s">
        <v>159</v>
      </c>
      <c r="F101" s="12" t="s">
        <v>17</v>
      </c>
      <c r="G101" s="12" t="s">
        <v>80</v>
      </c>
      <c r="H101" s="12"/>
      <c r="I101" s="14">
        <v>45191</v>
      </c>
      <c r="J101" s="12" t="s">
        <v>1498</v>
      </c>
    </row>
    <row r="102" spans="1:10" s="15" customFormat="1" x14ac:dyDescent="0.15">
      <c r="A102" s="11">
        <v>45191</v>
      </c>
      <c r="B102" s="12" t="s">
        <v>29</v>
      </c>
      <c r="C102" s="12" t="s">
        <v>141</v>
      </c>
      <c r="D102" s="13" t="str">
        <f>HYPERLINK("https://www.marklines.com/en/global/1295","Volvo India Private Limited, Bangalore (Hoskote) Plant ")</f>
        <v xml:space="preserve">Volvo India Private Limited, Bangalore (Hoskote) Plant </v>
      </c>
      <c r="E102" s="12" t="s">
        <v>412</v>
      </c>
      <c r="F102" s="12" t="s">
        <v>25</v>
      </c>
      <c r="G102" s="12" t="s">
        <v>26</v>
      </c>
      <c r="H102" s="12" t="s">
        <v>116</v>
      </c>
      <c r="I102" s="14">
        <v>45191</v>
      </c>
      <c r="J102" s="12" t="s">
        <v>1498</v>
      </c>
    </row>
    <row r="103" spans="1:10" s="15" customFormat="1" x14ac:dyDescent="0.15">
      <c r="A103" s="11">
        <v>45191</v>
      </c>
      <c r="B103" s="12" t="s">
        <v>29</v>
      </c>
      <c r="C103" s="12" t="s">
        <v>141</v>
      </c>
      <c r="D103" s="13" t="str">
        <f>HYPERLINK("https://www.marklines.com/en/global/1512","Volvo Cars N.V., Ghent Plant")</f>
        <v>Volvo Cars N.V., Ghent Plant</v>
      </c>
      <c r="E103" s="12" t="s">
        <v>249</v>
      </c>
      <c r="F103" s="12" t="s">
        <v>17</v>
      </c>
      <c r="G103" s="12" t="s">
        <v>138</v>
      </c>
      <c r="H103" s="12"/>
      <c r="I103" s="14">
        <v>45191</v>
      </c>
      <c r="J103" s="12" t="s">
        <v>1498</v>
      </c>
    </row>
    <row r="104" spans="1:10" s="15" customFormat="1" x14ac:dyDescent="0.15">
      <c r="A104" s="11">
        <v>45191</v>
      </c>
      <c r="B104" s="12" t="s">
        <v>29</v>
      </c>
      <c r="C104" s="12" t="s">
        <v>141</v>
      </c>
      <c r="D104" s="13" t="str">
        <f>HYPERLINK("https://www.marklines.com/en/global/9084","Powertrain Engineering Sweden AB, Skövde Plant (formerly Volvo Cars Engine Skövde (VCES))")</f>
        <v>Powertrain Engineering Sweden AB, Skövde Plant (formerly Volvo Cars Engine Skövde (VCES))</v>
      </c>
      <c r="E104" s="12" t="s">
        <v>1502</v>
      </c>
      <c r="F104" s="12" t="s">
        <v>17</v>
      </c>
      <c r="G104" s="12" t="s">
        <v>80</v>
      </c>
      <c r="H104" s="12"/>
      <c r="I104" s="14">
        <v>45191</v>
      </c>
      <c r="J104" s="12" t="s">
        <v>1498</v>
      </c>
    </row>
    <row r="105" spans="1:10" s="15" customFormat="1" x14ac:dyDescent="0.15">
      <c r="A105" s="11">
        <v>45191</v>
      </c>
      <c r="B105" s="12" t="s">
        <v>133</v>
      </c>
      <c r="C105" s="12" t="s">
        <v>197</v>
      </c>
      <c r="D105" s="13" t="str">
        <f>HYPERLINK("https://www.marklines.com/en/global/2635","Stellantis, FCA US, Mt. Elliott Tool &amp; Die Plant")</f>
        <v>Stellantis, FCA US, Mt. Elliott Tool &amp; Die Plant</v>
      </c>
      <c r="E105" s="12" t="s">
        <v>1503</v>
      </c>
      <c r="F105" s="12" t="s">
        <v>16</v>
      </c>
      <c r="G105" s="12" t="s">
        <v>11</v>
      </c>
      <c r="H105" s="12" t="s">
        <v>59</v>
      </c>
      <c r="I105" s="14">
        <v>45190</v>
      </c>
      <c r="J105" s="12" t="s">
        <v>1504</v>
      </c>
    </row>
    <row r="106" spans="1:10" s="15" customFormat="1" x14ac:dyDescent="0.15">
      <c r="A106" s="11">
        <v>45191</v>
      </c>
      <c r="B106" s="12" t="s">
        <v>133</v>
      </c>
      <c r="C106" s="12" t="s">
        <v>197</v>
      </c>
      <c r="D106" s="13" t="str">
        <f>HYPERLINK("https://www.marklines.com/en/global/2662","Stellantis, FCA US, Tipton Transmission Plant")</f>
        <v>Stellantis, FCA US, Tipton Transmission Plant</v>
      </c>
      <c r="E106" s="12" t="s">
        <v>1505</v>
      </c>
      <c r="F106" s="12" t="s">
        <v>16</v>
      </c>
      <c r="G106" s="12" t="s">
        <v>11</v>
      </c>
      <c r="H106" s="12" t="s">
        <v>744</v>
      </c>
      <c r="I106" s="14">
        <v>45190</v>
      </c>
      <c r="J106" s="12" t="s">
        <v>1504</v>
      </c>
    </row>
    <row r="107" spans="1:10" s="15" customFormat="1" x14ac:dyDescent="0.15">
      <c r="A107" s="11">
        <v>45191</v>
      </c>
      <c r="B107" s="12" t="s">
        <v>133</v>
      </c>
      <c r="C107" s="12" t="s">
        <v>197</v>
      </c>
      <c r="D107" s="13" t="str">
        <f>HYPERLINK("https://www.marklines.com/en/global/9921","Stellantis, Fiat Chrysler Automobiles Technical Center (Auburn Hills)")</f>
        <v>Stellantis, Fiat Chrysler Automobiles Technical Center (Auburn Hills)</v>
      </c>
      <c r="E107" s="12" t="s">
        <v>1506</v>
      </c>
      <c r="F107" s="12" t="s">
        <v>16</v>
      </c>
      <c r="G107" s="12" t="s">
        <v>11</v>
      </c>
      <c r="H107" s="12" t="s">
        <v>59</v>
      </c>
      <c r="I107" s="14">
        <v>45190</v>
      </c>
      <c r="J107" s="12" t="s">
        <v>1504</v>
      </c>
    </row>
    <row r="108" spans="1:10" s="15" customFormat="1" x14ac:dyDescent="0.15">
      <c r="A108" s="11">
        <v>45191</v>
      </c>
      <c r="B108" s="12" t="s">
        <v>133</v>
      </c>
      <c r="C108" s="12" t="s">
        <v>197</v>
      </c>
      <c r="D108" s="13" t="str">
        <f>HYPERLINK("https://www.marklines.com/en/global/2645","Stellantis, FCA US, Trenton Engine Complex")</f>
        <v>Stellantis, FCA US, Trenton Engine Complex</v>
      </c>
      <c r="E108" s="12" t="s">
        <v>1507</v>
      </c>
      <c r="F108" s="12" t="s">
        <v>16</v>
      </c>
      <c r="G108" s="12" t="s">
        <v>11</v>
      </c>
      <c r="H108" s="12" t="s">
        <v>59</v>
      </c>
      <c r="I108" s="14">
        <v>45190</v>
      </c>
      <c r="J108" s="12" t="s">
        <v>1504</v>
      </c>
    </row>
    <row r="109" spans="1:10" s="15" customFormat="1" x14ac:dyDescent="0.15">
      <c r="A109" s="11">
        <v>45191</v>
      </c>
      <c r="B109" s="12" t="s">
        <v>133</v>
      </c>
      <c r="C109" s="12" t="s">
        <v>134</v>
      </c>
      <c r="D109" s="13" t="str">
        <f>HYPERLINK("https://www.marklines.com/en/global/2635","Stellantis, FCA US, Mt. Elliott Tool &amp; Die Plant")</f>
        <v>Stellantis, FCA US, Mt. Elliott Tool &amp; Die Plant</v>
      </c>
      <c r="E109" s="12" t="s">
        <v>1503</v>
      </c>
      <c r="F109" s="12" t="s">
        <v>16</v>
      </c>
      <c r="G109" s="12" t="s">
        <v>11</v>
      </c>
      <c r="H109" s="12" t="s">
        <v>59</v>
      </c>
      <c r="I109" s="14">
        <v>45190</v>
      </c>
      <c r="J109" s="12" t="s">
        <v>1504</v>
      </c>
    </row>
    <row r="110" spans="1:10" s="15" customFormat="1" x14ac:dyDescent="0.15">
      <c r="A110" s="11">
        <v>45191</v>
      </c>
      <c r="B110" s="12" t="s">
        <v>133</v>
      </c>
      <c r="C110" s="12" t="s">
        <v>134</v>
      </c>
      <c r="D110" s="13" t="str">
        <f>HYPERLINK("https://www.marklines.com/en/global/2663","Stellantis, FCA US, Belvidere Assembly Plant and Belvidere Satellite Stamping Plant")</f>
        <v>Stellantis, FCA US, Belvidere Assembly Plant and Belvidere Satellite Stamping Plant</v>
      </c>
      <c r="E110" s="12" t="s">
        <v>1508</v>
      </c>
      <c r="F110" s="12" t="s">
        <v>16</v>
      </c>
      <c r="G110" s="12" t="s">
        <v>11</v>
      </c>
      <c r="H110" s="12" t="s">
        <v>58</v>
      </c>
      <c r="I110" s="14">
        <v>45190</v>
      </c>
      <c r="J110" s="12" t="s">
        <v>1504</v>
      </c>
    </row>
    <row r="111" spans="1:10" s="15" customFormat="1" x14ac:dyDescent="0.15">
      <c r="A111" s="11">
        <v>45191</v>
      </c>
      <c r="B111" s="12" t="s">
        <v>60</v>
      </c>
      <c r="C111" s="12" t="s">
        <v>61</v>
      </c>
      <c r="D111" s="13" t="str">
        <f>HYPERLINK("https://www.marklines.com/en/global/2223","Mercedes-Benz Group AG, Rastatt Plant")</f>
        <v>Mercedes-Benz Group AG, Rastatt Plant</v>
      </c>
      <c r="E111" s="12" t="s">
        <v>1509</v>
      </c>
      <c r="F111" s="12" t="s">
        <v>17</v>
      </c>
      <c r="G111" s="12" t="s">
        <v>21</v>
      </c>
      <c r="H111" s="12"/>
      <c r="I111" s="14">
        <v>45189</v>
      </c>
      <c r="J111" s="12" t="s">
        <v>1510</v>
      </c>
    </row>
    <row r="112" spans="1:10" s="15" customFormat="1" x14ac:dyDescent="0.15">
      <c r="A112" s="11">
        <v>45191</v>
      </c>
      <c r="B112" s="12" t="s">
        <v>24</v>
      </c>
      <c r="C112" s="12" t="s">
        <v>24</v>
      </c>
      <c r="D112" s="13" t="str">
        <f>HYPERLINK("https://www.marklines.com/en/global/2569","Ford Motor, Michigan Assembly Plant")</f>
        <v>Ford Motor, Michigan Assembly Plant</v>
      </c>
      <c r="E112" s="12" t="s">
        <v>1511</v>
      </c>
      <c r="F112" s="12" t="s">
        <v>16</v>
      </c>
      <c r="G112" s="12" t="s">
        <v>11</v>
      </c>
      <c r="H112" s="12" t="s">
        <v>59</v>
      </c>
      <c r="I112" s="14">
        <v>45189</v>
      </c>
      <c r="J112" s="12" t="s">
        <v>1512</v>
      </c>
    </row>
    <row r="113" spans="1:10" s="15" customFormat="1" x14ac:dyDescent="0.15">
      <c r="A113" s="11">
        <v>45191</v>
      </c>
      <c r="B113" s="12" t="s">
        <v>43</v>
      </c>
      <c r="C113" s="12" t="s">
        <v>1513</v>
      </c>
      <c r="D113" s="13" t="str">
        <f>HYPERLINK("https://www.marklines.com/en/global/2881","Volkswagen Truck &amp; Bus (VWTB) / Volkswagen Caminhões e Ônibus (VWCO), Resende Plant (formerly MAN Latin America Indústira e Comércio de Veículos, Ltda.)")</f>
        <v>Volkswagen Truck &amp; Bus (VWTB) / Volkswagen Caminhões e Ônibus (VWCO), Resende Plant (formerly MAN Latin America Indústira e Comércio de Veículos, Ltda.)</v>
      </c>
      <c r="E113" s="12" t="s">
        <v>1514</v>
      </c>
      <c r="F113" s="12" t="s">
        <v>74</v>
      </c>
      <c r="G113" s="12" t="s">
        <v>75</v>
      </c>
      <c r="H113" s="12"/>
      <c r="I113" s="14">
        <v>45187</v>
      </c>
      <c r="J113" s="12" t="s">
        <v>1515</v>
      </c>
    </row>
    <row r="114" spans="1:10" s="15" customFormat="1" x14ac:dyDescent="0.15">
      <c r="A114" s="11">
        <v>45190</v>
      </c>
      <c r="B114" s="12" t="s">
        <v>43</v>
      </c>
      <c r="C114" s="12" t="s">
        <v>347</v>
      </c>
      <c r="D114" s="13" t="str">
        <f>HYPERLINK("https://www.marklines.com/en/global/3731","SAIC Volkswagen Automotive Co., Ltd. Nanjing Branch")</f>
        <v>SAIC Volkswagen Automotive Co., Ltd. Nanjing Branch</v>
      </c>
      <c r="E114" s="12" t="s">
        <v>1516</v>
      </c>
      <c r="F114" s="12" t="s">
        <v>20</v>
      </c>
      <c r="G114" s="12" t="s">
        <v>27</v>
      </c>
      <c r="H114" s="12" t="s">
        <v>52</v>
      </c>
      <c r="I114" s="14">
        <v>45190</v>
      </c>
      <c r="J114" s="12" t="s">
        <v>1517</v>
      </c>
    </row>
    <row r="115" spans="1:10" s="15" customFormat="1" x14ac:dyDescent="0.15">
      <c r="A115" s="11">
        <v>45190</v>
      </c>
      <c r="B115" s="12" t="s">
        <v>43</v>
      </c>
      <c r="C115" s="12" t="s">
        <v>347</v>
      </c>
      <c r="D115" s="13" t="str">
        <f>HYPERLINK("https://www.marklines.com/en/global/1303","ŠKODA AUTO Volkswagen India Pvt. Ltd. (SAVWIPL), Pune (Chakan) Plant (formerly Volkswagen India, Pune (Chakan) Plant)")</f>
        <v>ŠKODA AUTO Volkswagen India Pvt. Ltd. (SAVWIPL), Pune (Chakan) Plant (formerly Volkswagen India, Pune (Chakan) Plant)</v>
      </c>
      <c r="E115" s="12" t="s">
        <v>1177</v>
      </c>
      <c r="F115" s="12" t="s">
        <v>25</v>
      </c>
      <c r="G115" s="12" t="s">
        <v>26</v>
      </c>
      <c r="H115" s="12" t="s">
        <v>736</v>
      </c>
      <c r="I115" s="14">
        <v>45190</v>
      </c>
      <c r="J115" s="12" t="s">
        <v>1517</v>
      </c>
    </row>
    <row r="116" spans="1:10" s="15" customFormat="1" x14ac:dyDescent="0.15">
      <c r="A116" s="11">
        <v>45190</v>
      </c>
      <c r="B116" s="12" t="s">
        <v>43</v>
      </c>
      <c r="C116" s="12" t="s">
        <v>347</v>
      </c>
      <c r="D116" s="13" t="str">
        <f>HYPERLINK("https://www.marklines.com/en/global/8679","SAIC Volkswagen Automotive Company Limited Ningbo Branch")</f>
        <v>SAIC Volkswagen Automotive Company Limited Ningbo Branch</v>
      </c>
      <c r="E116" s="12" t="s">
        <v>1220</v>
      </c>
      <c r="F116" s="12" t="s">
        <v>20</v>
      </c>
      <c r="G116" s="12" t="s">
        <v>27</v>
      </c>
      <c r="H116" s="12" t="s">
        <v>51</v>
      </c>
      <c r="I116" s="14">
        <v>45190</v>
      </c>
      <c r="J116" s="12" t="s">
        <v>1517</v>
      </c>
    </row>
    <row r="117" spans="1:10" s="15" customFormat="1" x14ac:dyDescent="0.15">
      <c r="A117" s="11">
        <v>45190</v>
      </c>
      <c r="B117" s="12" t="s">
        <v>43</v>
      </c>
      <c r="C117" s="12" t="s">
        <v>347</v>
      </c>
      <c r="D117" s="13" t="str">
        <f>HYPERLINK("https://www.marklines.com/en/global/9096","SAIC Volkswagen Automotive Co., Ltd. Changsha Branch")</f>
        <v>SAIC Volkswagen Automotive Co., Ltd. Changsha Branch</v>
      </c>
      <c r="E117" s="12" t="s">
        <v>1518</v>
      </c>
      <c r="F117" s="12" t="s">
        <v>20</v>
      </c>
      <c r="G117" s="12" t="s">
        <v>27</v>
      </c>
      <c r="H117" s="12" t="s">
        <v>112</v>
      </c>
      <c r="I117" s="14">
        <v>45190</v>
      </c>
      <c r="J117" s="12" t="s">
        <v>1517</v>
      </c>
    </row>
    <row r="118" spans="1:10" s="15" customFormat="1" x14ac:dyDescent="0.15">
      <c r="A118" s="11">
        <v>45190</v>
      </c>
      <c r="B118" s="12" t="s">
        <v>43</v>
      </c>
      <c r="C118" s="12" t="s">
        <v>347</v>
      </c>
      <c r="D118" s="13" t="str">
        <f>HYPERLINK("https://www.marklines.com/en/global/1739","Škoda Auto, Mladá Boleslav Plant")</f>
        <v>Škoda Auto, Mladá Boleslav Plant</v>
      </c>
      <c r="E118" s="12" t="s">
        <v>348</v>
      </c>
      <c r="F118" s="12" t="s">
        <v>18</v>
      </c>
      <c r="G118" s="12" t="s">
        <v>349</v>
      </c>
      <c r="H118" s="12"/>
      <c r="I118" s="14">
        <v>45190</v>
      </c>
      <c r="J118" s="12" t="s">
        <v>1517</v>
      </c>
    </row>
    <row r="119" spans="1:10" s="15" customFormat="1" x14ac:dyDescent="0.15">
      <c r="A119" s="11">
        <v>45190</v>
      </c>
      <c r="B119" s="12" t="s">
        <v>43</v>
      </c>
      <c r="C119" s="12" t="s">
        <v>347</v>
      </c>
      <c r="D119" s="13" t="str">
        <f>HYPERLINK("https://www.marklines.com/en/global/1771","Volkswagen Slovakia, Bratislava Plant")</f>
        <v>Volkswagen Slovakia, Bratislava Plant</v>
      </c>
      <c r="E119" s="12" t="s">
        <v>701</v>
      </c>
      <c r="F119" s="12" t="s">
        <v>18</v>
      </c>
      <c r="G119" s="12" t="s">
        <v>94</v>
      </c>
      <c r="H119" s="12"/>
      <c r="I119" s="14">
        <v>45190</v>
      </c>
      <c r="J119" s="12" t="s">
        <v>1517</v>
      </c>
    </row>
    <row r="120" spans="1:10" s="15" customFormat="1" x14ac:dyDescent="0.15">
      <c r="A120" s="11">
        <v>45190</v>
      </c>
      <c r="B120" s="12" t="s">
        <v>43</v>
      </c>
      <c r="C120" s="12" t="s">
        <v>347</v>
      </c>
      <c r="D120" s="13" t="str">
        <f>HYPERLINK("https://www.marklines.com/en/global/3615","SAIC Volkswagen Automotive Co., Ltd.")</f>
        <v>SAIC Volkswagen Automotive Co., Ltd.</v>
      </c>
      <c r="E120" s="12" t="s">
        <v>1519</v>
      </c>
      <c r="F120" s="12" t="s">
        <v>20</v>
      </c>
      <c r="G120" s="12" t="s">
        <v>27</v>
      </c>
      <c r="H120" s="12" t="s">
        <v>106</v>
      </c>
      <c r="I120" s="14">
        <v>45190</v>
      </c>
      <c r="J120" s="12" t="s">
        <v>1517</v>
      </c>
    </row>
    <row r="121" spans="1:10" s="15" customFormat="1" x14ac:dyDescent="0.15">
      <c r="A121" s="11">
        <v>45190</v>
      </c>
      <c r="B121" s="12" t="s">
        <v>43</v>
      </c>
      <c r="C121" s="12" t="s">
        <v>347</v>
      </c>
      <c r="D121" s="13" t="str">
        <f>HYPERLINK("https://www.marklines.com/en/global/1837","Eurocar PrJSC, Solomonovo Plant")</f>
        <v>Eurocar PrJSC, Solomonovo Plant</v>
      </c>
      <c r="E121" s="12" t="s">
        <v>1520</v>
      </c>
      <c r="F121" s="12" t="s">
        <v>18</v>
      </c>
      <c r="G121" s="12" t="s">
        <v>1521</v>
      </c>
      <c r="H121" s="12"/>
      <c r="I121" s="14">
        <v>45190</v>
      </c>
      <c r="J121" s="12" t="s">
        <v>1517</v>
      </c>
    </row>
    <row r="122" spans="1:10" s="15" customFormat="1" x14ac:dyDescent="0.15">
      <c r="A122" s="11">
        <v>45190</v>
      </c>
      <c r="B122" s="12" t="s">
        <v>43</v>
      </c>
      <c r="C122" s="12" t="s">
        <v>347</v>
      </c>
      <c r="D122" s="13" t="str">
        <f>HYPERLINK("https://www.marklines.com/en/global/1741","Škoda Auto, Kvasiny Plant")</f>
        <v>Škoda Auto, Kvasiny Plant</v>
      </c>
      <c r="E122" s="12" t="s">
        <v>1449</v>
      </c>
      <c r="F122" s="12" t="s">
        <v>18</v>
      </c>
      <c r="G122" s="12" t="s">
        <v>349</v>
      </c>
      <c r="H122" s="12"/>
      <c r="I122" s="14">
        <v>45190</v>
      </c>
      <c r="J122" s="12" t="s">
        <v>1517</v>
      </c>
    </row>
    <row r="123" spans="1:10" s="15" customFormat="1" x14ac:dyDescent="0.15">
      <c r="A123" s="11">
        <v>45190</v>
      </c>
      <c r="B123" s="12" t="s">
        <v>133</v>
      </c>
      <c r="C123" s="12" t="s">
        <v>197</v>
      </c>
      <c r="D123" s="13" t="str">
        <f>HYPERLINK("https://www.marklines.com/en/global/2651","Stellantis, FCA US, Toledo Machining Plant")</f>
        <v>Stellantis, FCA US, Toledo Machining Plant</v>
      </c>
      <c r="E123" s="12" t="s">
        <v>1522</v>
      </c>
      <c r="F123" s="12" t="s">
        <v>16</v>
      </c>
      <c r="G123" s="12" t="s">
        <v>11</v>
      </c>
      <c r="H123" s="12" t="s">
        <v>587</v>
      </c>
      <c r="I123" s="14">
        <v>45190</v>
      </c>
      <c r="J123" s="12" t="s">
        <v>1523</v>
      </c>
    </row>
    <row r="124" spans="1:10" s="15" customFormat="1" x14ac:dyDescent="0.15">
      <c r="A124" s="11">
        <v>45190</v>
      </c>
      <c r="B124" s="12" t="s">
        <v>133</v>
      </c>
      <c r="C124" s="12" t="s">
        <v>197</v>
      </c>
      <c r="D124" s="13" t="str">
        <f>HYPERLINK("https://www.marklines.com/en/global/2659","Stellantis, FCA US, Kokomo Casting Plant")</f>
        <v>Stellantis, FCA US, Kokomo Casting Plant</v>
      </c>
      <c r="E124" s="12" t="s">
        <v>1524</v>
      </c>
      <c r="F124" s="12" t="s">
        <v>16</v>
      </c>
      <c r="G124" s="12" t="s">
        <v>11</v>
      </c>
      <c r="H124" s="12" t="s">
        <v>744</v>
      </c>
      <c r="I124" s="14">
        <v>45190</v>
      </c>
      <c r="J124" s="12" t="s">
        <v>1523</v>
      </c>
    </row>
    <row r="125" spans="1:10" s="15" customFormat="1" x14ac:dyDescent="0.15">
      <c r="A125" s="11">
        <v>45190</v>
      </c>
      <c r="B125" s="12" t="s">
        <v>133</v>
      </c>
      <c r="C125" s="12" t="s">
        <v>197</v>
      </c>
      <c r="D125" s="13" t="str">
        <f>HYPERLINK("https://www.marklines.com/en/global/2661","Stellantis, FCA US, Kokomo Transmission Plant")</f>
        <v>Stellantis, FCA US, Kokomo Transmission Plant</v>
      </c>
      <c r="E125" s="12" t="s">
        <v>1525</v>
      </c>
      <c r="F125" s="12" t="s">
        <v>16</v>
      </c>
      <c r="G125" s="12" t="s">
        <v>11</v>
      </c>
      <c r="H125" s="12" t="s">
        <v>744</v>
      </c>
      <c r="I125" s="14">
        <v>45190</v>
      </c>
      <c r="J125" s="12" t="s">
        <v>1523</v>
      </c>
    </row>
    <row r="126" spans="1:10" s="15" customFormat="1" x14ac:dyDescent="0.15">
      <c r="A126" s="11">
        <v>45190</v>
      </c>
      <c r="B126" s="12" t="s">
        <v>133</v>
      </c>
      <c r="C126" s="12" t="s">
        <v>134</v>
      </c>
      <c r="D126" s="13" t="str">
        <f>HYPERLINK("https://www.marklines.com/en/global/2653","Stellantis, FCA US, Toledo Assembly Complex (Toledo North)")</f>
        <v>Stellantis, FCA US, Toledo Assembly Complex (Toledo North)</v>
      </c>
      <c r="E126" s="12" t="s">
        <v>1526</v>
      </c>
      <c r="F126" s="12" t="s">
        <v>16</v>
      </c>
      <c r="G126" s="12" t="s">
        <v>11</v>
      </c>
      <c r="H126" s="12" t="s">
        <v>587</v>
      </c>
      <c r="I126" s="14">
        <v>45190</v>
      </c>
      <c r="J126" s="12" t="s">
        <v>1523</v>
      </c>
    </row>
    <row r="127" spans="1:10" s="15" customFormat="1" x14ac:dyDescent="0.15">
      <c r="A127" s="11">
        <v>45190</v>
      </c>
      <c r="B127" s="12" t="s">
        <v>133</v>
      </c>
      <c r="C127" s="12" t="s">
        <v>134</v>
      </c>
      <c r="D127" s="13" t="str">
        <f>HYPERLINK("https://www.marklines.com/en/global/2655","Stellantis, FCA US, Toledo Assembly Complex (Toledo Supplier Park)")</f>
        <v>Stellantis, FCA US, Toledo Assembly Complex (Toledo Supplier Park)</v>
      </c>
      <c r="E127" s="12" t="s">
        <v>1017</v>
      </c>
      <c r="F127" s="12" t="s">
        <v>16</v>
      </c>
      <c r="G127" s="12" t="s">
        <v>11</v>
      </c>
      <c r="H127" s="12" t="s">
        <v>587</v>
      </c>
      <c r="I127" s="14">
        <v>45190</v>
      </c>
      <c r="J127" s="12" t="s">
        <v>1523</v>
      </c>
    </row>
    <row r="128" spans="1:10" s="15" customFormat="1" x14ac:dyDescent="0.15">
      <c r="A128" s="11">
        <v>45190</v>
      </c>
      <c r="B128" s="12" t="s">
        <v>133</v>
      </c>
      <c r="C128" s="12" t="s">
        <v>731</v>
      </c>
      <c r="D128" s="13" t="str">
        <f>HYPERLINK("https://www.marklines.com/en/global/2655","Stellantis, FCA US, Toledo Assembly Complex (Toledo Supplier Park)")</f>
        <v>Stellantis, FCA US, Toledo Assembly Complex (Toledo Supplier Park)</v>
      </c>
      <c r="E128" s="12" t="s">
        <v>1017</v>
      </c>
      <c r="F128" s="12" t="s">
        <v>16</v>
      </c>
      <c r="G128" s="12" t="s">
        <v>11</v>
      </c>
      <c r="H128" s="12" t="s">
        <v>587</v>
      </c>
      <c r="I128" s="14">
        <v>45190</v>
      </c>
      <c r="J128" s="12" t="s">
        <v>1523</v>
      </c>
    </row>
    <row r="129" spans="1:10" s="15" customFormat="1" x14ac:dyDescent="0.15">
      <c r="A129" s="11">
        <v>45190</v>
      </c>
      <c r="B129" s="12" t="s">
        <v>43</v>
      </c>
      <c r="C129" s="12" t="s">
        <v>67</v>
      </c>
      <c r="D129" s="13" t="str">
        <f>HYPERLINK("https://www.marklines.com/en/global/1384","Volkswagen Autoeuropa Ltd., Setubal, Palmela Plant (formerly AutoEuropa Automoveis, Ltda.)")</f>
        <v>Volkswagen Autoeuropa Ltd., Setubal, Palmela Plant (formerly AutoEuropa Automoveis, Ltda.)</v>
      </c>
      <c r="E129" s="12" t="s">
        <v>1203</v>
      </c>
      <c r="F129" s="12" t="s">
        <v>17</v>
      </c>
      <c r="G129" s="12" t="s">
        <v>1142</v>
      </c>
      <c r="H129" s="12"/>
      <c r="I129" s="14">
        <v>45189</v>
      </c>
      <c r="J129" s="12" t="s">
        <v>1527</v>
      </c>
    </row>
    <row r="130" spans="1:10" s="15" customFormat="1" x14ac:dyDescent="0.15">
      <c r="A130" s="11">
        <v>45190</v>
      </c>
      <c r="B130" s="12" t="s">
        <v>43</v>
      </c>
      <c r="C130" s="12" t="s">
        <v>599</v>
      </c>
      <c r="D130" s="13" t="str">
        <f>HYPERLINK("https://www.marklines.com/en/global/1384","Volkswagen Autoeuropa Ltd., Setubal, Palmela Plant (formerly AutoEuropa Automoveis, Ltda.)")</f>
        <v>Volkswagen Autoeuropa Ltd., Setubal, Palmela Plant (formerly AutoEuropa Automoveis, Ltda.)</v>
      </c>
      <c r="E130" s="12" t="s">
        <v>1203</v>
      </c>
      <c r="F130" s="12" t="s">
        <v>17</v>
      </c>
      <c r="G130" s="12" t="s">
        <v>1142</v>
      </c>
      <c r="H130" s="12"/>
      <c r="I130" s="14">
        <v>45189</v>
      </c>
      <c r="J130" s="12" t="s">
        <v>1527</v>
      </c>
    </row>
    <row r="131" spans="1:10" s="15" customFormat="1" x14ac:dyDescent="0.15">
      <c r="A131" s="11">
        <v>45190</v>
      </c>
      <c r="B131" s="12" t="s">
        <v>13</v>
      </c>
      <c r="C131" s="12" t="s">
        <v>13</v>
      </c>
      <c r="D131" s="13" t="str">
        <f>HYPERLINK("https://www.marklines.com/en/global/757","JSC Moscow Automobile Plant Moskvich, Moscow Plant (former CJSC Renault Russia)")</f>
        <v>JSC Moscow Automobile Plant Moskvich, Moscow Plant (former CJSC Renault Russia)</v>
      </c>
      <c r="E131" s="12" t="s">
        <v>597</v>
      </c>
      <c r="F131" s="12" t="s">
        <v>18</v>
      </c>
      <c r="G131" s="12" t="s">
        <v>14</v>
      </c>
      <c r="H131" s="12"/>
      <c r="I131" s="14">
        <v>45189</v>
      </c>
      <c r="J131" s="12" t="s">
        <v>1528</v>
      </c>
    </row>
    <row r="132" spans="1:10" s="15" customFormat="1" x14ac:dyDescent="0.15">
      <c r="A132" s="11">
        <v>45190</v>
      </c>
      <c r="B132" s="12" t="s">
        <v>12</v>
      </c>
      <c r="C132" s="12" t="s">
        <v>19</v>
      </c>
      <c r="D132" s="13" t="str">
        <f>HYPERLINK("https://www.marklines.com/en/global/2517","General Motors, Wentzville Assembly Plant")</f>
        <v>General Motors, Wentzville Assembly Plant</v>
      </c>
      <c r="E132" s="12" t="s">
        <v>405</v>
      </c>
      <c r="F132" s="12" t="s">
        <v>16</v>
      </c>
      <c r="G132" s="12" t="s">
        <v>11</v>
      </c>
      <c r="H132" s="12" t="s">
        <v>406</v>
      </c>
      <c r="I132" s="14">
        <v>45189</v>
      </c>
      <c r="J132" s="12" t="s">
        <v>1529</v>
      </c>
    </row>
    <row r="133" spans="1:10" s="15" customFormat="1" x14ac:dyDescent="0.15">
      <c r="A133" s="11">
        <v>45190</v>
      </c>
      <c r="B133" s="12" t="s">
        <v>12</v>
      </c>
      <c r="C133" s="12" t="s">
        <v>19</v>
      </c>
      <c r="D133" s="13" t="str">
        <f>HYPERLINK("https://www.marklines.com/en/global/2519","General Motors, Fairfax Assembly &amp; Stamping Plant")</f>
        <v>General Motors, Fairfax Assembly &amp; Stamping Plant</v>
      </c>
      <c r="E133" s="12" t="s">
        <v>1530</v>
      </c>
      <c r="F133" s="12" t="s">
        <v>16</v>
      </c>
      <c r="G133" s="12" t="s">
        <v>11</v>
      </c>
      <c r="H133" s="12" t="s">
        <v>1531</v>
      </c>
      <c r="I133" s="14">
        <v>45189</v>
      </c>
      <c r="J133" s="12" t="s">
        <v>1529</v>
      </c>
    </row>
    <row r="134" spans="1:10" s="15" customFormat="1" x14ac:dyDescent="0.15">
      <c r="A134" s="11">
        <v>45190</v>
      </c>
      <c r="B134" s="12" t="s">
        <v>12</v>
      </c>
      <c r="C134" s="12" t="s">
        <v>579</v>
      </c>
      <c r="D134" s="13" t="str">
        <f>HYPERLINK("https://www.marklines.com/en/global/2519","General Motors, Fairfax Assembly &amp; Stamping Plant")</f>
        <v>General Motors, Fairfax Assembly &amp; Stamping Plant</v>
      </c>
      <c r="E134" s="12" t="s">
        <v>1530</v>
      </c>
      <c r="F134" s="12" t="s">
        <v>16</v>
      </c>
      <c r="G134" s="12" t="s">
        <v>11</v>
      </c>
      <c r="H134" s="12" t="s">
        <v>1531</v>
      </c>
      <c r="I134" s="14">
        <v>45189</v>
      </c>
      <c r="J134" s="12" t="s">
        <v>1529</v>
      </c>
    </row>
    <row r="135" spans="1:10" s="15" customFormat="1" x14ac:dyDescent="0.15">
      <c r="A135" s="11">
        <v>45190</v>
      </c>
      <c r="B135" s="12" t="s">
        <v>12</v>
      </c>
      <c r="C135" s="12" t="s">
        <v>895</v>
      </c>
      <c r="D135" s="13" t="str">
        <f>HYPERLINK("https://www.marklines.com/en/global/2519","General Motors, Fairfax Assembly &amp; Stamping Plant")</f>
        <v>General Motors, Fairfax Assembly &amp; Stamping Plant</v>
      </c>
      <c r="E135" s="12" t="s">
        <v>1530</v>
      </c>
      <c r="F135" s="12" t="s">
        <v>16</v>
      </c>
      <c r="G135" s="12" t="s">
        <v>11</v>
      </c>
      <c r="H135" s="12" t="s">
        <v>1531</v>
      </c>
      <c r="I135" s="14">
        <v>45189</v>
      </c>
      <c r="J135" s="12" t="s">
        <v>1529</v>
      </c>
    </row>
    <row r="136" spans="1:10" s="15" customFormat="1" x14ac:dyDescent="0.15">
      <c r="A136" s="11">
        <v>45190</v>
      </c>
      <c r="B136" s="12" t="s">
        <v>12</v>
      </c>
      <c r="C136" s="12" t="s">
        <v>351</v>
      </c>
      <c r="D136" s="13" t="str">
        <f>HYPERLINK("https://www.marklines.com/en/global/2517","General Motors, Wentzville Assembly Plant")</f>
        <v>General Motors, Wentzville Assembly Plant</v>
      </c>
      <c r="E136" s="12" t="s">
        <v>405</v>
      </c>
      <c r="F136" s="12" t="s">
        <v>16</v>
      </c>
      <c r="G136" s="12" t="s">
        <v>11</v>
      </c>
      <c r="H136" s="12" t="s">
        <v>406</v>
      </c>
      <c r="I136" s="14">
        <v>45189</v>
      </c>
      <c r="J136" s="12" t="s">
        <v>1529</v>
      </c>
    </row>
    <row r="137" spans="1:10" s="15" customFormat="1" x14ac:dyDescent="0.15">
      <c r="A137" s="11">
        <v>45190</v>
      </c>
      <c r="B137" s="12" t="s">
        <v>60</v>
      </c>
      <c r="C137" s="12" t="s">
        <v>61</v>
      </c>
      <c r="D137" s="13" t="str">
        <f>HYPERLINK("https://www.marklines.com/en/global/3049","Mercedes-Benz U.S. International (MBUSI), Tuscaloosa (Vance) Plant")</f>
        <v>Mercedes-Benz U.S. International (MBUSI), Tuscaloosa (Vance) Plant</v>
      </c>
      <c r="E137" s="12" t="s">
        <v>1532</v>
      </c>
      <c r="F137" s="12" t="s">
        <v>16</v>
      </c>
      <c r="G137" s="12" t="s">
        <v>11</v>
      </c>
      <c r="H137" s="12" t="s">
        <v>974</v>
      </c>
      <c r="I137" s="14">
        <v>45189</v>
      </c>
      <c r="J137" s="12" t="s">
        <v>1533</v>
      </c>
    </row>
    <row r="138" spans="1:10" s="15" customFormat="1" x14ac:dyDescent="0.15">
      <c r="A138" s="11">
        <v>45190</v>
      </c>
      <c r="B138" s="12" t="s">
        <v>65</v>
      </c>
      <c r="C138" s="12" t="s">
        <v>65</v>
      </c>
      <c r="D138" s="13" t="str">
        <f>HYPERLINK("https://www.marklines.com/en/global/10587","Hyundai Motor Group Metaplant America (HMGMA) LLC")</f>
        <v>Hyundai Motor Group Metaplant America (HMGMA) LLC</v>
      </c>
      <c r="E138" s="12" t="s">
        <v>1028</v>
      </c>
      <c r="F138" s="12" t="s">
        <v>16</v>
      </c>
      <c r="G138" s="12" t="s">
        <v>11</v>
      </c>
      <c r="H138" s="12" t="s">
        <v>381</v>
      </c>
      <c r="I138" s="14">
        <v>45188</v>
      </c>
      <c r="J138" s="12" t="s">
        <v>1534</v>
      </c>
    </row>
    <row r="139" spans="1:10" s="15" customFormat="1" x14ac:dyDescent="0.15">
      <c r="A139" s="11">
        <v>45190</v>
      </c>
      <c r="B139" s="12" t="s">
        <v>725</v>
      </c>
      <c r="C139" s="12" t="s">
        <v>726</v>
      </c>
      <c r="D139" s="13" t="str">
        <f>HYPERLINK("https://www.marklines.com/en/global/10712","Neta Zhihe New Energy Vehicle Technology (Shanghai) Co., Ltd.")</f>
        <v>Neta Zhihe New Energy Vehicle Technology (Shanghai) Co., Ltd.</v>
      </c>
      <c r="E139" s="12" t="s">
        <v>727</v>
      </c>
      <c r="F139" s="12" t="s">
        <v>20</v>
      </c>
      <c r="G139" s="12" t="s">
        <v>27</v>
      </c>
      <c r="H139" s="12" t="s">
        <v>106</v>
      </c>
      <c r="I139" s="14">
        <v>45187</v>
      </c>
      <c r="J139" s="12" t="s">
        <v>1535</v>
      </c>
    </row>
    <row r="140" spans="1:10" s="15" customFormat="1" x14ac:dyDescent="0.15">
      <c r="A140" s="11">
        <v>45190</v>
      </c>
      <c r="B140" s="12" t="s">
        <v>44</v>
      </c>
      <c r="C140" s="12" t="s">
        <v>44</v>
      </c>
      <c r="D140" s="13" t="str">
        <f>HYPERLINK("https://www.marklines.com/en/global/4073","Guangzhou Automobile Group Co., Ltd. (GAC)")</f>
        <v>Guangzhou Automobile Group Co., Ltd. (GAC)</v>
      </c>
      <c r="E140" s="12" t="s">
        <v>45</v>
      </c>
      <c r="F140" s="12" t="s">
        <v>20</v>
      </c>
      <c r="G140" s="12" t="s">
        <v>27</v>
      </c>
      <c r="H140" s="12" t="s">
        <v>31</v>
      </c>
      <c r="I140" s="14">
        <v>45185</v>
      </c>
      <c r="J140" s="12" t="s">
        <v>1536</v>
      </c>
    </row>
    <row r="141" spans="1:10" s="15" customFormat="1" x14ac:dyDescent="0.15">
      <c r="A141" s="11">
        <v>45190</v>
      </c>
      <c r="B141" s="12" t="s">
        <v>43</v>
      </c>
      <c r="C141" s="12" t="s">
        <v>127</v>
      </c>
      <c r="D141" s="13" t="str">
        <f>HYPERLINK("https://www.marklines.com/en/global/10758","Audi AG, IN-Campus Technology Park GmbH (Ingolstadt)")</f>
        <v>Audi AG, IN-Campus Technology Park GmbH (Ingolstadt)</v>
      </c>
      <c r="E141" s="12" t="s">
        <v>1537</v>
      </c>
      <c r="F141" s="12" t="s">
        <v>17</v>
      </c>
      <c r="G141" s="12" t="s">
        <v>21</v>
      </c>
      <c r="H141" s="12"/>
      <c r="I141" s="14">
        <v>45184</v>
      </c>
      <c r="J141" s="12" t="s">
        <v>1538</v>
      </c>
    </row>
    <row r="142" spans="1:10" s="15" customFormat="1" x14ac:dyDescent="0.15">
      <c r="A142" s="11">
        <v>45189</v>
      </c>
      <c r="B142" s="12" t="s">
        <v>68</v>
      </c>
      <c r="C142" s="12" t="s">
        <v>68</v>
      </c>
      <c r="D142" s="13" t="str">
        <f>HYPERLINK("https://www.marklines.com/en/global/1343","Stellantis, Fiat Powertrain Technologies, Termoli Plant / Automotive Cell Company (ACC), Termoli Plant")</f>
        <v>Stellantis, Fiat Powertrain Technologies, Termoli Plant / Automotive Cell Company (ACC), Termoli Plant</v>
      </c>
      <c r="E142" s="12" t="s">
        <v>1539</v>
      </c>
      <c r="F142" s="12" t="s">
        <v>17</v>
      </c>
      <c r="G142" s="12" t="s">
        <v>70</v>
      </c>
      <c r="H142" s="12"/>
      <c r="I142" s="14">
        <v>45188</v>
      </c>
      <c r="J142" s="12" t="s">
        <v>1540</v>
      </c>
    </row>
    <row r="143" spans="1:10" s="15" customFormat="1" x14ac:dyDescent="0.15">
      <c r="A143" s="11">
        <v>45189</v>
      </c>
      <c r="B143" s="12" t="s">
        <v>24</v>
      </c>
      <c r="C143" s="12" t="s">
        <v>24</v>
      </c>
      <c r="D143" s="13" t="str">
        <f>HYPERLINK("https://www.marklines.com/en/global/1156","Tata Passenger Electric Mobility Limited (TPEML), Sanand Plant (formerly Ford India, Sanand Plant)")</f>
        <v>Tata Passenger Electric Mobility Limited (TPEML), Sanand Plant (formerly Ford India, Sanand Plant)</v>
      </c>
      <c r="E143" s="12" t="s">
        <v>1235</v>
      </c>
      <c r="F143" s="12" t="s">
        <v>25</v>
      </c>
      <c r="G143" s="12" t="s">
        <v>26</v>
      </c>
      <c r="H143" s="12" t="s">
        <v>95</v>
      </c>
      <c r="I143" s="14">
        <v>45188</v>
      </c>
      <c r="J143" s="12" t="s">
        <v>1541</v>
      </c>
    </row>
    <row r="144" spans="1:10" s="15" customFormat="1" x14ac:dyDescent="0.15">
      <c r="A144" s="11">
        <v>45189</v>
      </c>
      <c r="B144" s="12" t="s">
        <v>28</v>
      </c>
      <c r="C144" s="12" t="s">
        <v>488</v>
      </c>
      <c r="D144" s="13" t="str">
        <f>HYPERLINK("https://www.marklines.com/en/global/2243","Daimler Truck AG, Wörth Plant")</f>
        <v>Daimler Truck AG, Wörth Plant</v>
      </c>
      <c r="E144" s="12" t="s">
        <v>489</v>
      </c>
      <c r="F144" s="12" t="s">
        <v>17</v>
      </c>
      <c r="G144" s="12" t="s">
        <v>21</v>
      </c>
      <c r="H144" s="12"/>
      <c r="I144" s="14">
        <v>45187</v>
      </c>
      <c r="J144" s="12" t="s">
        <v>1542</v>
      </c>
    </row>
    <row r="145" spans="1:10" s="15" customFormat="1" x14ac:dyDescent="0.15">
      <c r="A145" s="11">
        <v>45189</v>
      </c>
      <c r="B145" s="12" t="s">
        <v>28</v>
      </c>
      <c r="C145" s="12" t="s">
        <v>488</v>
      </c>
      <c r="D145" s="13" t="str">
        <f>HYPERLINK("https://www.marklines.com/en/global/3051","Daimler Truck North America LLC (DTNA)")</f>
        <v>Daimler Truck North America LLC (DTNA)</v>
      </c>
      <c r="E145" s="12" t="s">
        <v>1543</v>
      </c>
      <c r="F145" s="12" t="s">
        <v>16</v>
      </c>
      <c r="G145" s="12" t="s">
        <v>11</v>
      </c>
      <c r="H145" s="12" t="s">
        <v>841</v>
      </c>
      <c r="I145" s="14">
        <v>45187</v>
      </c>
      <c r="J145" s="12" t="s">
        <v>1542</v>
      </c>
    </row>
    <row r="146" spans="1:10" s="15" customFormat="1" x14ac:dyDescent="0.15">
      <c r="A146" s="11">
        <v>45189</v>
      </c>
      <c r="B146" s="12" t="s">
        <v>90</v>
      </c>
      <c r="C146" s="12" t="s">
        <v>91</v>
      </c>
      <c r="D146" s="13" t="str">
        <f>HYPERLINK("https://www.marklines.com/en/global/10395","ADM-Jizzakh (Lada)")</f>
        <v>ADM-Jizzakh (Lada)</v>
      </c>
      <c r="E146" s="12" t="s">
        <v>330</v>
      </c>
      <c r="F146" s="12" t="s">
        <v>18</v>
      </c>
      <c r="G146" s="12" t="s">
        <v>181</v>
      </c>
      <c r="H146" s="12"/>
      <c r="I146" s="14">
        <v>45187</v>
      </c>
      <c r="J146" s="12" t="s">
        <v>1544</v>
      </c>
    </row>
    <row r="147" spans="1:10" s="15" customFormat="1" x14ac:dyDescent="0.15">
      <c r="A147" s="11">
        <v>45189</v>
      </c>
      <c r="B147" s="12" t="s">
        <v>62</v>
      </c>
      <c r="C147" s="12" t="s">
        <v>62</v>
      </c>
      <c r="D147" s="13" t="str">
        <f>HYPERLINK("https://www.marklines.com/en/global/3879","Chery Automobile Co., Ltd. ")</f>
        <v xml:space="preserve">Chery Automobile Co., Ltd. </v>
      </c>
      <c r="E147" s="12" t="s">
        <v>773</v>
      </c>
      <c r="F147" s="12" t="s">
        <v>20</v>
      </c>
      <c r="G147" s="12" t="s">
        <v>27</v>
      </c>
      <c r="H147" s="12" t="s">
        <v>326</v>
      </c>
      <c r="I147" s="14">
        <v>45185</v>
      </c>
      <c r="J147" s="12" t="s">
        <v>1545</v>
      </c>
    </row>
    <row r="148" spans="1:10" s="15" customFormat="1" x14ac:dyDescent="0.15">
      <c r="A148" s="11">
        <v>45189</v>
      </c>
      <c r="B148" s="12" t="s">
        <v>29</v>
      </c>
      <c r="C148" s="12" t="s">
        <v>1546</v>
      </c>
      <c r="D148" s="13" t="str">
        <f>HYPERLINK("https://www.marklines.com/en/global/3895","Hanma Technology Group Co.,Ltd.  (formerly Hualing Xingma Automobile (Group) Co., Ltd.)")</f>
        <v>Hanma Technology Group Co.,Ltd.  (formerly Hualing Xingma Automobile (Group) Co., Ltd.)</v>
      </c>
      <c r="E148" s="12" t="s">
        <v>1547</v>
      </c>
      <c r="F148" s="12" t="s">
        <v>20</v>
      </c>
      <c r="G148" s="12" t="s">
        <v>27</v>
      </c>
      <c r="H148" s="12" t="s">
        <v>326</v>
      </c>
      <c r="I148" s="14">
        <v>45185</v>
      </c>
      <c r="J148" s="12" t="s">
        <v>1548</v>
      </c>
    </row>
    <row r="149" spans="1:10" s="15" customFormat="1" x14ac:dyDescent="0.15">
      <c r="A149" s="11">
        <v>45189</v>
      </c>
      <c r="B149" s="12" t="s">
        <v>29</v>
      </c>
      <c r="C149" s="12" t="s">
        <v>1546</v>
      </c>
      <c r="D149" s="13" t="str">
        <f>HYPERLINK("https://www.marklines.com/en/global/3893","Anhui Hualing Automobile Co., Ltd.")</f>
        <v>Anhui Hualing Automobile Co., Ltd.</v>
      </c>
      <c r="E149" s="12" t="s">
        <v>1549</v>
      </c>
      <c r="F149" s="12" t="s">
        <v>20</v>
      </c>
      <c r="G149" s="12" t="s">
        <v>27</v>
      </c>
      <c r="H149" s="12" t="s">
        <v>326</v>
      </c>
      <c r="I149" s="14">
        <v>45185</v>
      </c>
      <c r="J149" s="12" t="s">
        <v>1548</v>
      </c>
    </row>
    <row r="150" spans="1:10" s="15" customFormat="1" x14ac:dyDescent="0.15">
      <c r="A150" s="11">
        <v>45189</v>
      </c>
      <c r="B150" s="12" t="s">
        <v>43</v>
      </c>
      <c r="C150" s="12" t="s">
        <v>127</v>
      </c>
      <c r="D150" s="13" t="str">
        <f>HYPERLINK("https://www.marklines.com/en/global/10758","Audi AG, IN-Campus Technology Park GmbH (Ingolstadt)")</f>
        <v>Audi AG, IN-Campus Technology Park GmbH (Ingolstadt)</v>
      </c>
      <c r="E150" s="12" t="s">
        <v>1537</v>
      </c>
      <c r="F150" s="12" t="s">
        <v>17</v>
      </c>
      <c r="G150" s="12" t="s">
        <v>21</v>
      </c>
      <c r="H150" s="12"/>
      <c r="I150" s="14">
        <v>45184</v>
      </c>
      <c r="J150" s="12" t="s">
        <v>1550</v>
      </c>
    </row>
    <row r="151" spans="1:10" s="15" customFormat="1" x14ac:dyDescent="0.15">
      <c r="A151" s="11">
        <v>45189</v>
      </c>
      <c r="B151" s="12" t="s">
        <v>43</v>
      </c>
      <c r="C151" s="12" t="s">
        <v>1301</v>
      </c>
      <c r="D151" s="13" t="str">
        <f>HYPERLINK("https://www.marklines.com/en/global/10758","Audi AG, IN-Campus Technology Park GmbH (Ingolstadt)")</f>
        <v>Audi AG, IN-Campus Technology Park GmbH (Ingolstadt)</v>
      </c>
      <c r="E151" s="12" t="s">
        <v>1537</v>
      </c>
      <c r="F151" s="12" t="s">
        <v>17</v>
      </c>
      <c r="G151" s="12" t="s">
        <v>21</v>
      </c>
      <c r="H151" s="12"/>
      <c r="I151" s="14">
        <v>45184</v>
      </c>
      <c r="J151" s="12" t="s">
        <v>1550</v>
      </c>
    </row>
    <row r="152" spans="1:10" s="15" customFormat="1" x14ac:dyDescent="0.15">
      <c r="A152" s="11">
        <v>45189</v>
      </c>
      <c r="B152" s="12" t="s">
        <v>679</v>
      </c>
      <c r="C152" s="12" t="s">
        <v>679</v>
      </c>
      <c r="D152" s="13" t="str">
        <f>HYPERLINK("https://www.marklines.com/en/global/10356","Anhui Jianghuai Automobile Group Co., Ltd. Car Branch")</f>
        <v>Anhui Jianghuai Automobile Group Co., Ltd. Car Branch</v>
      </c>
      <c r="E152" s="12" t="s">
        <v>1242</v>
      </c>
      <c r="F152" s="12" t="s">
        <v>20</v>
      </c>
      <c r="G152" s="12" t="s">
        <v>27</v>
      </c>
      <c r="H152" s="12" t="s">
        <v>326</v>
      </c>
      <c r="I152" s="14">
        <v>45184</v>
      </c>
      <c r="J152" s="12" t="s">
        <v>1551</v>
      </c>
    </row>
    <row r="153" spans="1:10" s="15" customFormat="1" x14ac:dyDescent="0.15">
      <c r="A153" s="11">
        <v>45189</v>
      </c>
      <c r="B153" s="12" t="s">
        <v>13</v>
      </c>
      <c r="C153" s="12" t="s">
        <v>718</v>
      </c>
      <c r="D153" s="13" t="str">
        <f>HYPERLINK("https://www.marklines.com/en/global/10638","Tangshan Sky-well New Energy Automobile Co., Ltd.")</f>
        <v>Tangshan Sky-well New Energy Automobile Co., Ltd.</v>
      </c>
      <c r="E153" s="12" t="s">
        <v>1158</v>
      </c>
      <c r="F153" s="12" t="s">
        <v>20</v>
      </c>
      <c r="G153" s="12" t="s">
        <v>27</v>
      </c>
      <c r="H153" s="12" t="s">
        <v>557</v>
      </c>
      <c r="I153" s="14">
        <v>45184</v>
      </c>
      <c r="J153" s="12" t="s">
        <v>1552</v>
      </c>
    </row>
    <row r="154" spans="1:10" s="15" customFormat="1" x14ac:dyDescent="0.15">
      <c r="A154" s="11">
        <v>45189</v>
      </c>
      <c r="B154" s="12" t="s">
        <v>13</v>
      </c>
      <c r="C154" s="12" t="s">
        <v>718</v>
      </c>
      <c r="D154" s="13" t="str">
        <f>HYPERLINK("https://www.marklines.com/en/global/10327","Jiangsu Skywell Automobile Co., Ltd.")</f>
        <v>Jiangsu Skywell Automobile Co., Ltd.</v>
      </c>
      <c r="E154" s="12" t="s">
        <v>719</v>
      </c>
      <c r="F154" s="12" t="s">
        <v>20</v>
      </c>
      <c r="G154" s="12" t="s">
        <v>27</v>
      </c>
      <c r="H154" s="12" t="s">
        <v>52</v>
      </c>
      <c r="I154" s="14">
        <v>45184</v>
      </c>
      <c r="J154" s="12" t="s">
        <v>1552</v>
      </c>
    </row>
    <row r="155" spans="1:10" s="15" customFormat="1" x14ac:dyDescent="0.15">
      <c r="A155" s="11">
        <v>45189</v>
      </c>
      <c r="B155" s="12" t="s">
        <v>13</v>
      </c>
      <c r="C155" s="12" t="s">
        <v>718</v>
      </c>
      <c r="D155" s="13" t="str">
        <f>HYPERLINK("https://www.marklines.com/en/global/3749","Nanjing Golden Dragon Bus Co., Ltd.")</f>
        <v>Nanjing Golden Dragon Bus Co., Ltd.</v>
      </c>
      <c r="E155" s="12" t="s">
        <v>721</v>
      </c>
      <c r="F155" s="12" t="s">
        <v>20</v>
      </c>
      <c r="G155" s="12" t="s">
        <v>27</v>
      </c>
      <c r="H155" s="12" t="s">
        <v>52</v>
      </c>
      <c r="I155" s="14">
        <v>45184</v>
      </c>
      <c r="J155" s="12" t="s">
        <v>1552</v>
      </c>
    </row>
    <row r="156" spans="1:10" s="15" customFormat="1" x14ac:dyDescent="0.15">
      <c r="A156" s="11">
        <v>45189</v>
      </c>
      <c r="B156" s="12" t="s">
        <v>470</v>
      </c>
      <c r="C156" s="12" t="s">
        <v>470</v>
      </c>
      <c r="D156" s="13" t="str">
        <f>HYPERLINK("https://www.marklines.com/en/global/10357","Jianglai Advanced Manufacturing Technology (Anhui) Co., Ltd. (formerly Anhui Jianghuai Automobile Group Corp., Ltd. New Energy Passenger Vehicle Branch First Plant)")</f>
        <v>Jianglai Advanced Manufacturing Technology (Anhui) Co., Ltd. (formerly Anhui Jianghuai Automobile Group Corp., Ltd. New Energy Passenger Vehicle Branch First Plant)</v>
      </c>
      <c r="E156" s="12" t="s">
        <v>1553</v>
      </c>
      <c r="F156" s="12" t="s">
        <v>20</v>
      </c>
      <c r="G156" s="12" t="s">
        <v>27</v>
      </c>
      <c r="H156" s="12" t="s">
        <v>326</v>
      </c>
      <c r="I156" s="14">
        <v>45184</v>
      </c>
      <c r="J156" s="12" t="s">
        <v>1554</v>
      </c>
    </row>
    <row r="157" spans="1:10" s="15" customFormat="1" x14ac:dyDescent="0.15">
      <c r="A157" s="11">
        <v>45189</v>
      </c>
      <c r="B157" s="12" t="s">
        <v>29</v>
      </c>
      <c r="C157" s="12" t="s">
        <v>29</v>
      </c>
      <c r="D157" s="13" t="str">
        <f>HYPERLINK("https://www.marklines.com/en/global/3837","Zhejiang Haoqing Automotive Manufacturing Co.,Ltd.")</f>
        <v>Zhejiang Haoqing Automotive Manufacturing Co.,Ltd.</v>
      </c>
      <c r="E157" s="12" t="s">
        <v>757</v>
      </c>
      <c r="F157" s="12" t="s">
        <v>20</v>
      </c>
      <c r="G157" s="12" t="s">
        <v>27</v>
      </c>
      <c r="H157" s="12" t="s">
        <v>51</v>
      </c>
      <c r="I157" s="14">
        <v>45184</v>
      </c>
      <c r="J157" s="12" t="s">
        <v>1555</v>
      </c>
    </row>
    <row r="158" spans="1:10" s="15" customFormat="1" x14ac:dyDescent="0.15">
      <c r="A158" s="11">
        <v>45189</v>
      </c>
      <c r="B158" s="12" t="s">
        <v>29</v>
      </c>
      <c r="C158" s="12" t="s">
        <v>29</v>
      </c>
      <c r="D158" s="13" t="str">
        <f>HYPERLINK("https://www.marklines.com/en/global/3807","Zhejiang Geely Holding Group Co., Ltd.")</f>
        <v>Zhejiang Geely Holding Group Co., Ltd.</v>
      </c>
      <c r="E158" s="12" t="s">
        <v>76</v>
      </c>
      <c r="F158" s="12" t="s">
        <v>20</v>
      </c>
      <c r="G158" s="12" t="s">
        <v>27</v>
      </c>
      <c r="H158" s="12" t="s">
        <v>51</v>
      </c>
      <c r="I158" s="14">
        <v>45184</v>
      </c>
      <c r="J158" s="12" t="s">
        <v>1556</v>
      </c>
    </row>
    <row r="159" spans="1:10" s="15" customFormat="1" x14ac:dyDescent="0.15">
      <c r="A159" s="11">
        <v>45189</v>
      </c>
      <c r="B159" s="12" t="s">
        <v>437</v>
      </c>
      <c r="C159" s="12" t="s">
        <v>853</v>
      </c>
      <c r="D159" s="13" t="str">
        <f>HYPERLINK("https://www.marklines.com/en/global/9165","Dongfeng Motor (Wuhan) Co., Ltd. (formerly Dongfeng Renault Automotive  Co., Ltd.) ")</f>
        <v xml:space="preserve">Dongfeng Motor (Wuhan) Co., Ltd. (formerly Dongfeng Renault Automotive  Co., Ltd.) </v>
      </c>
      <c r="E159" s="12" t="s">
        <v>854</v>
      </c>
      <c r="F159" s="12" t="s">
        <v>20</v>
      </c>
      <c r="G159" s="12" t="s">
        <v>27</v>
      </c>
      <c r="H159" s="12" t="s">
        <v>46</v>
      </c>
      <c r="I159" s="14">
        <v>45183</v>
      </c>
      <c r="J159" s="12" t="s">
        <v>1557</v>
      </c>
    </row>
    <row r="160" spans="1:10" s="15" customFormat="1" x14ac:dyDescent="0.15">
      <c r="A160" s="11">
        <v>45189</v>
      </c>
      <c r="B160" s="12" t="s">
        <v>41</v>
      </c>
      <c r="C160" s="12" t="s">
        <v>41</v>
      </c>
      <c r="D160" s="13" t="str">
        <f>HYPERLINK("https://www.marklines.com/en/global/3735","Nanjing Automobile(Group)Corporation")</f>
        <v>Nanjing Automobile(Group)Corporation</v>
      </c>
      <c r="E160" s="12" t="s">
        <v>1225</v>
      </c>
      <c r="F160" s="12" t="s">
        <v>20</v>
      </c>
      <c r="G160" s="12" t="s">
        <v>27</v>
      </c>
      <c r="H160" s="12" t="s">
        <v>52</v>
      </c>
      <c r="I160" s="14">
        <v>45183</v>
      </c>
      <c r="J160" s="12" t="s">
        <v>1558</v>
      </c>
    </row>
    <row r="161" spans="1:10" s="15" customFormat="1" x14ac:dyDescent="0.15">
      <c r="A161" s="11">
        <v>45189</v>
      </c>
      <c r="B161" s="12" t="s">
        <v>41</v>
      </c>
      <c r="C161" s="12" t="s">
        <v>41</v>
      </c>
      <c r="D161" s="13" t="str">
        <f>HYPERLINK("https://www.marklines.com/en/global/9481","SAIC Motor Corporation Limited Passenger Vehicle Zhengzhou Branch")</f>
        <v>SAIC Motor Corporation Limited Passenger Vehicle Zhengzhou Branch</v>
      </c>
      <c r="E161" s="12" t="s">
        <v>84</v>
      </c>
      <c r="F161" s="12" t="s">
        <v>20</v>
      </c>
      <c r="G161" s="12" t="s">
        <v>27</v>
      </c>
      <c r="H161" s="12" t="s">
        <v>47</v>
      </c>
      <c r="I161" s="14">
        <v>45183</v>
      </c>
      <c r="J161" s="12" t="s">
        <v>1558</v>
      </c>
    </row>
    <row r="162" spans="1:10" s="15" customFormat="1" x14ac:dyDescent="0.15">
      <c r="A162" s="11">
        <v>45189</v>
      </c>
      <c r="B162" s="12" t="s">
        <v>41</v>
      </c>
      <c r="C162" s="12" t="s">
        <v>41</v>
      </c>
      <c r="D162" s="13" t="str">
        <f>HYPERLINK("https://www.marklines.com/en/global/3611","SAIC Motor Passenger Vehicle Co., Ltd. Lingang Plant")</f>
        <v>SAIC Motor Passenger Vehicle Co., Ltd. Lingang Plant</v>
      </c>
      <c r="E162" s="12" t="s">
        <v>875</v>
      </c>
      <c r="F162" s="12" t="s">
        <v>20</v>
      </c>
      <c r="G162" s="12" t="s">
        <v>27</v>
      </c>
      <c r="H162" s="12" t="s">
        <v>106</v>
      </c>
      <c r="I162" s="14">
        <v>45183</v>
      </c>
      <c r="J162" s="12" t="s">
        <v>1558</v>
      </c>
    </row>
    <row r="163" spans="1:10" s="15" customFormat="1" x14ac:dyDescent="0.15">
      <c r="A163" s="11">
        <v>45189</v>
      </c>
      <c r="B163" s="12" t="s">
        <v>41</v>
      </c>
      <c r="C163" s="12" t="s">
        <v>41</v>
      </c>
      <c r="D163" s="13" t="str">
        <f>HYPERLINK("https://www.marklines.com/en/global/9814","SAIC Motor Corporation Limited Passenger Vehicle Fujian Branch")</f>
        <v>SAIC Motor Corporation Limited Passenger Vehicle Fujian Branch</v>
      </c>
      <c r="E163" s="12" t="s">
        <v>1290</v>
      </c>
      <c r="F163" s="12" t="s">
        <v>20</v>
      </c>
      <c r="G163" s="12" t="s">
        <v>27</v>
      </c>
      <c r="H163" s="12" t="s">
        <v>123</v>
      </c>
      <c r="I163" s="14">
        <v>45183</v>
      </c>
      <c r="J163" s="12" t="s">
        <v>1558</v>
      </c>
    </row>
    <row r="164" spans="1:10" s="15" customFormat="1" x14ac:dyDescent="0.15">
      <c r="A164" s="11">
        <v>45189</v>
      </c>
      <c r="B164" s="12" t="s">
        <v>148</v>
      </c>
      <c r="C164" s="12" t="s">
        <v>148</v>
      </c>
      <c r="D164" s="13" t="str">
        <f>HYPERLINK("https://www.marklines.com/en/global/503","Mazda Motor, Hiroshima Plant")</f>
        <v>Mazda Motor, Hiroshima Plant</v>
      </c>
      <c r="E164" s="12" t="s">
        <v>150</v>
      </c>
      <c r="F164" s="12" t="s">
        <v>20</v>
      </c>
      <c r="G164" s="12" t="s">
        <v>23</v>
      </c>
      <c r="H164" s="12" t="s">
        <v>151</v>
      </c>
      <c r="I164" s="14">
        <v>45183</v>
      </c>
      <c r="J164" s="12" t="s">
        <v>1559</v>
      </c>
    </row>
    <row r="165" spans="1:10" s="15" customFormat="1" x14ac:dyDescent="0.15">
      <c r="A165" s="11">
        <v>45189</v>
      </c>
      <c r="B165" s="12" t="s">
        <v>533</v>
      </c>
      <c r="C165" s="12" t="s">
        <v>533</v>
      </c>
      <c r="D165" s="13" t="str">
        <f>HYPERLINK("https://www.marklines.com/en/global/3333","China FAW Group Co., Ltd.  (Formerly China FAW Group Corporation)")</f>
        <v>China FAW Group Co., Ltd.  (Formerly China FAW Group Corporation)</v>
      </c>
      <c r="E165" s="12" t="s">
        <v>546</v>
      </c>
      <c r="F165" s="12" t="s">
        <v>20</v>
      </c>
      <c r="G165" s="12" t="s">
        <v>27</v>
      </c>
      <c r="H165" s="12" t="s">
        <v>536</v>
      </c>
      <c r="I165" s="14">
        <v>45182</v>
      </c>
      <c r="J165" s="12" t="s">
        <v>1560</v>
      </c>
    </row>
    <row r="166" spans="1:10" s="15" customFormat="1" x14ac:dyDescent="0.15">
      <c r="A166" s="11">
        <v>45189</v>
      </c>
      <c r="B166" s="12" t="s">
        <v>53</v>
      </c>
      <c r="C166" s="12" t="s">
        <v>53</v>
      </c>
      <c r="D166" s="13" t="str">
        <f>HYPERLINK("https://www.marklines.com/en/global/3533","Great Wall Motor Company Limited (GWM)")</f>
        <v>Great Wall Motor Company Limited (GWM)</v>
      </c>
      <c r="E166" s="12" t="s">
        <v>556</v>
      </c>
      <c r="F166" s="12" t="s">
        <v>20</v>
      </c>
      <c r="G166" s="12" t="s">
        <v>27</v>
      </c>
      <c r="H166" s="12" t="s">
        <v>557</v>
      </c>
      <c r="I166" s="14">
        <v>45182</v>
      </c>
      <c r="J166" s="12" t="s">
        <v>1561</v>
      </c>
    </row>
    <row r="167" spans="1:10" s="15" customFormat="1" x14ac:dyDescent="0.15">
      <c r="A167" s="11">
        <v>45189</v>
      </c>
      <c r="B167" s="12" t="s">
        <v>29</v>
      </c>
      <c r="C167" s="12" t="s">
        <v>29</v>
      </c>
      <c r="D167" s="13" t="str">
        <f>HYPERLINK("https://www.marklines.com/en/global/3807","Zhejiang Geely Holding Group Co., Ltd.")</f>
        <v>Zhejiang Geely Holding Group Co., Ltd.</v>
      </c>
      <c r="E167" s="12" t="s">
        <v>76</v>
      </c>
      <c r="F167" s="12" t="s">
        <v>20</v>
      </c>
      <c r="G167" s="12" t="s">
        <v>27</v>
      </c>
      <c r="H167" s="12" t="s">
        <v>51</v>
      </c>
      <c r="I167" s="14">
        <v>45182</v>
      </c>
      <c r="J167" s="12" t="s">
        <v>1562</v>
      </c>
    </row>
    <row r="168" spans="1:10" s="15" customFormat="1" x14ac:dyDescent="0.15">
      <c r="A168" s="11">
        <v>45189</v>
      </c>
      <c r="B168" s="12" t="s">
        <v>109</v>
      </c>
      <c r="C168" s="12" t="s">
        <v>109</v>
      </c>
      <c r="D168" s="13" t="str">
        <f>HYPERLINK("https://www.marklines.com/en/global/10441","BYD Automobile Co., Ltd. Changzhou Branch")</f>
        <v>BYD Automobile Co., Ltd. Changzhou Branch</v>
      </c>
      <c r="E168" s="12" t="s">
        <v>509</v>
      </c>
      <c r="F168" s="12" t="s">
        <v>20</v>
      </c>
      <c r="G168" s="12" t="s">
        <v>27</v>
      </c>
      <c r="H168" s="12" t="s">
        <v>52</v>
      </c>
      <c r="I168" s="14">
        <v>45182</v>
      </c>
      <c r="J168" s="12" t="s">
        <v>1563</v>
      </c>
    </row>
    <row r="169" spans="1:10" s="15" customFormat="1" x14ac:dyDescent="0.15">
      <c r="A169" s="11">
        <v>45189</v>
      </c>
      <c r="B169" s="12" t="s">
        <v>109</v>
      </c>
      <c r="C169" s="12" t="s">
        <v>109</v>
      </c>
      <c r="D169" s="13" t="str">
        <f>HYPERLINK("https://www.marklines.com/en/global/4269","BYD Automobile Co., Ltd.")</f>
        <v>BYD Automobile Co., Ltd.</v>
      </c>
      <c r="E169" s="12" t="s">
        <v>1423</v>
      </c>
      <c r="F169" s="12" t="s">
        <v>20</v>
      </c>
      <c r="G169" s="12" t="s">
        <v>27</v>
      </c>
      <c r="H169" s="12" t="s">
        <v>1424</v>
      </c>
      <c r="I169" s="14">
        <v>45182</v>
      </c>
      <c r="J169" s="12" t="s">
        <v>1563</v>
      </c>
    </row>
    <row r="170" spans="1:10" s="15" customFormat="1" x14ac:dyDescent="0.15">
      <c r="A170" s="11">
        <v>45189</v>
      </c>
      <c r="B170" s="12" t="s">
        <v>109</v>
      </c>
      <c r="C170" s="12" t="s">
        <v>109</v>
      </c>
      <c r="D170" s="13" t="str">
        <f>HYPERLINK("https://www.marklines.com/en/global/4043","BYD Automobile Industry Co., Ltd., Changsha Branch")</f>
        <v>BYD Automobile Industry Co., Ltd., Changsha Branch</v>
      </c>
      <c r="E170" s="12" t="s">
        <v>136</v>
      </c>
      <c r="F170" s="12" t="s">
        <v>20</v>
      </c>
      <c r="G170" s="12" t="s">
        <v>27</v>
      </c>
      <c r="H170" s="12" t="s">
        <v>112</v>
      </c>
      <c r="I170" s="14">
        <v>45182</v>
      </c>
      <c r="J170" s="12" t="s">
        <v>1564</v>
      </c>
    </row>
    <row r="171" spans="1:10" s="15" customFormat="1" x14ac:dyDescent="0.15">
      <c r="A171" s="11">
        <v>45189</v>
      </c>
      <c r="B171" s="12" t="s">
        <v>109</v>
      </c>
      <c r="C171" s="12" t="s">
        <v>109</v>
      </c>
      <c r="D171" s="13" t="str">
        <f>HYPERLINK("https://www.marklines.com/en/global/4125","BYD Automobile Industry Co., Ltd., Shenzhen Plant")</f>
        <v>BYD Automobile Industry Co., Ltd., Shenzhen Plant</v>
      </c>
      <c r="E171" s="12" t="s">
        <v>137</v>
      </c>
      <c r="F171" s="12" t="s">
        <v>20</v>
      </c>
      <c r="G171" s="12" t="s">
        <v>27</v>
      </c>
      <c r="H171" s="12" t="s">
        <v>31</v>
      </c>
      <c r="I171" s="14">
        <v>45182</v>
      </c>
      <c r="J171" s="12" t="s">
        <v>1564</v>
      </c>
    </row>
    <row r="172" spans="1:10" s="15" customFormat="1" x14ac:dyDescent="0.15">
      <c r="A172" s="11">
        <v>45189</v>
      </c>
      <c r="B172" s="12" t="s">
        <v>13</v>
      </c>
      <c r="C172" s="12" t="s">
        <v>718</v>
      </c>
      <c r="D172" s="13" t="str">
        <f>HYPERLINK("https://www.marklines.com/en/global/10327","Jiangsu Skywell Automobile Co., Ltd.")</f>
        <v>Jiangsu Skywell Automobile Co., Ltd.</v>
      </c>
      <c r="E172" s="12" t="s">
        <v>719</v>
      </c>
      <c r="F172" s="12" t="s">
        <v>20</v>
      </c>
      <c r="G172" s="12" t="s">
        <v>27</v>
      </c>
      <c r="H172" s="12" t="s">
        <v>52</v>
      </c>
      <c r="I172" s="14">
        <v>45181</v>
      </c>
      <c r="J172" s="12" t="s">
        <v>1565</v>
      </c>
    </row>
    <row r="173" spans="1:10" s="15" customFormat="1" x14ac:dyDescent="0.15">
      <c r="A173" s="11">
        <v>45189</v>
      </c>
      <c r="B173" s="12" t="s">
        <v>13</v>
      </c>
      <c r="C173" s="12" t="s">
        <v>718</v>
      </c>
      <c r="D173" s="13" t="str">
        <f>HYPERLINK("https://www.marklines.com/en/global/3749","Nanjing Golden Dragon Bus Co., Ltd.")</f>
        <v>Nanjing Golden Dragon Bus Co., Ltd.</v>
      </c>
      <c r="E173" s="12" t="s">
        <v>721</v>
      </c>
      <c r="F173" s="12" t="s">
        <v>20</v>
      </c>
      <c r="G173" s="12" t="s">
        <v>27</v>
      </c>
      <c r="H173" s="12" t="s">
        <v>52</v>
      </c>
      <c r="I173" s="14">
        <v>45181</v>
      </c>
      <c r="J173" s="12" t="s">
        <v>1565</v>
      </c>
    </row>
    <row r="174" spans="1:10" s="15" customFormat="1" x14ac:dyDescent="0.15">
      <c r="A174" s="11">
        <v>45189</v>
      </c>
      <c r="B174" s="12" t="s">
        <v>533</v>
      </c>
      <c r="C174" s="12" t="s">
        <v>533</v>
      </c>
      <c r="D174" s="13" t="str">
        <f>HYPERLINK("https://www.marklines.com/en/global/3349","FAW Jiefang Automotive Co., Ltd.")</f>
        <v>FAW Jiefang Automotive Co., Ltd.</v>
      </c>
      <c r="E174" s="12" t="s">
        <v>1566</v>
      </c>
      <c r="F174" s="12" t="s">
        <v>20</v>
      </c>
      <c r="G174" s="12" t="s">
        <v>27</v>
      </c>
      <c r="H174" s="12" t="s">
        <v>536</v>
      </c>
      <c r="I174" s="14">
        <v>45181</v>
      </c>
      <c r="J174" s="12" t="s">
        <v>1567</v>
      </c>
    </row>
    <row r="175" spans="1:10" s="15" customFormat="1" x14ac:dyDescent="0.15">
      <c r="A175" s="11">
        <v>45189</v>
      </c>
      <c r="B175" s="12" t="s">
        <v>28</v>
      </c>
      <c r="C175" s="12" t="s">
        <v>173</v>
      </c>
      <c r="D175" s="13" t="str">
        <f>HYPERLINK("https://www.marklines.com/en/global/581","Mitsubishi Fuso Truck and Bus, Kawasaki Plant")</f>
        <v>Mitsubishi Fuso Truck and Bus, Kawasaki Plant</v>
      </c>
      <c r="E175" s="12" t="s">
        <v>186</v>
      </c>
      <c r="F175" s="12" t="s">
        <v>20</v>
      </c>
      <c r="G175" s="12" t="s">
        <v>23</v>
      </c>
      <c r="H175" s="12" t="s">
        <v>132</v>
      </c>
      <c r="I175" s="14">
        <v>45181</v>
      </c>
      <c r="J175" s="12" t="s">
        <v>1568</v>
      </c>
    </row>
    <row r="176" spans="1:10" s="15" customFormat="1" x14ac:dyDescent="0.15">
      <c r="A176" s="11">
        <v>45189</v>
      </c>
      <c r="B176" s="12" t="s">
        <v>50</v>
      </c>
      <c r="C176" s="12" t="s">
        <v>50</v>
      </c>
      <c r="D176" s="13" t="str">
        <f>HYPERLINK("https://www.marklines.com/en/global/495","Suzuki Motor, Kosai Plant")</f>
        <v>Suzuki Motor, Kosai Plant</v>
      </c>
      <c r="E176" s="12" t="s">
        <v>1272</v>
      </c>
      <c r="F176" s="12" t="s">
        <v>20</v>
      </c>
      <c r="G176" s="12" t="s">
        <v>23</v>
      </c>
      <c r="H176" s="12" t="s">
        <v>827</v>
      </c>
      <c r="I176" s="14">
        <v>45177</v>
      </c>
      <c r="J176" s="12" t="s">
        <v>1569</v>
      </c>
    </row>
    <row r="177" spans="1:10" s="15" customFormat="1" x14ac:dyDescent="0.15">
      <c r="A177" s="11">
        <v>45189</v>
      </c>
      <c r="B177" s="12" t="s">
        <v>50</v>
      </c>
      <c r="C177" s="12" t="s">
        <v>50</v>
      </c>
      <c r="D177" s="13" t="str">
        <f>HYPERLINK("https://www.marklines.com/en/global/497","Suzuki Motor, Iwata Plant")</f>
        <v>Suzuki Motor, Iwata Plant</v>
      </c>
      <c r="E177" s="12" t="s">
        <v>1570</v>
      </c>
      <c r="F177" s="12" t="s">
        <v>20</v>
      </c>
      <c r="G177" s="12" t="s">
        <v>23</v>
      </c>
      <c r="H177" s="12" t="s">
        <v>827</v>
      </c>
      <c r="I177" s="14">
        <v>45177</v>
      </c>
      <c r="J177" s="12" t="s">
        <v>1569</v>
      </c>
    </row>
    <row r="178" spans="1:10" s="15" customFormat="1" x14ac:dyDescent="0.15">
      <c r="A178" s="11">
        <v>45189</v>
      </c>
      <c r="B178" s="12" t="s">
        <v>50</v>
      </c>
      <c r="C178" s="12" t="s">
        <v>50</v>
      </c>
      <c r="D178" s="13" t="str">
        <f>HYPERLINK("https://www.marklines.com/en/global/499","Suzuki Motor, Sagara Plant")</f>
        <v>Suzuki Motor, Sagara Plant</v>
      </c>
      <c r="E178" s="12" t="s">
        <v>1571</v>
      </c>
      <c r="F178" s="12" t="s">
        <v>20</v>
      </c>
      <c r="G178" s="12" t="s">
        <v>23</v>
      </c>
      <c r="H178" s="12" t="s">
        <v>827</v>
      </c>
      <c r="I178" s="14">
        <v>45177</v>
      </c>
      <c r="J178" s="12" t="s">
        <v>1569</v>
      </c>
    </row>
    <row r="179" spans="1:10" s="15" customFormat="1" x14ac:dyDescent="0.15">
      <c r="A179" s="11">
        <v>45189</v>
      </c>
      <c r="B179" s="12" t="s">
        <v>50</v>
      </c>
      <c r="C179" s="12" t="s">
        <v>50</v>
      </c>
      <c r="D179" s="13" t="str">
        <f>HYPERLINK("https://www.marklines.com/en/global/9138","Suzuki Motor, Hamamatsu Plant")</f>
        <v>Suzuki Motor, Hamamatsu Plant</v>
      </c>
      <c r="E179" s="12" t="s">
        <v>1572</v>
      </c>
      <c r="F179" s="12" t="s">
        <v>20</v>
      </c>
      <c r="G179" s="12" t="s">
        <v>23</v>
      </c>
      <c r="H179" s="12" t="s">
        <v>827</v>
      </c>
      <c r="I179" s="14">
        <v>45177</v>
      </c>
      <c r="J179" s="12" t="s">
        <v>1569</v>
      </c>
    </row>
    <row r="180" spans="1:10" s="15" customFormat="1" x14ac:dyDescent="0.15">
      <c r="A180" s="11">
        <v>45189</v>
      </c>
      <c r="B180" s="12" t="s">
        <v>50</v>
      </c>
      <c r="C180" s="12" t="s">
        <v>50</v>
      </c>
      <c r="D180" s="13" t="str">
        <f>HYPERLINK("https://www.marklines.com/en/global/10519","Suzuki Motor, Osuka Plant")</f>
        <v>Suzuki Motor, Osuka Plant</v>
      </c>
      <c r="E180" s="12" t="s">
        <v>1573</v>
      </c>
      <c r="F180" s="12" t="s">
        <v>20</v>
      </c>
      <c r="G180" s="12" t="s">
        <v>23</v>
      </c>
      <c r="H180" s="12" t="s">
        <v>827</v>
      </c>
      <c r="I180" s="14">
        <v>45177</v>
      </c>
      <c r="J180" s="12" t="s">
        <v>1569</v>
      </c>
    </row>
    <row r="181" spans="1:10" s="15" customFormat="1" x14ac:dyDescent="0.15">
      <c r="A181" s="11">
        <v>45189</v>
      </c>
      <c r="B181" s="12" t="s">
        <v>747</v>
      </c>
      <c r="C181" s="12" t="s">
        <v>747</v>
      </c>
      <c r="D181" s="13" t="str">
        <f>HYPERLINK("https://www.marklines.com/en/global/529","Subaru, Gunma Main Plant (Gunma Plant)")</f>
        <v>Subaru, Gunma Main Plant (Gunma Plant)</v>
      </c>
      <c r="E181" s="12" t="s">
        <v>1574</v>
      </c>
      <c r="F181" s="12" t="s">
        <v>20</v>
      </c>
      <c r="G181" s="12" t="s">
        <v>23</v>
      </c>
      <c r="H181" s="12" t="s">
        <v>1065</v>
      </c>
      <c r="I181" s="14">
        <v>45176</v>
      </c>
      <c r="J181" s="12" t="s">
        <v>1575</v>
      </c>
    </row>
    <row r="182" spans="1:10" s="15" customFormat="1" x14ac:dyDescent="0.15">
      <c r="A182" s="11">
        <v>45189</v>
      </c>
      <c r="B182" s="12" t="s">
        <v>100</v>
      </c>
      <c r="C182" s="12" t="s">
        <v>100</v>
      </c>
      <c r="D182" s="13" t="str">
        <f>HYPERLINK("https://www.marklines.com/en/global/10422","AESC Ibaraki Ltd. (Ibaraki Plant)")</f>
        <v>AESC Ibaraki Ltd. (Ibaraki Plant)</v>
      </c>
      <c r="E182" s="12" t="s">
        <v>310</v>
      </c>
      <c r="F182" s="12" t="s">
        <v>20</v>
      </c>
      <c r="G182" s="12" t="s">
        <v>23</v>
      </c>
      <c r="H182" s="12" t="s">
        <v>107</v>
      </c>
      <c r="I182" s="14">
        <v>45175</v>
      </c>
      <c r="J182" s="12" t="s">
        <v>1576</v>
      </c>
    </row>
    <row r="183" spans="1:10" s="15" customFormat="1" x14ac:dyDescent="0.15">
      <c r="A183" s="11">
        <v>45189</v>
      </c>
      <c r="B183" s="12" t="s">
        <v>41</v>
      </c>
      <c r="C183" s="12" t="s">
        <v>42</v>
      </c>
      <c r="D183" s="13" t="str">
        <f>HYPERLINK("https://www.marklines.com/en/global/7","China Motor, Yangmei Plant")</f>
        <v>China Motor, Yangmei Plant</v>
      </c>
      <c r="E183" s="12" t="s">
        <v>1577</v>
      </c>
      <c r="F183" s="12" t="s">
        <v>20</v>
      </c>
      <c r="G183" s="12" t="s">
        <v>787</v>
      </c>
      <c r="H183" s="12"/>
      <c r="I183" s="14">
        <v>45169</v>
      </c>
      <c r="J183" s="12" t="s">
        <v>1578</v>
      </c>
    </row>
    <row r="184" spans="1:10" s="15" customFormat="1" x14ac:dyDescent="0.15">
      <c r="A184" s="11">
        <v>45188</v>
      </c>
      <c r="B184" s="12" t="s">
        <v>22</v>
      </c>
      <c r="C184" s="12" t="s">
        <v>22</v>
      </c>
      <c r="D184" s="13" t="str">
        <f>HYPERLINK("https://www.marklines.com/en/global/1735","Toyota Motor Manufacturing Czech Republic (TMMCZ), Kolin Plant (formerly Toyota Peugeot Citroen Automobile Czech, s.r.o. (TPCA))")</f>
        <v>Toyota Motor Manufacturing Czech Republic (TMMCZ), Kolin Plant (formerly Toyota Peugeot Citroen Automobile Czech, s.r.o. (TPCA))</v>
      </c>
      <c r="E184" s="12" t="s">
        <v>1147</v>
      </c>
      <c r="F184" s="12" t="s">
        <v>18</v>
      </c>
      <c r="G184" s="12" t="s">
        <v>349</v>
      </c>
      <c r="H184" s="12"/>
      <c r="I184" s="14">
        <v>45188</v>
      </c>
      <c r="J184" s="12" t="s">
        <v>1579</v>
      </c>
    </row>
    <row r="185" spans="1:10" s="15" customFormat="1" x14ac:dyDescent="0.15">
      <c r="A185" s="11">
        <v>45188</v>
      </c>
      <c r="B185" s="12" t="s">
        <v>43</v>
      </c>
      <c r="C185" s="12" t="s">
        <v>77</v>
      </c>
      <c r="D185" s="13" t="str">
        <f>HYPERLINK("https://www.marklines.com/en/global/1679","MAN Bus Sp. z o.o. Starachowice Plant")</f>
        <v>MAN Bus Sp. z o.o. Starachowice Plant</v>
      </c>
      <c r="E185" s="12" t="s">
        <v>1580</v>
      </c>
      <c r="F185" s="12" t="s">
        <v>18</v>
      </c>
      <c r="G185" s="12" t="s">
        <v>32</v>
      </c>
      <c r="H185" s="12"/>
      <c r="I185" s="14">
        <v>45187</v>
      </c>
      <c r="J185" s="12" t="s">
        <v>1581</v>
      </c>
    </row>
    <row r="186" spans="1:10" s="15" customFormat="1" x14ac:dyDescent="0.15">
      <c r="A186" s="11">
        <v>45188</v>
      </c>
      <c r="B186" s="12" t="s">
        <v>60</v>
      </c>
      <c r="C186" s="12" t="s">
        <v>61</v>
      </c>
      <c r="D186" s="13" t="str">
        <f>HYPERLINK("https://www.marklines.com/en/global/3049","Mercedes-Benz U.S. International (MBUSI), Tuscaloosa (Vance) Plant")</f>
        <v>Mercedes-Benz U.S. International (MBUSI), Tuscaloosa (Vance) Plant</v>
      </c>
      <c r="E186" s="12" t="s">
        <v>1532</v>
      </c>
      <c r="F186" s="12" t="s">
        <v>16</v>
      </c>
      <c r="G186" s="12" t="s">
        <v>11</v>
      </c>
      <c r="H186" s="12" t="s">
        <v>974</v>
      </c>
      <c r="I186" s="14">
        <v>45187</v>
      </c>
      <c r="J186" s="12" t="s">
        <v>1582</v>
      </c>
    </row>
    <row r="187" spans="1:10" s="15" customFormat="1" x14ac:dyDescent="0.15">
      <c r="A187" s="11">
        <v>45188</v>
      </c>
      <c r="B187" s="12" t="s">
        <v>34</v>
      </c>
      <c r="C187" s="12" t="s">
        <v>34</v>
      </c>
      <c r="D187" s="13" t="str">
        <f>HYPERLINK("https://www.marklines.com/en/global/9812","Tesla (Shanghai) Co., Ltd.")</f>
        <v>Tesla (Shanghai) Co., Ltd.</v>
      </c>
      <c r="E187" s="12" t="s">
        <v>427</v>
      </c>
      <c r="F187" s="12" t="s">
        <v>20</v>
      </c>
      <c r="G187" s="12" t="s">
        <v>27</v>
      </c>
      <c r="H187" s="12" t="s">
        <v>106</v>
      </c>
      <c r="I187" s="14">
        <v>45185</v>
      </c>
      <c r="J187" s="12" t="s">
        <v>1583</v>
      </c>
    </row>
    <row r="188" spans="1:10" s="15" customFormat="1" x14ac:dyDescent="0.15">
      <c r="A188" s="11">
        <v>45188</v>
      </c>
      <c r="B188" s="12" t="s">
        <v>1584</v>
      </c>
      <c r="C188" s="12" t="s">
        <v>1584</v>
      </c>
      <c r="D188" s="13" t="str">
        <f>HYPERLINK("https://www.marklines.com/en/global/9982","VE Commercial Vehicles, Baggad Bus Assembly Plant")</f>
        <v>VE Commercial Vehicles, Baggad Bus Assembly Plant</v>
      </c>
      <c r="E188" s="12" t="s">
        <v>1585</v>
      </c>
      <c r="F188" s="12" t="s">
        <v>25</v>
      </c>
      <c r="G188" s="12" t="s">
        <v>26</v>
      </c>
      <c r="H188" s="12" t="s">
        <v>207</v>
      </c>
      <c r="I188" s="14">
        <v>45184</v>
      </c>
      <c r="J188" s="12" t="s">
        <v>1586</v>
      </c>
    </row>
    <row r="189" spans="1:10" s="15" customFormat="1" x14ac:dyDescent="0.15">
      <c r="A189" s="11">
        <v>45188</v>
      </c>
      <c r="B189" s="12" t="s">
        <v>65</v>
      </c>
      <c r="C189" s="12" t="s">
        <v>65</v>
      </c>
      <c r="D189" s="13" t="str">
        <f>HYPERLINK("https://www.marklines.com/en/global/9303","Hyundai Thanh Cong Vietnam (HTC), Ninh Binh Plant")</f>
        <v>Hyundai Thanh Cong Vietnam (HTC), Ninh Binh Plant</v>
      </c>
      <c r="E189" s="12" t="s">
        <v>958</v>
      </c>
      <c r="F189" s="12" t="s">
        <v>49</v>
      </c>
      <c r="G189" s="12" t="s">
        <v>709</v>
      </c>
      <c r="H189" s="12"/>
      <c r="I189" s="14">
        <v>45184</v>
      </c>
      <c r="J189" s="12" t="s">
        <v>1587</v>
      </c>
    </row>
    <row r="190" spans="1:10" s="15" customFormat="1" x14ac:dyDescent="0.15">
      <c r="A190" s="11">
        <v>45188</v>
      </c>
      <c r="B190" s="12" t="s">
        <v>12</v>
      </c>
      <c r="C190" s="12" t="s">
        <v>19</v>
      </c>
      <c r="D190" s="13" t="str">
        <f>HYPERLINK("https://www.marklines.com/en/global/2517","General Motors, Wentzville Assembly Plant")</f>
        <v>General Motors, Wentzville Assembly Plant</v>
      </c>
      <c r="E190" s="12" t="s">
        <v>405</v>
      </c>
      <c r="F190" s="12" t="s">
        <v>16</v>
      </c>
      <c r="G190" s="12" t="s">
        <v>11</v>
      </c>
      <c r="H190" s="12" t="s">
        <v>406</v>
      </c>
      <c r="I190" s="14">
        <v>45184</v>
      </c>
      <c r="J190" s="12" t="s">
        <v>1588</v>
      </c>
    </row>
    <row r="191" spans="1:10" s="15" customFormat="1" x14ac:dyDescent="0.15">
      <c r="A191" s="11">
        <v>45188</v>
      </c>
      <c r="B191" s="12" t="s">
        <v>12</v>
      </c>
      <c r="C191" s="12" t="s">
        <v>19</v>
      </c>
      <c r="D191" s="13" t="str">
        <f>HYPERLINK("https://www.marklines.com/en/global/2519","General Motors, Fairfax Assembly &amp; Stamping Plant")</f>
        <v>General Motors, Fairfax Assembly &amp; Stamping Plant</v>
      </c>
      <c r="E191" s="12" t="s">
        <v>1530</v>
      </c>
      <c r="F191" s="12" t="s">
        <v>16</v>
      </c>
      <c r="G191" s="12" t="s">
        <v>11</v>
      </c>
      <c r="H191" s="12" t="s">
        <v>1531</v>
      </c>
      <c r="I191" s="14">
        <v>45184</v>
      </c>
      <c r="J191" s="12" t="s">
        <v>1588</v>
      </c>
    </row>
    <row r="192" spans="1:10" s="15" customFormat="1" x14ac:dyDescent="0.15">
      <c r="A192" s="11">
        <v>45188</v>
      </c>
      <c r="B192" s="12" t="s">
        <v>12</v>
      </c>
      <c r="C192" s="12" t="s">
        <v>579</v>
      </c>
      <c r="D192" s="13" t="str">
        <f>HYPERLINK("https://www.marklines.com/en/global/2519","General Motors, Fairfax Assembly &amp; Stamping Plant")</f>
        <v>General Motors, Fairfax Assembly &amp; Stamping Plant</v>
      </c>
      <c r="E192" s="12" t="s">
        <v>1530</v>
      </c>
      <c r="F192" s="12" t="s">
        <v>16</v>
      </c>
      <c r="G192" s="12" t="s">
        <v>11</v>
      </c>
      <c r="H192" s="12" t="s">
        <v>1531</v>
      </c>
      <c r="I192" s="14">
        <v>45184</v>
      </c>
      <c r="J192" s="12" t="s">
        <v>1588</v>
      </c>
    </row>
    <row r="193" spans="1:10" s="15" customFormat="1" x14ac:dyDescent="0.15">
      <c r="A193" s="11">
        <v>45188</v>
      </c>
      <c r="B193" s="12" t="s">
        <v>12</v>
      </c>
      <c r="C193" s="12" t="s">
        <v>895</v>
      </c>
      <c r="D193" s="13" t="str">
        <f>HYPERLINK("https://www.marklines.com/en/global/2519","General Motors, Fairfax Assembly &amp; Stamping Plant")</f>
        <v>General Motors, Fairfax Assembly &amp; Stamping Plant</v>
      </c>
      <c r="E193" s="12" t="s">
        <v>1530</v>
      </c>
      <c r="F193" s="12" t="s">
        <v>16</v>
      </c>
      <c r="G193" s="12" t="s">
        <v>11</v>
      </c>
      <c r="H193" s="12" t="s">
        <v>1531</v>
      </c>
      <c r="I193" s="14">
        <v>45184</v>
      </c>
      <c r="J193" s="12" t="s">
        <v>1588</v>
      </c>
    </row>
    <row r="194" spans="1:10" s="15" customFormat="1" x14ac:dyDescent="0.15">
      <c r="A194" s="11">
        <v>45188</v>
      </c>
      <c r="B194" s="12" t="s">
        <v>12</v>
      </c>
      <c r="C194" s="12" t="s">
        <v>351</v>
      </c>
      <c r="D194" s="13" t="str">
        <f>HYPERLINK("https://www.marklines.com/en/global/2517","General Motors, Wentzville Assembly Plant")</f>
        <v>General Motors, Wentzville Assembly Plant</v>
      </c>
      <c r="E194" s="12" t="s">
        <v>405</v>
      </c>
      <c r="F194" s="12" t="s">
        <v>16</v>
      </c>
      <c r="G194" s="12" t="s">
        <v>11</v>
      </c>
      <c r="H194" s="12" t="s">
        <v>406</v>
      </c>
      <c r="I194" s="14">
        <v>45184</v>
      </c>
      <c r="J194" s="12" t="s">
        <v>1588</v>
      </c>
    </row>
    <row r="195" spans="1:10" s="15" customFormat="1" x14ac:dyDescent="0.15">
      <c r="A195" s="11">
        <v>45188</v>
      </c>
      <c r="B195" s="12" t="s">
        <v>12</v>
      </c>
      <c r="C195" s="12" t="s">
        <v>19</v>
      </c>
      <c r="D195" s="13" t="str">
        <f>HYPERLINK("https://www.marklines.com/en/global/2541","General Motors Canada, Ingersoll Plant")</f>
        <v>General Motors Canada, Ingersoll Plant</v>
      </c>
      <c r="E195" s="12" t="s">
        <v>584</v>
      </c>
      <c r="F195" s="12" t="s">
        <v>16</v>
      </c>
      <c r="G195" s="12" t="s">
        <v>82</v>
      </c>
      <c r="H195" s="12"/>
      <c r="I195" s="14">
        <v>45184</v>
      </c>
      <c r="J195" s="12" t="s">
        <v>1589</v>
      </c>
    </row>
    <row r="196" spans="1:10" s="15" customFormat="1" x14ac:dyDescent="0.15">
      <c r="A196" s="11">
        <v>45188</v>
      </c>
      <c r="B196" s="12" t="s">
        <v>12</v>
      </c>
      <c r="C196" s="12" t="s">
        <v>895</v>
      </c>
      <c r="D196" s="13" t="str">
        <f>HYPERLINK("https://www.marklines.com/en/global/9976","Ultium Cells LLC, Warren Plant ")</f>
        <v xml:space="preserve">Ultium Cells LLC, Warren Plant </v>
      </c>
      <c r="E196" s="12" t="s">
        <v>586</v>
      </c>
      <c r="F196" s="12" t="s">
        <v>16</v>
      </c>
      <c r="G196" s="12" t="s">
        <v>11</v>
      </c>
      <c r="H196" s="12" t="s">
        <v>587</v>
      </c>
      <c r="I196" s="14">
        <v>45184</v>
      </c>
      <c r="J196" s="12" t="s">
        <v>1589</v>
      </c>
    </row>
    <row r="197" spans="1:10" s="15" customFormat="1" x14ac:dyDescent="0.15">
      <c r="A197" s="11">
        <v>45188</v>
      </c>
      <c r="B197" s="12" t="s">
        <v>12</v>
      </c>
      <c r="C197" s="12" t="s">
        <v>351</v>
      </c>
      <c r="D197" s="13" t="str">
        <f>HYPERLINK("https://www.marklines.com/en/global/9976","Ultium Cells LLC, Warren Plant ")</f>
        <v xml:space="preserve">Ultium Cells LLC, Warren Plant </v>
      </c>
      <c r="E197" s="12" t="s">
        <v>586</v>
      </c>
      <c r="F197" s="12" t="s">
        <v>16</v>
      </c>
      <c r="G197" s="12" t="s">
        <v>11</v>
      </c>
      <c r="H197" s="12" t="s">
        <v>587</v>
      </c>
      <c r="I197" s="14">
        <v>45184</v>
      </c>
      <c r="J197" s="12" t="s">
        <v>1589</v>
      </c>
    </row>
    <row r="198" spans="1:10" s="15" customFormat="1" x14ac:dyDescent="0.15">
      <c r="A198" s="11">
        <v>45188</v>
      </c>
      <c r="B198" s="12" t="s">
        <v>65</v>
      </c>
      <c r="C198" s="12" t="s">
        <v>65</v>
      </c>
      <c r="D198" s="13" t="str">
        <f>HYPERLINK("https://www.marklines.com/en/global/9303","Hyundai Thanh Cong Vietnam (HTC), Ninh Binh Plant")</f>
        <v>Hyundai Thanh Cong Vietnam (HTC), Ninh Binh Plant</v>
      </c>
      <c r="E198" s="12" t="s">
        <v>958</v>
      </c>
      <c r="F198" s="12" t="s">
        <v>49</v>
      </c>
      <c r="G198" s="12" t="s">
        <v>709</v>
      </c>
      <c r="H198" s="12"/>
      <c r="I198" s="14">
        <v>45184</v>
      </c>
      <c r="J198" s="12" t="s">
        <v>1590</v>
      </c>
    </row>
    <row r="199" spans="1:10" s="15" customFormat="1" x14ac:dyDescent="0.15">
      <c r="A199" s="11">
        <v>45188</v>
      </c>
      <c r="B199" s="12" t="s">
        <v>374</v>
      </c>
      <c r="C199" s="12" t="s">
        <v>374</v>
      </c>
      <c r="D199" s="13" t="str">
        <f>HYPERLINK("https://www.marklines.com/en/global/2719","Volvo Buses, Uddevalla Plant")</f>
        <v>Volvo Buses, Uddevalla Plant</v>
      </c>
      <c r="E199" s="12" t="s">
        <v>1591</v>
      </c>
      <c r="F199" s="12" t="s">
        <v>17</v>
      </c>
      <c r="G199" s="12" t="s">
        <v>80</v>
      </c>
      <c r="H199" s="12"/>
      <c r="I199" s="14">
        <v>45183</v>
      </c>
      <c r="J199" s="12" t="s">
        <v>1592</v>
      </c>
    </row>
    <row r="200" spans="1:10" s="15" customFormat="1" x14ac:dyDescent="0.15">
      <c r="A200" s="11">
        <v>45188</v>
      </c>
      <c r="B200" s="12" t="s">
        <v>374</v>
      </c>
      <c r="C200" s="12" t="s">
        <v>374</v>
      </c>
      <c r="D200" s="13" t="str">
        <f>HYPERLINK("https://www.marklines.com/en/global/2707","Volvo Truck Corporation")</f>
        <v>Volvo Truck Corporation</v>
      </c>
      <c r="E200" s="12" t="s">
        <v>1593</v>
      </c>
      <c r="F200" s="12" t="s">
        <v>17</v>
      </c>
      <c r="G200" s="12" t="s">
        <v>80</v>
      </c>
      <c r="H200" s="12"/>
      <c r="I200" s="14">
        <v>45183</v>
      </c>
      <c r="J200" s="12" t="s">
        <v>1592</v>
      </c>
    </row>
    <row r="201" spans="1:10" s="15" customFormat="1" x14ac:dyDescent="0.15">
      <c r="A201" s="11">
        <v>45188</v>
      </c>
      <c r="B201" s="12" t="s">
        <v>374</v>
      </c>
      <c r="C201" s="12" t="s">
        <v>374</v>
      </c>
      <c r="D201" s="13" t="str">
        <f>HYPERLINK("https://www.marklines.com/en/global/2713","Volvo Bussar AB")</f>
        <v>Volvo Bussar AB</v>
      </c>
      <c r="E201" s="12" t="s">
        <v>1594</v>
      </c>
      <c r="F201" s="12" t="s">
        <v>17</v>
      </c>
      <c r="G201" s="12" t="s">
        <v>80</v>
      </c>
      <c r="H201" s="12"/>
      <c r="I201" s="14">
        <v>45183</v>
      </c>
      <c r="J201" s="12" t="s">
        <v>1592</v>
      </c>
    </row>
    <row r="202" spans="1:10" s="15" customFormat="1" x14ac:dyDescent="0.15">
      <c r="A202" s="11">
        <v>45188</v>
      </c>
      <c r="B202" s="12" t="s">
        <v>374</v>
      </c>
      <c r="C202" s="12" t="s">
        <v>374</v>
      </c>
      <c r="D202" s="13" t="str">
        <f>HYPERLINK("https://www.marklines.com/en/global/2715","Volvo Buses, Boras Plant")</f>
        <v>Volvo Buses, Boras Plant</v>
      </c>
      <c r="E202" s="12" t="s">
        <v>1595</v>
      </c>
      <c r="F202" s="12" t="s">
        <v>17</v>
      </c>
      <c r="G202" s="12" t="s">
        <v>80</v>
      </c>
      <c r="H202" s="12"/>
      <c r="I202" s="14">
        <v>45183</v>
      </c>
      <c r="J202" s="12" t="s">
        <v>1592</v>
      </c>
    </row>
    <row r="203" spans="1:10" s="15" customFormat="1" x14ac:dyDescent="0.15">
      <c r="A203" s="11">
        <v>45188</v>
      </c>
      <c r="B203" s="12" t="s">
        <v>374</v>
      </c>
      <c r="C203" s="12" t="s">
        <v>374</v>
      </c>
      <c r="D203" s="13" t="str">
        <f>HYPERLINK("https://www.marklines.com/en/global/2709","Volvo Trucks, Tuve (Göteborg) Plant")</f>
        <v>Volvo Trucks, Tuve (Göteborg) Plant</v>
      </c>
      <c r="E203" s="12" t="s">
        <v>1596</v>
      </c>
      <c r="F203" s="12" t="s">
        <v>17</v>
      </c>
      <c r="G203" s="12" t="s">
        <v>80</v>
      </c>
      <c r="H203" s="12"/>
      <c r="I203" s="14">
        <v>45183</v>
      </c>
      <c r="J203" s="12" t="s">
        <v>1592</v>
      </c>
    </row>
    <row r="204" spans="1:10" s="15" customFormat="1" x14ac:dyDescent="0.15">
      <c r="A204" s="11">
        <v>45188</v>
      </c>
      <c r="B204" s="12" t="s">
        <v>12</v>
      </c>
      <c r="C204" s="12" t="s">
        <v>19</v>
      </c>
      <c r="D204" s="13" t="str">
        <f>HYPERLINK("https://www.marklines.com/en/global/2517","General Motors, Wentzville Assembly Plant")</f>
        <v>General Motors, Wentzville Assembly Plant</v>
      </c>
      <c r="E204" s="12" t="s">
        <v>405</v>
      </c>
      <c r="F204" s="12" t="s">
        <v>16</v>
      </c>
      <c r="G204" s="12" t="s">
        <v>11</v>
      </c>
      <c r="H204" s="12" t="s">
        <v>406</v>
      </c>
      <c r="I204" s="14">
        <v>45183</v>
      </c>
      <c r="J204" s="12" t="s">
        <v>1597</v>
      </c>
    </row>
    <row r="205" spans="1:10" s="15" customFormat="1" x14ac:dyDescent="0.15">
      <c r="A205" s="11">
        <v>45188</v>
      </c>
      <c r="B205" s="12" t="s">
        <v>12</v>
      </c>
      <c r="C205" s="12" t="s">
        <v>351</v>
      </c>
      <c r="D205" s="13" t="str">
        <f>HYPERLINK("https://www.marklines.com/en/global/2517","General Motors, Wentzville Assembly Plant")</f>
        <v>General Motors, Wentzville Assembly Plant</v>
      </c>
      <c r="E205" s="12" t="s">
        <v>405</v>
      </c>
      <c r="F205" s="12" t="s">
        <v>16</v>
      </c>
      <c r="G205" s="12" t="s">
        <v>11</v>
      </c>
      <c r="H205" s="12" t="s">
        <v>406</v>
      </c>
      <c r="I205" s="14">
        <v>45183</v>
      </c>
      <c r="J205" s="12" t="s">
        <v>1597</v>
      </c>
    </row>
    <row r="206" spans="1:10" s="15" customFormat="1" x14ac:dyDescent="0.15">
      <c r="A206" s="11">
        <v>45188</v>
      </c>
      <c r="B206" s="12" t="s">
        <v>24</v>
      </c>
      <c r="C206" s="12" t="s">
        <v>24</v>
      </c>
      <c r="D206" s="13" t="str">
        <f>HYPERLINK("https://www.marklines.com/en/global/2569","Ford Motor, Michigan Assembly Plant")</f>
        <v>Ford Motor, Michigan Assembly Plant</v>
      </c>
      <c r="E206" s="12" t="s">
        <v>1511</v>
      </c>
      <c r="F206" s="12" t="s">
        <v>16</v>
      </c>
      <c r="G206" s="12" t="s">
        <v>11</v>
      </c>
      <c r="H206" s="12" t="s">
        <v>59</v>
      </c>
      <c r="I206" s="14">
        <v>45183</v>
      </c>
      <c r="J206" s="12" t="s">
        <v>1597</v>
      </c>
    </row>
    <row r="207" spans="1:10" s="15" customFormat="1" x14ac:dyDescent="0.15">
      <c r="A207" s="11">
        <v>45188</v>
      </c>
      <c r="B207" s="12" t="s">
        <v>133</v>
      </c>
      <c r="C207" s="12" t="s">
        <v>134</v>
      </c>
      <c r="D207" s="13" t="str">
        <f>HYPERLINK("https://www.marklines.com/en/global/2653","Stellantis, FCA US, Toledo Assembly Complex (Toledo North)")</f>
        <v>Stellantis, FCA US, Toledo Assembly Complex (Toledo North)</v>
      </c>
      <c r="E207" s="12" t="s">
        <v>1526</v>
      </c>
      <c r="F207" s="12" t="s">
        <v>16</v>
      </c>
      <c r="G207" s="12" t="s">
        <v>11</v>
      </c>
      <c r="H207" s="12" t="s">
        <v>587</v>
      </c>
      <c r="I207" s="14">
        <v>45183</v>
      </c>
      <c r="J207" s="12" t="s">
        <v>1597</v>
      </c>
    </row>
    <row r="208" spans="1:10" s="15" customFormat="1" x14ac:dyDescent="0.15">
      <c r="A208" s="11">
        <v>45188</v>
      </c>
      <c r="B208" s="12" t="s">
        <v>133</v>
      </c>
      <c r="C208" s="12" t="s">
        <v>134</v>
      </c>
      <c r="D208" s="13" t="str">
        <f>HYPERLINK("https://www.marklines.com/en/global/2655","Stellantis, FCA US, Toledo Assembly Complex (Toledo Supplier Park)")</f>
        <v>Stellantis, FCA US, Toledo Assembly Complex (Toledo Supplier Park)</v>
      </c>
      <c r="E208" s="12" t="s">
        <v>1017</v>
      </c>
      <c r="F208" s="12" t="s">
        <v>16</v>
      </c>
      <c r="G208" s="12" t="s">
        <v>11</v>
      </c>
      <c r="H208" s="12" t="s">
        <v>587</v>
      </c>
      <c r="I208" s="14">
        <v>45183</v>
      </c>
      <c r="J208" s="12" t="s">
        <v>1597</v>
      </c>
    </row>
    <row r="209" spans="1:10" s="15" customFormat="1" x14ac:dyDescent="0.15">
      <c r="A209" s="11">
        <v>45188</v>
      </c>
      <c r="B209" s="12" t="s">
        <v>133</v>
      </c>
      <c r="C209" s="12" t="s">
        <v>731</v>
      </c>
      <c r="D209" s="13" t="str">
        <f>HYPERLINK("https://www.marklines.com/en/global/2655","Stellantis, FCA US, Toledo Assembly Complex (Toledo Supplier Park)")</f>
        <v>Stellantis, FCA US, Toledo Assembly Complex (Toledo Supplier Park)</v>
      </c>
      <c r="E209" s="12" t="s">
        <v>1017</v>
      </c>
      <c r="F209" s="12" t="s">
        <v>16</v>
      </c>
      <c r="G209" s="12" t="s">
        <v>11</v>
      </c>
      <c r="H209" s="12" t="s">
        <v>587</v>
      </c>
      <c r="I209" s="14">
        <v>45183</v>
      </c>
      <c r="J209" s="12" t="s">
        <v>1597</v>
      </c>
    </row>
    <row r="210" spans="1:10" s="15" customFormat="1" x14ac:dyDescent="0.15">
      <c r="A210" s="11">
        <v>45188</v>
      </c>
      <c r="B210" s="12" t="s">
        <v>13</v>
      </c>
      <c r="C210" s="12" t="s">
        <v>1598</v>
      </c>
      <c r="D210" s="13" t="str">
        <f>HYPERLINK("https://www.marklines.com/en/global/1440","Temsa Transportation Vehicles, Adana Plant (Formerly Temsa Termomekanik, Adana Plant)")</f>
        <v>Temsa Transportation Vehicles, Adana Plant (Formerly Temsa Termomekanik, Adana Plant)</v>
      </c>
      <c r="E210" s="12" t="s">
        <v>1599</v>
      </c>
      <c r="F210" s="12" t="s">
        <v>687</v>
      </c>
      <c r="G210" s="12" t="s">
        <v>688</v>
      </c>
      <c r="H210" s="12"/>
      <c r="I210" s="14">
        <v>45182</v>
      </c>
      <c r="J210" s="12" t="s">
        <v>1600</v>
      </c>
    </row>
    <row r="211" spans="1:10" s="15" customFormat="1" x14ac:dyDescent="0.15">
      <c r="A211" s="11">
        <v>45188</v>
      </c>
      <c r="B211" s="12" t="s">
        <v>13</v>
      </c>
      <c r="C211" s="12" t="s">
        <v>1601</v>
      </c>
      <c r="D211" s="13" t="str">
        <f>HYPERLINK("https://www.marklines.com/en/global/1386","CaetanoBus S.A., Vila Nova de Gaia Plant")</f>
        <v>CaetanoBus S.A., Vila Nova de Gaia Plant</v>
      </c>
      <c r="E211" s="12" t="s">
        <v>1602</v>
      </c>
      <c r="F211" s="12" t="s">
        <v>17</v>
      </c>
      <c r="G211" s="12" t="s">
        <v>1142</v>
      </c>
      <c r="H211" s="12"/>
      <c r="I211" s="14">
        <v>45182</v>
      </c>
      <c r="J211" s="12" t="s">
        <v>1600</v>
      </c>
    </row>
    <row r="212" spans="1:10" s="15" customFormat="1" x14ac:dyDescent="0.15">
      <c r="A212" s="11">
        <v>45188</v>
      </c>
      <c r="B212" s="12" t="s">
        <v>1108</v>
      </c>
      <c r="C212" s="12" t="s">
        <v>1108</v>
      </c>
      <c r="D212" s="13" t="str">
        <f>HYPERLINK("https://www.marklines.com/en/global/3035","Mullen Automotive (formerly Electric Last Mile Solutions, SERES Automotive, SF Motors, AM General), Mishawaka plant")</f>
        <v>Mullen Automotive (formerly Electric Last Mile Solutions, SERES Automotive, SF Motors, AM General), Mishawaka plant</v>
      </c>
      <c r="E212" s="12" t="s">
        <v>1603</v>
      </c>
      <c r="F212" s="12" t="s">
        <v>16</v>
      </c>
      <c r="G212" s="12" t="s">
        <v>11</v>
      </c>
      <c r="H212" s="12" t="s">
        <v>744</v>
      </c>
      <c r="I212" s="14">
        <v>45180</v>
      </c>
      <c r="J212" s="12" t="s">
        <v>1604</v>
      </c>
    </row>
    <row r="213" spans="1:10" s="15" customFormat="1" x14ac:dyDescent="0.15">
      <c r="A213" s="11">
        <v>45188</v>
      </c>
      <c r="B213" s="12" t="s">
        <v>1108</v>
      </c>
      <c r="C213" s="12" t="s">
        <v>1108</v>
      </c>
      <c r="D213" s="13" t="str">
        <f>HYPERLINK("https://www.marklines.com/en/global/10703","Mullen Automotive, Advanced Manufacturing Engineering Center (AMEC)")</f>
        <v>Mullen Automotive, Advanced Manufacturing Engineering Center (AMEC)</v>
      </c>
      <c r="E213" s="12" t="s">
        <v>1109</v>
      </c>
      <c r="F213" s="12" t="s">
        <v>16</v>
      </c>
      <c r="G213" s="12" t="s">
        <v>11</v>
      </c>
      <c r="H213" s="12" t="s">
        <v>520</v>
      </c>
      <c r="I213" s="14">
        <v>45180</v>
      </c>
      <c r="J213" s="12" t="s">
        <v>1604</v>
      </c>
    </row>
    <row r="214" spans="1:10" s="15" customFormat="1" x14ac:dyDescent="0.15">
      <c r="A214" s="11">
        <v>45187</v>
      </c>
      <c r="B214" s="12" t="s">
        <v>50</v>
      </c>
      <c r="C214" s="12" t="s">
        <v>50</v>
      </c>
      <c r="D214" s="13" t="str">
        <f>HYPERLINK("https://www.marklines.com/en/global/1255","Maruti Suzuki India Ltd. (MSIL), Manesar Plant")</f>
        <v>Maruti Suzuki India Ltd. (MSIL), Manesar Plant</v>
      </c>
      <c r="E214" s="12" t="s">
        <v>1376</v>
      </c>
      <c r="F214" s="12" t="s">
        <v>25</v>
      </c>
      <c r="G214" s="12" t="s">
        <v>26</v>
      </c>
      <c r="H214" s="12" t="s">
        <v>739</v>
      </c>
      <c r="I214" s="14">
        <v>45184</v>
      </c>
      <c r="J214" s="12" t="s">
        <v>1377</v>
      </c>
    </row>
    <row r="215" spans="1:10" s="15" customFormat="1" x14ac:dyDescent="0.15">
      <c r="A215" s="11">
        <v>45187</v>
      </c>
      <c r="B215" s="12" t="s">
        <v>50</v>
      </c>
      <c r="C215" s="12" t="s">
        <v>50</v>
      </c>
      <c r="D215" s="13" t="str">
        <f>HYPERLINK("https://www.marklines.com/en/global/1256","Suzuki Motor Gujarat Private Limited (SMG), Hansalpur plant")</f>
        <v>Suzuki Motor Gujarat Private Limited (SMG), Hansalpur plant</v>
      </c>
      <c r="E215" s="12" t="s">
        <v>223</v>
      </c>
      <c r="F215" s="12" t="s">
        <v>25</v>
      </c>
      <c r="G215" s="12" t="s">
        <v>26</v>
      </c>
      <c r="H215" s="12" t="s">
        <v>95</v>
      </c>
      <c r="I215" s="14">
        <v>45184</v>
      </c>
      <c r="J215" s="12" t="s">
        <v>1377</v>
      </c>
    </row>
    <row r="216" spans="1:10" s="15" customFormat="1" x14ac:dyDescent="0.15">
      <c r="A216" s="11">
        <v>45187</v>
      </c>
      <c r="B216" s="12" t="s">
        <v>43</v>
      </c>
      <c r="C216" s="12" t="s">
        <v>67</v>
      </c>
      <c r="D216" s="13" t="str">
        <f>HYPERLINK("https://www.marklines.com/en/global/1384","Volkswagen Autoeuropa Ltd., Setubal, Palmela Plant (formerly AutoEuropa Automoveis, Ltda.)")</f>
        <v>Volkswagen Autoeuropa Ltd., Setubal, Palmela Plant (formerly AutoEuropa Automoveis, Ltda.)</v>
      </c>
      <c r="E216" s="12" t="s">
        <v>1203</v>
      </c>
      <c r="F216" s="12" t="s">
        <v>17</v>
      </c>
      <c r="G216" s="12" t="s">
        <v>1142</v>
      </c>
      <c r="H216" s="12"/>
      <c r="I216" s="14">
        <v>45184</v>
      </c>
      <c r="J216" s="12" t="s">
        <v>1378</v>
      </c>
    </row>
    <row r="217" spans="1:10" s="15" customFormat="1" x14ac:dyDescent="0.15">
      <c r="A217" s="11">
        <v>45187</v>
      </c>
      <c r="B217" s="12" t="s">
        <v>100</v>
      </c>
      <c r="C217" s="12" t="s">
        <v>100</v>
      </c>
      <c r="D217" s="13" t="str">
        <f>HYPERLINK("https://www.marklines.com/en/global/10651","AESC, Extremadura Plant (formerly Envision AESC)")</f>
        <v>AESC, Extremadura Plant (formerly Envision AESC)</v>
      </c>
      <c r="E217" s="12" t="s">
        <v>1379</v>
      </c>
      <c r="F217" s="12" t="s">
        <v>17</v>
      </c>
      <c r="G217" s="12" t="s">
        <v>114</v>
      </c>
      <c r="H217" s="12"/>
      <c r="I217" s="14">
        <v>45184</v>
      </c>
      <c r="J217" s="12" t="s">
        <v>1380</v>
      </c>
    </row>
    <row r="218" spans="1:10" s="15" customFormat="1" x14ac:dyDescent="0.15">
      <c r="A218" s="11">
        <v>45187</v>
      </c>
      <c r="B218" s="12" t="s">
        <v>43</v>
      </c>
      <c r="C218" s="12" t="s">
        <v>599</v>
      </c>
      <c r="D218" s="13" t="str">
        <f>HYPERLINK("https://www.marklines.com/en/global/1955","SEAT S.A., Martorell Plant")</f>
        <v>SEAT S.A., Martorell Plant</v>
      </c>
      <c r="E218" s="12" t="s">
        <v>600</v>
      </c>
      <c r="F218" s="12" t="s">
        <v>17</v>
      </c>
      <c r="G218" s="12" t="s">
        <v>114</v>
      </c>
      <c r="H218" s="12"/>
      <c r="I218" s="14">
        <v>45184</v>
      </c>
      <c r="J218" s="12" t="s">
        <v>1381</v>
      </c>
    </row>
    <row r="219" spans="1:10" s="15" customFormat="1" x14ac:dyDescent="0.15">
      <c r="A219" s="11">
        <v>45187</v>
      </c>
      <c r="B219" s="12" t="s">
        <v>28</v>
      </c>
      <c r="C219" s="12" t="s">
        <v>233</v>
      </c>
      <c r="D219" s="13" t="str">
        <f>HYPERLINK("https://www.marklines.com/en/global/2139","Daimler Buses GmbH, Neu-Ulm Plant (formerly Evobus)")</f>
        <v>Daimler Buses GmbH, Neu-Ulm Plant (formerly Evobus)</v>
      </c>
      <c r="E219" s="12" t="s">
        <v>188</v>
      </c>
      <c r="F219" s="12" t="s">
        <v>17</v>
      </c>
      <c r="G219" s="12" t="s">
        <v>21</v>
      </c>
      <c r="H219" s="12"/>
      <c r="I219" s="14">
        <v>45183</v>
      </c>
      <c r="J219" s="12" t="s">
        <v>1382</v>
      </c>
    </row>
    <row r="220" spans="1:10" s="15" customFormat="1" x14ac:dyDescent="0.15">
      <c r="A220" s="11">
        <v>45187</v>
      </c>
      <c r="B220" s="12" t="s">
        <v>28</v>
      </c>
      <c r="C220" s="12" t="s">
        <v>488</v>
      </c>
      <c r="D220" s="13" t="str">
        <f>HYPERLINK("https://www.marklines.com/en/global/2243","Daimler Truck AG, Wörth Plant")</f>
        <v>Daimler Truck AG, Wörth Plant</v>
      </c>
      <c r="E220" s="12" t="s">
        <v>489</v>
      </c>
      <c r="F220" s="12" t="s">
        <v>17</v>
      </c>
      <c r="G220" s="12" t="s">
        <v>21</v>
      </c>
      <c r="H220" s="12"/>
      <c r="I220" s="14">
        <v>45183</v>
      </c>
      <c r="J220" s="12" t="s">
        <v>1382</v>
      </c>
    </row>
    <row r="221" spans="1:10" s="15" customFormat="1" x14ac:dyDescent="0.15">
      <c r="A221" s="11">
        <v>45187</v>
      </c>
      <c r="B221" s="12" t="s">
        <v>93</v>
      </c>
      <c r="C221" s="12" t="s">
        <v>93</v>
      </c>
      <c r="D221" s="13" t="str">
        <f>HYPERLINK("https://www.marklines.com/en/global/171","Renault S.A., Flins Plant - Refactory")</f>
        <v>Renault S.A., Flins Plant - Refactory</v>
      </c>
      <c r="E221" s="12" t="s">
        <v>1257</v>
      </c>
      <c r="F221" s="12" t="s">
        <v>17</v>
      </c>
      <c r="G221" s="12" t="s">
        <v>40</v>
      </c>
      <c r="H221" s="12"/>
      <c r="I221" s="14">
        <v>45183</v>
      </c>
      <c r="J221" s="12" t="s">
        <v>1383</v>
      </c>
    </row>
    <row r="222" spans="1:10" s="15" customFormat="1" x14ac:dyDescent="0.15">
      <c r="A222" s="11">
        <v>45187</v>
      </c>
      <c r="B222" s="12" t="s">
        <v>93</v>
      </c>
      <c r="C222" s="12" t="s">
        <v>93</v>
      </c>
      <c r="D222" s="13" t="str">
        <f>HYPERLINK("https://www.marklines.com/en/global/10412","PVI- Groupe Renault (Renault vehicle Innovation) (Gretz Armainvilliers)")</f>
        <v>PVI- Groupe Renault (Renault vehicle Innovation) (Gretz Armainvilliers)</v>
      </c>
      <c r="E222" s="12" t="s">
        <v>1384</v>
      </c>
      <c r="F222" s="12" t="s">
        <v>17</v>
      </c>
      <c r="G222" s="12" t="s">
        <v>40</v>
      </c>
      <c r="H222" s="12"/>
      <c r="I222" s="14">
        <v>45183</v>
      </c>
      <c r="J222" s="12" t="s">
        <v>1383</v>
      </c>
    </row>
    <row r="223" spans="1:10" s="15" customFormat="1" x14ac:dyDescent="0.15">
      <c r="A223" s="11">
        <v>45187</v>
      </c>
      <c r="B223" s="12" t="s">
        <v>93</v>
      </c>
      <c r="C223" s="12" t="s">
        <v>93</v>
      </c>
      <c r="D223" s="13" t="str">
        <f>HYPERLINK("https://www.marklines.com/en/global/179","Renault S.A., Cléon Plant")</f>
        <v>Renault S.A., Cléon Plant</v>
      </c>
      <c r="E223" s="12" t="s">
        <v>1385</v>
      </c>
      <c r="F223" s="12" t="s">
        <v>17</v>
      </c>
      <c r="G223" s="12" t="s">
        <v>40</v>
      </c>
      <c r="H223" s="12"/>
      <c r="I223" s="14">
        <v>45183</v>
      </c>
      <c r="J223" s="12" t="s">
        <v>1383</v>
      </c>
    </row>
    <row r="224" spans="1:10" s="15" customFormat="1" x14ac:dyDescent="0.15">
      <c r="A224" s="11">
        <v>45187</v>
      </c>
      <c r="B224" s="12" t="s">
        <v>93</v>
      </c>
      <c r="C224" s="12" t="s">
        <v>93</v>
      </c>
      <c r="D224" s="13" t="str">
        <f>HYPERLINK("https://www.marklines.com/en/global/175","Renault S.A., Sandouville Plant")</f>
        <v>Renault S.A., Sandouville Plant</v>
      </c>
      <c r="E224" s="12" t="s">
        <v>1386</v>
      </c>
      <c r="F224" s="12" t="s">
        <v>17</v>
      </c>
      <c r="G224" s="12" t="s">
        <v>40</v>
      </c>
      <c r="H224" s="12"/>
      <c r="I224" s="14">
        <v>45183</v>
      </c>
      <c r="J224" s="12" t="s">
        <v>1383</v>
      </c>
    </row>
    <row r="225" spans="1:10" s="15" customFormat="1" x14ac:dyDescent="0.15">
      <c r="A225" s="11">
        <v>45187</v>
      </c>
      <c r="B225" s="12" t="s">
        <v>29</v>
      </c>
      <c r="C225" s="12" t="s">
        <v>29</v>
      </c>
      <c r="D225" s="13" t="str">
        <f>HYPERLINK("https://www.marklines.com/en/global/3807","Zhejiang Geely Holding Group Co., Ltd.")</f>
        <v>Zhejiang Geely Holding Group Co., Ltd.</v>
      </c>
      <c r="E225" s="12" t="s">
        <v>76</v>
      </c>
      <c r="F225" s="12" t="s">
        <v>20</v>
      </c>
      <c r="G225" s="12" t="s">
        <v>27</v>
      </c>
      <c r="H225" s="12" t="s">
        <v>51</v>
      </c>
      <c r="I225" s="14">
        <v>45182</v>
      </c>
      <c r="J225" s="12" t="s">
        <v>1387</v>
      </c>
    </row>
    <row r="226" spans="1:10" s="15" customFormat="1" x14ac:dyDescent="0.15">
      <c r="A226" s="11">
        <v>45187</v>
      </c>
      <c r="B226" s="12" t="s">
        <v>13</v>
      </c>
      <c r="C226" s="12" t="s">
        <v>1388</v>
      </c>
      <c r="D226" s="13" t="str">
        <f>HYPERLINK("https://www.marklines.com/en/global/10329","Baoneng Motor Group Co., Ltd.")</f>
        <v>Baoneng Motor Group Co., Ltd.</v>
      </c>
      <c r="E226" s="12" t="s">
        <v>1389</v>
      </c>
      <c r="F226" s="12" t="s">
        <v>20</v>
      </c>
      <c r="G226" s="12" t="s">
        <v>27</v>
      </c>
      <c r="H226" s="12" t="s">
        <v>31</v>
      </c>
      <c r="I226" s="14">
        <v>45182</v>
      </c>
      <c r="J226" s="12" t="s">
        <v>1390</v>
      </c>
    </row>
    <row r="227" spans="1:10" s="15" customFormat="1" x14ac:dyDescent="0.15">
      <c r="A227" s="11">
        <v>45187</v>
      </c>
      <c r="B227" s="12" t="s">
        <v>44</v>
      </c>
      <c r="C227" s="12" t="s">
        <v>44</v>
      </c>
      <c r="D227" s="13" t="str">
        <f>HYPERLINK("https://www.marklines.com/en/global/4073","Guangzhou Automobile Group Co., Ltd. (GAC)")</f>
        <v>Guangzhou Automobile Group Co., Ltd. (GAC)</v>
      </c>
      <c r="E227" s="12" t="s">
        <v>45</v>
      </c>
      <c r="F227" s="12" t="s">
        <v>20</v>
      </c>
      <c r="G227" s="12" t="s">
        <v>27</v>
      </c>
      <c r="H227" s="12" t="s">
        <v>31</v>
      </c>
      <c r="I227" s="14">
        <v>45181</v>
      </c>
      <c r="J227" s="12" t="s">
        <v>1391</v>
      </c>
    </row>
    <row r="228" spans="1:10" s="15" customFormat="1" x14ac:dyDescent="0.15">
      <c r="A228" s="11">
        <v>45187</v>
      </c>
      <c r="B228" s="12" t="s">
        <v>53</v>
      </c>
      <c r="C228" s="12" t="s">
        <v>53</v>
      </c>
      <c r="D228" s="13" t="str">
        <f>HYPERLINK("https://www.marklines.com/en/global/3533","Great Wall Motor Company Limited (GWM)")</f>
        <v>Great Wall Motor Company Limited (GWM)</v>
      </c>
      <c r="E228" s="12" t="s">
        <v>556</v>
      </c>
      <c r="F228" s="12" t="s">
        <v>20</v>
      </c>
      <c r="G228" s="12" t="s">
        <v>27</v>
      </c>
      <c r="H228" s="12" t="s">
        <v>557</v>
      </c>
      <c r="I228" s="14">
        <v>45181</v>
      </c>
      <c r="J228" s="12" t="s">
        <v>1392</v>
      </c>
    </row>
    <row r="229" spans="1:10" s="15" customFormat="1" x14ac:dyDescent="0.15">
      <c r="A229" s="11">
        <v>45187</v>
      </c>
      <c r="B229" s="12" t="s">
        <v>62</v>
      </c>
      <c r="C229" s="12" t="s">
        <v>62</v>
      </c>
      <c r="D229" s="13" t="str">
        <f>HYPERLINK("https://www.marklines.com/en/global/9390","Chery New Energy Automotive Co., Ltd. (Formerly Chery New Energy Technology Automotive Co., Ltd.)")</f>
        <v>Chery New Energy Automotive Co., Ltd. (Formerly Chery New Energy Technology Automotive Co., Ltd.)</v>
      </c>
      <c r="E229" s="12" t="s">
        <v>325</v>
      </c>
      <c r="F229" s="12" t="s">
        <v>20</v>
      </c>
      <c r="G229" s="12" t="s">
        <v>27</v>
      </c>
      <c r="H229" s="12" t="s">
        <v>326</v>
      </c>
      <c r="I229" s="14">
        <v>45181</v>
      </c>
      <c r="J229" s="12" t="s">
        <v>1393</v>
      </c>
    </row>
    <row r="230" spans="1:10" s="15" customFormat="1" x14ac:dyDescent="0.15">
      <c r="A230" s="11">
        <v>45187</v>
      </c>
      <c r="B230" s="12" t="s">
        <v>153</v>
      </c>
      <c r="C230" s="12" t="s">
        <v>153</v>
      </c>
      <c r="D230" s="13" t="str">
        <f>HYPERLINK("https://www.marklines.com/en/global/3907","Jiangling Motor Holding Co., Ltd. (JMH) (Landwind)")</f>
        <v>Jiangling Motor Holding Co., Ltd. (JMH) (Landwind)</v>
      </c>
      <c r="E230" s="12" t="s">
        <v>1210</v>
      </c>
      <c r="F230" s="12" t="s">
        <v>20</v>
      </c>
      <c r="G230" s="12" t="s">
        <v>27</v>
      </c>
      <c r="H230" s="12" t="s">
        <v>370</v>
      </c>
      <c r="I230" s="14">
        <v>45181</v>
      </c>
      <c r="J230" s="12" t="s">
        <v>1394</v>
      </c>
    </row>
    <row r="231" spans="1:10" s="15" customFormat="1" x14ac:dyDescent="0.15">
      <c r="A231" s="11">
        <v>45185</v>
      </c>
      <c r="B231" s="12" t="s">
        <v>156</v>
      </c>
      <c r="C231" s="12" t="s">
        <v>156</v>
      </c>
      <c r="D231" s="13" t="str">
        <f>HYPERLINK("https://www.marklines.com/en/global/10448","Nikola Coolidge Manufacturing Facility")</f>
        <v>Nikola Coolidge Manufacturing Facility</v>
      </c>
      <c r="E231" s="12" t="s">
        <v>354</v>
      </c>
      <c r="F231" s="12" t="s">
        <v>16</v>
      </c>
      <c r="G231" s="12" t="s">
        <v>11</v>
      </c>
      <c r="H231" s="12" t="s">
        <v>355</v>
      </c>
      <c r="I231" s="14">
        <v>45183</v>
      </c>
      <c r="J231" s="12" t="s">
        <v>1395</v>
      </c>
    </row>
    <row r="232" spans="1:10" s="15" customFormat="1" x14ac:dyDescent="0.15">
      <c r="A232" s="11">
        <v>45185</v>
      </c>
      <c r="B232" s="12" t="s">
        <v>68</v>
      </c>
      <c r="C232" s="12" t="s">
        <v>72</v>
      </c>
      <c r="D232" s="13" t="str">
        <f>HYPERLINK("https://www.marklines.com/en/global/2797","Stellantis, PSA Argentina, Buenos Aires (El Palomar) Plant")</f>
        <v>Stellantis, PSA Argentina, Buenos Aires (El Palomar) Plant</v>
      </c>
      <c r="E232" s="12" t="s">
        <v>1396</v>
      </c>
      <c r="F232" s="12" t="s">
        <v>74</v>
      </c>
      <c r="G232" s="12" t="s">
        <v>501</v>
      </c>
      <c r="H232" s="12"/>
      <c r="I232" s="14">
        <v>45183</v>
      </c>
      <c r="J232" s="12" t="s">
        <v>1397</v>
      </c>
    </row>
    <row r="233" spans="1:10" s="15" customFormat="1" x14ac:dyDescent="0.15">
      <c r="A233" s="11">
        <v>45185</v>
      </c>
      <c r="B233" s="12" t="s">
        <v>68</v>
      </c>
      <c r="C233" s="12" t="s">
        <v>72</v>
      </c>
      <c r="D233" s="13" t="str">
        <f>HYPERLINK("https://www.marklines.com/en/global/8835","Stellantis, Fiat Powertrain Technologies, Betim Plant")</f>
        <v>Stellantis, Fiat Powertrain Technologies, Betim Plant</v>
      </c>
      <c r="E233" s="12" t="s">
        <v>334</v>
      </c>
      <c r="F233" s="12" t="s">
        <v>74</v>
      </c>
      <c r="G233" s="12" t="s">
        <v>75</v>
      </c>
      <c r="H233" s="12"/>
      <c r="I233" s="14">
        <v>45183</v>
      </c>
      <c r="J233" s="12" t="s">
        <v>1397</v>
      </c>
    </row>
    <row r="234" spans="1:10" s="15" customFormat="1" x14ac:dyDescent="0.15">
      <c r="A234" s="11">
        <v>45184</v>
      </c>
      <c r="B234" s="12" t="s">
        <v>68</v>
      </c>
      <c r="C234" s="12" t="s">
        <v>887</v>
      </c>
      <c r="D234" s="13" t="str">
        <f>HYPERLINK("https://www.marklines.com/en/global/1939","Stellantis, Peugeot Citroen Automoviles Espana S.A., Vigo Plant")</f>
        <v>Stellantis, Peugeot Citroen Automoviles Espana S.A., Vigo Plant</v>
      </c>
      <c r="E234" s="12" t="s">
        <v>158</v>
      </c>
      <c r="F234" s="12" t="s">
        <v>17</v>
      </c>
      <c r="G234" s="12" t="s">
        <v>114</v>
      </c>
      <c r="H234" s="12"/>
      <c r="I234" s="14">
        <v>45184</v>
      </c>
      <c r="J234" s="12" t="s">
        <v>1398</v>
      </c>
    </row>
    <row r="235" spans="1:10" s="15" customFormat="1" x14ac:dyDescent="0.15">
      <c r="A235" s="11">
        <v>45184</v>
      </c>
      <c r="B235" s="12" t="s">
        <v>68</v>
      </c>
      <c r="C235" s="12" t="s">
        <v>1119</v>
      </c>
      <c r="D235" s="13" t="str">
        <f>HYPERLINK("https://www.marklines.com/en/global/1939","Stellantis, Peugeot Citroen Automoviles Espana S.A., Vigo Plant")</f>
        <v>Stellantis, Peugeot Citroen Automoviles Espana S.A., Vigo Plant</v>
      </c>
      <c r="E235" s="12" t="s">
        <v>158</v>
      </c>
      <c r="F235" s="12" t="s">
        <v>17</v>
      </c>
      <c r="G235" s="12" t="s">
        <v>114</v>
      </c>
      <c r="H235" s="12"/>
      <c r="I235" s="14">
        <v>45184</v>
      </c>
      <c r="J235" s="12" t="s">
        <v>1398</v>
      </c>
    </row>
    <row r="236" spans="1:10" s="15" customFormat="1" x14ac:dyDescent="0.15">
      <c r="A236" s="11">
        <v>45184</v>
      </c>
      <c r="B236" s="12" t="s">
        <v>68</v>
      </c>
      <c r="C236" s="12" t="s">
        <v>72</v>
      </c>
      <c r="D236" s="13" t="str">
        <f>HYPERLINK("https://www.marklines.com/en/global/1939","Stellantis, Peugeot Citroen Automoviles Espana S.A., Vigo Plant")</f>
        <v>Stellantis, Peugeot Citroen Automoviles Espana S.A., Vigo Plant</v>
      </c>
      <c r="E236" s="12" t="s">
        <v>158</v>
      </c>
      <c r="F236" s="12" t="s">
        <v>17</v>
      </c>
      <c r="G236" s="12" t="s">
        <v>114</v>
      </c>
      <c r="H236" s="12"/>
      <c r="I236" s="14">
        <v>45184</v>
      </c>
      <c r="J236" s="12" t="s">
        <v>1398</v>
      </c>
    </row>
    <row r="237" spans="1:10" s="15" customFormat="1" x14ac:dyDescent="0.15">
      <c r="A237" s="11">
        <v>45184</v>
      </c>
      <c r="B237" s="12" t="s">
        <v>68</v>
      </c>
      <c r="C237" s="12" t="s">
        <v>935</v>
      </c>
      <c r="D237" s="13" t="str">
        <f>HYPERLINK("https://www.marklines.com/en/global/1939","Stellantis, Peugeot Citroen Automoviles Espana S.A., Vigo Plant")</f>
        <v>Stellantis, Peugeot Citroen Automoviles Espana S.A., Vigo Plant</v>
      </c>
      <c r="E237" s="12" t="s">
        <v>158</v>
      </c>
      <c r="F237" s="12" t="s">
        <v>17</v>
      </c>
      <c r="G237" s="12" t="s">
        <v>114</v>
      </c>
      <c r="H237" s="12"/>
      <c r="I237" s="14">
        <v>45184</v>
      </c>
      <c r="J237" s="12" t="s">
        <v>1398</v>
      </c>
    </row>
    <row r="238" spans="1:10" s="15" customFormat="1" x14ac:dyDescent="0.15">
      <c r="A238" s="11">
        <v>45184</v>
      </c>
      <c r="B238" s="12" t="s">
        <v>68</v>
      </c>
      <c r="C238" s="12" t="s">
        <v>79</v>
      </c>
      <c r="D238" s="13" t="str">
        <f>HYPERLINK("https://www.marklines.com/en/global/1939","Stellantis, Peugeot Citroen Automoviles Espana S.A., Vigo Plant")</f>
        <v>Stellantis, Peugeot Citroen Automoviles Espana S.A., Vigo Plant</v>
      </c>
      <c r="E238" s="12" t="s">
        <v>158</v>
      </c>
      <c r="F238" s="12" t="s">
        <v>17</v>
      </c>
      <c r="G238" s="12" t="s">
        <v>114</v>
      </c>
      <c r="H238" s="12"/>
      <c r="I238" s="14">
        <v>45184</v>
      </c>
      <c r="J238" s="12" t="s">
        <v>1398</v>
      </c>
    </row>
    <row r="239" spans="1:10" s="15" customFormat="1" x14ac:dyDescent="0.15">
      <c r="A239" s="11">
        <v>45184</v>
      </c>
      <c r="B239" s="12" t="s">
        <v>93</v>
      </c>
      <c r="C239" s="12" t="s">
        <v>93</v>
      </c>
      <c r="D239" s="13" t="str">
        <f>HYPERLINK("https://www.marklines.com/en/global/10414","Verkor SA")</f>
        <v>Verkor SA</v>
      </c>
      <c r="E239" s="12" t="s">
        <v>97</v>
      </c>
      <c r="F239" s="12" t="s">
        <v>17</v>
      </c>
      <c r="G239" s="12" t="s">
        <v>40</v>
      </c>
      <c r="H239" s="12"/>
      <c r="I239" s="14">
        <v>45183</v>
      </c>
      <c r="J239" s="12" t="s">
        <v>1399</v>
      </c>
    </row>
    <row r="240" spans="1:10" s="15" customFormat="1" x14ac:dyDescent="0.15">
      <c r="A240" s="11">
        <v>45184</v>
      </c>
      <c r="B240" s="12" t="s">
        <v>93</v>
      </c>
      <c r="C240" s="12" t="s">
        <v>93</v>
      </c>
      <c r="D240" s="13" t="str">
        <f>HYPERLINK("https://www.marklines.com/en/global/10509","Verkor Gigafactory, Dunkirk Plant (tentative name)")</f>
        <v>Verkor Gigafactory, Dunkirk Plant (tentative name)</v>
      </c>
      <c r="E240" s="12" t="s">
        <v>98</v>
      </c>
      <c r="F240" s="12" t="s">
        <v>17</v>
      </c>
      <c r="G240" s="12" t="s">
        <v>40</v>
      </c>
      <c r="H240" s="12"/>
      <c r="I240" s="14">
        <v>45183</v>
      </c>
      <c r="J240" s="12" t="s">
        <v>1399</v>
      </c>
    </row>
    <row r="241" spans="1:10" s="15" customFormat="1" x14ac:dyDescent="0.15">
      <c r="A241" s="11">
        <v>45184</v>
      </c>
      <c r="B241" s="12" t="s">
        <v>374</v>
      </c>
      <c r="C241" s="12" t="s">
        <v>374</v>
      </c>
      <c r="D241" s="13" t="str">
        <f>HYPERLINK("https://www.marklines.com/en/global/1510","Volvo Europa Truck N.V., Gent (Ghent) Plant")</f>
        <v>Volvo Europa Truck N.V., Gent (Ghent) Plant</v>
      </c>
      <c r="E241" s="12" t="s">
        <v>1400</v>
      </c>
      <c r="F241" s="12" t="s">
        <v>17</v>
      </c>
      <c r="G241" s="12" t="s">
        <v>138</v>
      </c>
      <c r="H241" s="12"/>
      <c r="I241" s="14">
        <v>45183</v>
      </c>
      <c r="J241" s="12" t="s">
        <v>1401</v>
      </c>
    </row>
    <row r="242" spans="1:10" s="15" customFormat="1" x14ac:dyDescent="0.15">
      <c r="A242" s="11">
        <v>45184</v>
      </c>
      <c r="B242" s="12" t="s">
        <v>24</v>
      </c>
      <c r="C242" s="12" t="s">
        <v>24</v>
      </c>
      <c r="D242" s="13" t="str">
        <f>HYPERLINK("https://www.marklines.com/en/global/3909","Jiangling Motors Co., Ltd. Xiaolan Branch")</f>
        <v>Jiangling Motors Co., Ltd. Xiaolan Branch</v>
      </c>
      <c r="E242" s="12" t="s">
        <v>1104</v>
      </c>
      <c r="F242" s="12" t="s">
        <v>20</v>
      </c>
      <c r="G242" s="12" t="s">
        <v>27</v>
      </c>
      <c r="H242" s="12" t="s">
        <v>370</v>
      </c>
      <c r="I242" s="14">
        <v>45183</v>
      </c>
      <c r="J242" s="12" t="s">
        <v>1402</v>
      </c>
    </row>
    <row r="243" spans="1:10" s="15" customFormat="1" x14ac:dyDescent="0.15">
      <c r="A243" s="11">
        <v>45184</v>
      </c>
      <c r="B243" s="12" t="s">
        <v>93</v>
      </c>
      <c r="C243" s="12" t="s">
        <v>93</v>
      </c>
      <c r="D243" s="13" t="str">
        <f>HYPERLINK("https://www.marklines.com/en/global/1943","Renault Spain, Palencia Plant")</f>
        <v>Renault Spain, Palencia Plant</v>
      </c>
      <c r="E243" s="12" t="s">
        <v>1403</v>
      </c>
      <c r="F243" s="12" t="s">
        <v>17</v>
      </c>
      <c r="G243" s="12" t="s">
        <v>114</v>
      </c>
      <c r="H243" s="12"/>
      <c r="I243" s="14">
        <v>45182</v>
      </c>
      <c r="J243" s="12" t="s">
        <v>1404</v>
      </c>
    </row>
    <row r="244" spans="1:10" s="15" customFormat="1" x14ac:dyDescent="0.15">
      <c r="A244" s="11">
        <v>45184</v>
      </c>
      <c r="B244" s="12" t="s">
        <v>93</v>
      </c>
      <c r="C244" s="12" t="s">
        <v>93</v>
      </c>
      <c r="D244" s="13" t="str">
        <f>HYPERLINK("https://www.marklines.com/en/global/1947","Renault Spain, Valladolid Plant")</f>
        <v>Renault Spain, Valladolid Plant</v>
      </c>
      <c r="E244" s="12" t="s">
        <v>1405</v>
      </c>
      <c r="F244" s="12" t="s">
        <v>17</v>
      </c>
      <c r="G244" s="12" t="s">
        <v>114</v>
      </c>
      <c r="H244" s="12"/>
      <c r="I244" s="14">
        <v>45182</v>
      </c>
      <c r="J244" s="12" t="s">
        <v>1404</v>
      </c>
    </row>
    <row r="245" spans="1:10" s="15" customFormat="1" x14ac:dyDescent="0.15">
      <c r="A245" s="11">
        <v>45183</v>
      </c>
      <c r="B245" s="12" t="s">
        <v>68</v>
      </c>
      <c r="C245" s="12" t="s">
        <v>72</v>
      </c>
      <c r="D245" s="13" t="str">
        <f>HYPERLINK("https://www.marklines.com/en/global/1939","Stellantis, Peugeot Citroen Automoviles Espana S.A., Vigo Plant")</f>
        <v>Stellantis, Peugeot Citroen Automoviles Espana S.A., Vigo Plant</v>
      </c>
      <c r="E245" s="12" t="s">
        <v>158</v>
      </c>
      <c r="F245" s="12" t="s">
        <v>17</v>
      </c>
      <c r="G245" s="12" t="s">
        <v>114</v>
      </c>
      <c r="H245" s="12"/>
      <c r="I245" s="14">
        <v>45182</v>
      </c>
      <c r="J245" s="12" t="s">
        <v>1406</v>
      </c>
    </row>
    <row r="246" spans="1:10" s="15" customFormat="1" x14ac:dyDescent="0.15">
      <c r="A246" s="11">
        <v>45183</v>
      </c>
      <c r="B246" s="12" t="s">
        <v>68</v>
      </c>
      <c r="C246" s="12" t="s">
        <v>935</v>
      </c>
      <c r="D246" s="13" t="str">
        <f>HYPERLINK("https://www.marklines.com/en/global/1939","Stellantis, Peugeot Citroen Automoviles Espana S.A., Vigo Plant")</f>
        <v>Stellantis, Peugeot Citroen Automoviles Espana S.A., Vigo Plant</v>
      </c>
      <c r="E246" s="12" t="s">
        <v>158</v>
      </c>
      <c r="F246" s="12" t="s">
        <v>17</v>
      </c>
      <c r="G246" s="12" t="s">
        <v>114</v>
      </c>
      <c r="H246" s="12"/>
      <c r="I246" s="14">
        <v>45182</v>
      </c>
      <c r="J246" s="12" t="s">
        <v>1406</v>
      </c>
    </row>
    <row r="247" spans="1:10" s="15" customFormat="1" x14ac:dyDescent="0.15">
      <c r="A247" s="11">
        <v>45183</v>
      </c>
      <c r="B247" s="12" t="s">
        <v>43</v>
      </c>
      <c r="C247" s="12" t="s">
        <v>67</v>
      </c>
      <c r="D247" s="13" t="str">
        <f>HYPERLINK("https://www.marklines.com/en/global/2277","Volkswagen Sachsen GmbH, Zwickau/Mosel Plant")</f>
        <v>Volkswagen Sachsen GmbH, Zwickau/Mosel Plant</v>
      </c>
      <c r="E247" s="12" t="s">
        <v>1407</v>
      </c>
      <c r="F247" s="12" t="s">
        <v>17</v>
      </c>
      <c r="G247" s="12" t="s">
        <v>21</v>
      </c>
      <c r="H247" s="12"/>
      <c r="I247" s="14">
        <v>45182</v>
      </c>
      <c r="J247" s="12" t="s">
        <v>1408</v>
      </c>
    </row>
    <row r="248" spans="1:10" s="15" customFormat="1" x14ac:dyDescent="0.15">
      <c r="A248" s="11">
        <v>45183</v>
      </c>
      <c r="B248" s="12" t="s">
        <v>12</v>
      </c>
      <c r="C248" s="12" t="s">
        <v>351</v>
      </c>
      <c r="D248" s="13" t="str">
        <f>HYPERLINK("https://www.marklines.com/en/global/2473","General Motors, Lansing Delta Township Plant")</f>
        <v>General Motors, Lansing Delta Township Plant</v>
      </c>
      <c r="E248" s="12" t="s">
        <v>577</v>
      </c>
      <c r="F248" s="12" t="s">
        <v>16</v>
      </c>
      <c r="G248" s="12" t="s">
        <v>11</v>
      </c>
      <c r="H248" s="12" t="s">
        <v>59</v>
      </c>
      <c r="I248" s="14">
        <v>45182</v>
      </c>
      <c r="J248" s="12" t="s">
        <v>1409</v>
      </c>
    </row>
    <row r="249" spans="1:10" s="15" customFormat="1" x14ac:dyDescent="0.15">
      <c r="A249" s="11">
        <v>45183</v>
      </c>
      <c r="B249" s="12" t="s">
        <v>12</v>
      </c>
      <c r="C249" s="12" t="s">
        <v>895</v>
      </c>
      <c r="D249" s="13" t="str">
        <f>HYPERLINK("https://www.marklines.com/en/global/2475","General Motors, Lansing Grand River Plant")</f>
        <v>General Motors, Lansing Grand River Plant</v>
      </c>
      <c r="E249" s="12" t="s">
        <v>809</v>
      </c>
      <c r="F249" s="12" t="s">
        <v>16</v>
      </c>
      <c r="G249" s="12" t="s">
        <v>11</v>
      </c>
      <c r="H249" s="12" t="s">
        <v>59</v>
      </c>
      <c r="I249" s="14">
        <v>45182</v>
      </c>
      <c r="J249" s="12" t="s">
        <v>1410</v>
      </c>
    </row>
    <row r="250" spans="1:10" s="15" customFormat="1" x14ac:dyDescent="0.15">
      <c r="A250" s="11">
        <v>45183</v>
      </c>
      <c r="B250" s="12" t="s">
        <v>133</v>
      </c>
      <c r="C250" s="12" t="s">
        <v>134</v>
      </c>
      <c r="D250" s="13" t="str">
        <f>HYPERLINK("https://www.marklines.com/en/global/2655","Stellantis, FCA US, Toledo Assembly Complex (Toledo Supplier Park)")</f>
        <v>Stellantis, FCA US, Toledo Assembly Complex (Toledo Supplier Park)</v>
      </c>
      <c r="E250" s="12" t="s">
        <v>1017</v>
      </c>
      <c r="F250" s="12" t="s">
        <v>16</v>
      </c>
      <c r="G250" s="12" t="s">
        <v>11</v>
      </c>
      <c r="H250" s="12" t="s">
        <v>587</v>
      </c>
      <c r="I250" s="14">
        <v>45182</v>
      </c>
      <c r="J250" s="12" t="s">
        <v>1411</v>
      </c>
    </row>
    <row r="251" spans="1:10" s="15" customFormat="1" x14ac:dyDescent="0.15">
      <c r="A251" s="11">
        <v>45183</v>
      </c>
      <c r="B251" s="12" t="s">
        <v>65</v>
      </c>
      <c r="C251" s="12" t="s">
        <v>65</v>
      </c>
      <c r="D251" s="13" t="str">
        <f>HYPERLINK("https://www.marklines.com/en/global/9992","Hyundai America Technical Center, Inc. (Superior Twp)")</f>
        <v>Hyundai America Technical Center, Inc. (Superior Twp)</v>
      </c>
      <c r="E251" s="12" t="s">
        <v>1412</v>
      </c>
      <c r="F251" s="12" t="s">
        <v>16</v>
      </c>
      <c r="G251" s="12" t="s">
        <v>11</v>
      </c>
      <c r="H251" s="12" t="s">
        <v>59</v>
      </c>
      <c r="I251" s="14">
        <v>45181</v>
      </c>
      <c r="J251" s="12" t="s">
        <v>1413</v>
      </c>
    </row>
    <row r="252" spans="1:10" s="15" customFormat="1" x14ac:dyDescent="0.15">
      <c r="A252" s="11">
        <v>45183</v>
      </c>
      <c r="B252" s="12" t="s">
        <v>13</v>
      </c>
      <c r="C252" s="12" t="s">
        <v>1284</v>
      </c>
      <c r="D252" s="13" t="str">
        <f>HYPERLINK("https://www.marklines.com/en/global/9532","WM Motor Technology Group Co., Ltd.")</f>
        <v>WM Motor Technology Group Co., Ltd.</v>
      </c>
      <c r="E252" s="12" t="s">
        <v>1285</v>
      </c>
      <c r="F252" s="12" t="s">
        <v>20</v>
      </c>
      <c r="G252" s="12" t="s">
        <v>27</v>
      </c>
      <c r="H252" s="12" t="s">
        <v>106</v>
      </c>
      <c r="I252" s="14">
        <v>45180</v>
      </c>
      <c r="J252" s="12" t="s">
        <v>1414</v>
      </c>
    </row>
    <row r="253" spans="1:10" s="15" customFormat="1" x14ac:dyDescent="0.15">
      <c r="A253" s="11">
        <v>45183</v>
      </c>
      <c r="B253" s="12" t="s">
        <v>13</v>
      </c>
      <c r="C253" s="12" t="s">
        <v>1284</v>
      </c>
      <c r="D253" s="13" t="str">
        <f>HYPERLINK("https://www.marklines.com/en/global/9556","WM Motor Manufacturing Wenzhou Co., Ltd.")</f>
        <v>WM Motor Manufacturing Wenzhou Co., Ltd.</v>
      </c>
      <c r="E253" s="12" t="s">
        <v>1287</v>
      </c>
      <c r="F253" s="12" t="s">
        <v>20</v>
      </c>
      <c r="G253" s="12" t="s">
        <v>27</v>
      </c>
      <c r="H253" s="12" t="s">
        <v>51</v>
      </c>
      <c r="I253" s="14">
        <v>45180</v>
      </c>
      <c r="J253" s="12" t="s">
        <v>1414</v>
      </c>
    </row>
    <row r="254" spans="1:10" s="15" customFormat="1" x14ac:dyDescent="0.15">
      <c r="A254" s="11">
        <v>45183</v>
      </c>
      <c r="B254" s="12" t="s">
        <v>44</v>
      </c>
      <c r="C254" s="12" t="s">
        <v>1415</v>
      </c>
      <c r="D254" s="13" t="str">
        <f>HYPERLINK("https://www.marklines.com/en/global/3851"," GAC Motor (Hangzhou) Co., Ltd.")</f>
        <v xml:space="preserve"> GAC Motor (Hangzhou) Co., Ltd.</v>
      </c>
      <c r="E254" s="12" t="s">
        <v>1416</v>
      </c>
      <c r="F254" s="12" t="s">
        <v>20</v>
      </c>
      <c r="G254" s="12" t="s">
        <v>27</v>
      </c>
      <c r="H254" s="12" t="s">
        <v>51</v>
      </c>
      <c r="I254" s="14">
        <v>45179</v>
      </c>
      <c r="J254" s="12" t="s">
        <v>1417</v>
      </c>
    </row>
    <row r="255" spans="1:10" s="15" customFormat="1" x14ac:dyDescent="0.15">
      <c r="A255" s="11">
        <v>45183</v>
      </c>
      <c r="B255" s="12" t="s">
        <v>34</v>
      </c>
      <c r="C255" s="12" t="s">
        <v>34</v>
      </c>
      <c r="D255" s="13" t="str">
        <f>HYPERLINK("https://www.marklines.com/en/global/10671","Tesla Gigafactory Mexico")</f>
        <v>Tesla Gigafactory Mexico</v>
      </c>
      <c r="E255" s="12" t="s">
        <v>429</v>
      </c>
      <c r="F255" s="12" t="s">
        <v>16</v>
      </c>
      <c r="G255" s="12" t="s">
        <v>430</v>
      </c>
      <c r="H255" s="12"/>
      <c r="I255" s="14">
        <v>45176</v>
      </c>
      <c r="J255" s="12" t="s">
        <v>1418</v>
      </c>
    </row>
    <row r="256" spans="1:10" s="15" customFormat="1" x14ac:dyDescent="0.15">
      <c r="A256" s="11">
        <v>45183</v>
      </c>
      <c r="B256" s="12" t="s">
        <v>117</v>
      </c>
      <c r="C256" s="12" t="s">
        <v>117</v>
      </c>
      <c r="D256" s="13" t="str">
        <f>HYPERLINK("https://www.marklines.com/en/global/9486","Zhaoqing Xiaopeng New Energy Investment Co., Ltd. (Formerly : Guangzhou Xiaopeng Motors Technology Co., Ltd.  Zhaoqing Plant)")</f>
        <v>Zhaoqing Xiaopeng New Energy Investment Co., Ltd. (Formerly : Guangzhou Xiaopeng Motors Technology Co., Ltd.  Zhaoqing Plant)</v>
      </c>
      <c r="E256" s="12" t="s">
        <v>858</v>
      </c>
      <c r="F256" s="12" t="s">
        <v>20</v>
      </c>
      <c r="G256" s="12" t="s">
        <v>27</v>
      </c>
      <c r="H256" s="12" t="s">
        <v>37</v>
      </c>
      <c r="I256" s="14">
        <v>45176</v>
      </c>
      <c r="J256" s="12" t="s">
        <v>1419</v>
      </c>
    </row>
    <row r="257" spans="1:10" s="15" customFormat="1" x14ac:dyDescent="0.15">
      <c r="A257" s="11">
        <v>45183</v>
      </c>
      <c r="B257" s="12" t="s">
        <v>117</v>
      </c>
      <c r="C257" s="12" t="s">
        <v>117</v>
      </c>
      <c r="D257" s="13" t="str">
        <f>HYPERLINK("https://www.marklines.com/en/global/9485","Guangzhou Xiaopeng Motors Technology Co., Ltd. ")</f>
        <v xml:space="preserve">Guangzhou Xiaopeng Motors Technology Co., Ltd. </v>
      </c>
      <c r="E257" s="12" t="s">
        <v>859</v>
      </c>
      <c r="F257" s="12" t="s">
        <v>20</v>
      </c>
      <c r="G257" s="12" t="s">
        <v>27</v>
      </c>
      <c r="H257" s="12" t="s">
        <v>31</v>
      </c>
      <c r="I257" s="14">
        <v>45176</v>
      </c>
      <c r="J257" s="12" t="s">
        <v>1419</v>
      </c>
    </row>
    <row r="258" spans="1:10" s="15" customFormat="1" x14ac:dyDescent="0.15">
      <c r="A258" s="11">
        <v>45183</v>
      </c>
      <c r="B258" s="12" t="s">
        <v>53</v>
      </c>
      <c r="C258" s="12" t="s">
        <v>135</v>
      </c>
      <c r="D258" s="13" t="str">
        <f>HYPERLINK("https://www.marklines.com/en/global/3533","Great Wall Motor Company Limited (GWM)")</f>
        <v>Great Wall Motor Company Limited (GWM)</v>
      </c>
      <c r="E258" s="12" t="s">
        <v>556</v>
      </c>
      <c r="F258" s="12" t="s">
        <v>20</v>
      </c>
      <c r="G258" s="12" t="s">
        <v>27</v>
      </c>
      <c r="H258" s="12" t="s">
        <v>557</v>
      </c>
      <c r="I258" s="14">
        <v>45176</v>
      </c>
      <c r="J258" s="12" t="s">
        <v>1420</v>
      </c>
    </row>
    <row r="259" spans="1:10" s="15" customFormat="1" x14ac:dyDescent="0.15">
      <c r="A259" s="11">
        <v>45183</v>
      </c>
      <c r="B259" s="12" t="s">
        <v>53</v>
      </c>
      <c r="C259" s="12" t="s">
        <v>135</v>
      </c>
      <c r="D259" s="13" t="str">
        <f>HYPERLINK("https://www.marklines.com/en/global/9836","Great Wall Motor Co., Ltd. Xushui Branch")</f>
        <v>Great Wall Motor Co., Ltd. Xushui Branch</v>
      </c>
      <c r="E259" s="12" t="s">
        <v>699</v>
      </c>
      <c r="F259" s="12" t="s">
        <v>20</v>
      </c>
      <c r="G259" s="12" t="s">
        <v>27</v>
      </c>
      <c r="H259" s="12" t="s">
        <v>46</v>
      </c>
      <c r="I259" s="14">
        <v>45176</v>
      </c>
      <c r="J259" s="12" t="s">
        <v>1420</v>
      </c>
    </row>
    <row r="260" spans="1:10" s="15" customFormat="1" x14ac:dyDescent="0.15">
      <c r="A260" s="11">
        <v>45183</v>
      </c>
      <c r="B260" s="12" t="s">
        <v>53</v>
      </c>
      <c r="C260" s="12" t="s">
        <v>135</v>
      </c>
      <c r="D260" s="13" t="str">
        <f>HYPERLINK("https://www.marklines.com/en/global/3529","Great Wall Motor Co., Ltd. Tianjin Branch")</f>
        <v>Great Wall Motor Co., Ltd. Tianjin Branch</v>
      </c>
      <c r="E260" s="12" t="s">
        <v>1421</v>
      </c>
      <c r="F260" s="12" t="s">
        <v>20</v>
      </c>
      <c r="G260" s="12" t="s">
        <v>27</v>
      </c>
      <c r="H260" s="12" t="s">
        <v>805</v>
      </c>
      <c r="I260" s="14">
        <v>45176</v>
      </c>
      <c r="J260" s="12" t="s">
        <v>1420</v>
      </c>
    </row>
    <row r="261" spans="1:10" s="15" customFormat="1" x14ac:dyDescent="0.15">
      <c r="A261" s="11">
        <v>45183</v>
      </c>
      <c r="B261" s="12" t="s">
        <v>109</v>
      </c>
      <c r="C261" s="12" t="s">
        <v>109</v>
      </c>
      <c r="D261" s="13" t="str">
        <f>HYPERLINK("https://www.marklines.com/en/global/10441","BYD Automobile Co., Ltd. Changzhou Branch")</f>
        <v>BYD Automobile Co., Ltd. Changzhou Branch</v>
      </c>
      <c r="E261" s="12" t="s">
        <v>509</v>
      </c>
      <c r="F261" s="12" t="s">
        <v>20</v>
      </c>
      <c r="G261" s="12" t="s">
        <v>27</v>
      </c>
      <c r="H261" s="12" t="s">
        <v>52</v>
      </c>
      <c r="I261" s="14">
        <v>45168</v>
      </c>
      <c r="J261" s="12" t="s">
        <v>1422</v>
      </c>
    </row>
    <row r="262" spans="1:10" s="15" customFormat="1" x14ac:dyDescent="0.15">
      <c r="A262" s="11">
        <v>45183</v>
      </c>
      <c r="B262" s="12" t="s">
        <v>109</v>
      </c>
      <c r="C262" s="12" t="s">
        <v>109</v>
      </c>
      <c r="D262" s="13" t="str">
        <f>HYPERLINK("https://www.marklines.com/en/global/4269","BYD Automobile Co., Ltd.")</f>
        <v>BYD Automobile Co., Ltd.</v>
      </c>
      <c r="E262" s="12" t="s">
        <v>1423</v>
      </c>
      <c r="F262" s="12" t="s">
        <v>20</v>
      </c>
      <c r="G262" s="12" t="s">
        <v>27</v>
      </c>
      <c r="H262" s="12" t="s">
        <v>1424</v>
      </c>
      <c r="I262" s="14">
        <v>45168</v>
      </c>
      <c r="J262" s="12" t="s">
        <v>1422</v>
      </c>
    </row>
    <row r="263" spans="1:10" s="15" customFormat="1" x14ac:dyDescent="0.15">
      <c r="A263" s="11">
        <v>45183</v>
      </c>
      <c r="B263" s="12" t="s">
        <v>109</v>
      </c>
      <c r="C263" s="12" t="s">
        <v>109</v>
      </c>
      <c r="D263" s="13" t="str">
        <f>HYPERLINK("https://www.marklines.com/en/global/9500","BYD Co., Ltd.")</f>
        <v>BYD Co., Ltd.</v>
      </c>
      <c r="E263" s="12" t="s">
        <v>812</v>
      </c>
      <c r="F263" s="12" t="s">
        <v>20</v>
      </c>
      <c r="G263" s="12" t="s">
        <v>27</v>
      </c>
      <c r="H263" s="12" t="s">
        <v>31</v>
      </c>
      <c r="I263" s="14">
        <v>45168</v>
      </c>
      <c r="J263" s="12" t="s">
        <v>1422</v>
      </c>
    </row>
    <row r="264" spans="1:10" s="15" customFormat="1" x14ac:dyDescent="0.15">
      <c r="A264" s="11">
        <v>45183</v>
      </c>
      <c r="B264" s="12" t="s">
        <v>470</v>
      </c>
      <c r="C264" s="12" t="s">
        <v>470</v>
      </c>
      <c r="D264" s="13" t="str">
        <f>HYPERLINK("https://www.marklines.com/en/global/9503","Shanghai NIO Automobile Co., Ltd.")</f>
        <v>Shanghai NIO Automobile Co., Ltd.</v>
      </c>
      <c r="E264" s="12" t="s">
        <v>471</v>
      </c>
      <c r="F264" s="12" t="s">
        <v>20</v>
      </c>
      <c r="G264" s="12" t="s">
        <v>27</v>
      </c>
      <c r="H264" s="12" t="s">
        <v>106</v>
      </c>
      <c r="I264" s="14">
        <v>45154</v>
      </c>
      <c r="J264" s="12" t="s">
        <v>1425</v>
      </c>
    </row>
    <row r="265" spans="1:10" s="15" customFormat="1" x14ac:dyDescent="0.15">
      <c r="A265" s="11">
        <v>45182</v>
      </c>
      <c r="B265" s="12" t="s">
        <v>68</v>
      </c>
      <c r="C265" s="12" t="s">
        <v>72</v>
      </c>
      <c r="D265" s="13" t="str">
        <f>HYPERLINK("https://www.marklines.com/en/global/9974","Nidec PSA emotors")</f>
        <v>Nidec PSA emotors</v>
      </c>
      <c r="E265" s="12" t="s">
        <v>1426</v>
      </c>
      <c r="F265" s="12" t="s">
        <v>17</v>
      </c>
      <c r="G265" s="12" t="s">
        <v>40</v>
      </c>
      <c r="H265" s="12"/>
      <c r="I265" s="14">
        <v>45181</v>
      </c>
      <c r="J265" s="12" t="s">
        <v>1427</v>
      </c>
    </row>
    <row r="266" spans="1:10" s="15" customFormat="1" x14ac:dyDescent="0.15">
      <c r="A266" s="11">
        <v>45182</v>
      </c>
      <c r="B266" s="12" t="s">
        <v>68</v>
      </c>
      <c r="C266" s="12" t="s">
        <v>72</v>
      </c>
      <c r="D266" s="13" t="str">
        <f>HYPERLINK("https://www.marklines.com/en/global/143","Stellantis, PSA, Sochaux Plant")</f>
        <v>Stellantis, PSA, Sochaux Plant</v>
      </c>
      <c r="E266" s="12" t="s">
        <v>1428</v>
      </c>
      <c r="F266" s="12" t="s">
        <v>17</v>
      </c>
      <c r="G266" s="12" t="s">
        <v>40</v>
      </c>
      <c r="H266" s="12"/>
      <c r="I266" s="14">
        <v>45181</v>
      </c>
      <c r="J266" s="12" t="s">
        <v>1427</v>
      </c>
    </row>
    <row r="267" spans="1:10" s="15" customFormat="1" x14ac:dyDescent="0.15">
      <c r="A267" s="11">
        <v>45182</v>
      </c>
      <c r="B267" s="12" t="s">
        <v>68</v>
      </c>
      <c r="C267" s="12" t="s">
        <v>72</v>
      </c>
      <c r="D267" s="13" t="str">
        <f>HYPERLINK("https://www.marklines.com/en/global/139","Stellantis, PSA, Mulhouse Plant")</f>
        <v>Stellantis, PSA, Mulhouse Plant</v>
      </c>
      <c r="E267" s="12" t="s">
        <v>1429</v>
      </c>
      <c r="F267" s="12" t="s">
        <v>17</v>
      </c>
      <c r="G267" s="12" t="s">
        <v>40</v>
      </c>
      <c r="H267" s="12"/>
      <c r="I267" s="14">
        <v>45181</v>
      </c>
      <c r="J267" s="12" t="s">
        <v>1427</v>
      </c>
    </row>
    <row r="268" spans="1:10" s="15" customFormat="1" x14ac:dyDescent="0.15">
      <c r="A268" s="11">
        <v>45182</v>
      </c>
      <c r="B268" s="12" t="s">
        <v>68</v>
      </c>
      <c r="C268" s="12" t="s">
        <v>72</v>
      </c>
      <c r="D268" s="13" t="str">
        <f>HYPERLINK("https://www.marklines.com/en/global/159","Stellantis, PSA, Tremery Plant")</f>
        <v>Stellantis, PSA, Tremery Plant</v>
      </c>
      <c r="E268" s="12" t="s">
        <v>1430</v>
      </c>
      <c r="F268" s="12" t="s">
        <v>17</v>
      </c>
      <c r="G268" s="12" t="s">
        <v>40</v>
      </c>
      <c r="H268" s="12"/>
      <c r="I268" s="14">
        <v>45181</v>
      </c>
      <c r="J268" s="12" t="s">
        <v>1427</v>
      </c>
    </row>
    <row r="269" spans="1:10" s="15" customFormat="1" x14ac:dyDescent="0.15">
      <c r="A269" s="11">
        <v>45182</v>
      </c>
      <c r="B269" s="12" t="s">
        <v>93</v>
      </c>
      <c r="C269" s="12" t="s">
        <v>93</v>
      </c>
      <c r="D269" s="13" t="str">
        <f>HYPERLINK("https://www.marklines.com/en/global/175","Renault S.A., Sandouville Plant")</f>
        <v>Renault S.A., Sandouville Plant</v>
      </c>
      <c r="E269" s="12" t="s">
        <v>1386</v>
      </c>
      <c r="F269" s="12" t="s">
        <v>17</v>
      </c>
      <c r="G269" s="12" t="s">
        <v>40</v>
      </c>
      <c r="H269" s="12"/>
      <c r="I269" s="14">
        <v>45181</v>
      </c>
      <c r="J269" s="12" t="s">
        <v>1431</v>
      </c>
    </row>
    <row r="270" spans="1:10" s="15" customFormat="1" x14ac:dyDescent="0.15">
      <c r="A270" s="11">
        <v>45182</v>
      </c>
      <c r="B270" s="12" t="s">
        <v>24</v>
      </c>
      <c r="C270" s="12" t="s">
        <v>24</v>
      </c>
      <c r="D270" s="13" t="str">
        <f>HYPERLINK("https://www.marklines.com/en/global/2315","Ford Halewood Transmissions Ltd. (formerly Getrag Ford Transmission GmbH, Halewood Transmission Plant)")</f>
        <v>Ford Halewood Transmissions Ltd. (formerly Getrag Ford Transmission GmbH, Halewood Transmission Plant)</v>
      </c>
      <c r="E270" s="12" t="s">
        <v>1432</v>
      </c>
      <c r="F270" s="12" t="s">
        <v>17</v>
      </c>
      <c r="G270" s="12" t="s">
        <v>73</v>
      </c>
      <c r="H270" s="12"/>
      <c r="I270" s="14">
        <v>45181</v>
      </c>
      <c r="J270" s="12" t="s">
        <v>1433</v>
      </c>
    </row>
    <row r="271" spans="1:10" s="15" customFormat="1" x14ac:dyDescent="0.15">
      <c r="A271" s="11">
        <v>45182</v>
      </c>
      <c r="B271" s="12" t="s">
        <v>93</v>
      </c>
      <c r="C271" s="12" t="s">
        <v>93</v>
      </c>
      <c r="D271" s="13" t="str">
        <f>HYPERLINK("https://www.marklines.com/en/global/169","Renault S.A., Douai (Georges Besse) Plant")</f>
        <v>Renault S.A., Douai (Georges Besse) Plant</v>
      </c>
      <c r="E271" s="12" t="s">
        <v>345</v>
      </c>
      <c r="F271" s="12" t="s">
        <v>17</v>
      </c>
      <c r="G271" s="12" t="s">
        <v>40</v>
      </c>
      <c r="H271" s="12"/>
      <c r="I271" s="14">
        <v>45176</v>
      </c>
      <c r="J271" s="12" t="s">
        <v>1434</v>
      </c>
    </row>
    <row r="272" spans="1:10" s="15" customFormat="1" x14ac:dyDescent="0.15">
      <c r="A272" s="11">
        <v>45182</v>
      </c>
      <c r="B272" s="12" t="s">
        <v>68</v>
      </c>
      <c r="C272" s="12" t="s">
        <v>79</v>
      </c>
      <c r="D272" s="13" t="str">
        <f>HYPERLINK("https://www.marklines.com/en/global/1655","Stellantis, Fiat Auto Poland S.A., Tychy Plant")</f>
        <v>Stellantis, Fiat Auto Poland S.A., Tychy Plant</v>
      </c>
      <c r="E272" s="12" t="s">
        <v>81</v>
      </c>
      <c r="F272" s="12" t="s">
        <v>18</v>
      </c>
      <c r="G272" s="12" t="s">
        <v>32</v>
      </c>
      <c r="H272" s="12"/>
      <c r="I272" s="14">
        <v>45176</v>
      </c>
      <c r="J272" s="12" t="s">
        <v>1435</v>
      </c>
    </row>
    <row r="273" spans="1:10" s="15" customFormat="1" x14ac:dyDescent="0.15">
      <c r="A273" s="11">
        <v>45182</v>
      </c>
      <c r="B273" s="12" t="s">
        <v>1097</v>
      </c>
      <c r="C273" s="12" t="s">
        <v>1436</v>
      </c>
      <c r="D273" s="13" t="str">
        <f>HYPERLINK("https://www.marklines.com/en/global/3207","Peterbilt Motors, Denton Plant")</f>
        <v>Peterbilt Motors, Denton Plant</v>
      </c>
      <c r="E273" s="12" t="s">
        <v>1437</v>
      </c>
      <c r="F273" s="12" t="s">
        <v>16</v>
      </c>
      <c r="G273" s="12" t="s">
        <v>11</v>
      </c>
      <c r="H273" s="12" t="s">
        <v>36</v>
      </c>
      <c r="I273" s="14">
        <v>45176</v>
      </c>
      <c r="J273" s="12" t="s">
        <v>1438</v>
      </c>
    </row>
    <row r="274" spans="1:10" s="15" customFormat="1" x14ac:dyDescent="0.15">
      <c r="A274" s="11">
        <v>45181</v>
      </c>
      <c r="B274" s="12" t="s">
        <v>39</v>
      </c>
      <c r="C274" s="12" t="s">
        <v>1439</v>
      </c>
      <c r="D274" s="13" t="str">
        <f>HYPERLINK("https://www.marklines.com/en/global/2289","BMW Hams Hall Motoren GmbH, Hams Hall Plant")</f>
        <v>BMW Hams Hall Motoren GmbH, Hams Hall Plant</v>
      </c>
      <c r="E274" s="12" t="s">
        <v>1440</v>
      </c>
      <c r="F274" s="12" t="s">
        <v>17</v>
      </c>
      <c r="G274" s="12" t="s">
        <v>73</v>
      </c>
      <c r="H274" s="12"/>
      <c r="I274" s="14">
        <v>45180</v>
      </c>
      <c r="J274" s="12" t="s">
        <v>1441</v>
      </c>
    </row>
    <row r="275" spans="1:10" s="15" customFormat="1" x14ac:dyDescent="0.15">
      <c r="A275" s="11">
        <v>45181</v>
      </c>
      <c r="B275" s="12" t="s">
        <v>39</v>
      </c>
      <c r="C275" s="12" t="s">
        <v>1439</v>
      </c>
      <c r="D275" s="13" t="str">
        <f>HYPERLINK("https://www.marklines.com/en/global/2293","Swindon Pressings Ltd., Swindon Plant")</f>
        <v>Swindon Pressings Ltd., Swindon Plant</v>
      </c>
      <c r="E275" s="12" t="s">
        <v>1442</v>
      </c>
      <c r="F275" s="12" t="s">
        <v>17</v>
      </c>
      <c r="G275" s="12" t="s">
        <v>73</v>
      </c>
      <c r="H275" s="12"/>
      <c r="I275" s="14">
        <v>45180</v>
      </c>
      <c r="J275" s="12" t="s">
        <v>1441</v>
      </c>
    </row>
    <row r="276" spans="1:10" s="15" customFormat="1" x14ac:dyDescent="0.15">
      <c r="A276" s="11">
        <v>45181</v>
      </c>
      <c r="B276" s="12" t="s">
        <v>39</v>
      </c>
      <c r="C276" s="12" t="s">
        <v>1439</v>
      </c>
      <c r="D276" s="13" t="str">
        <f>HYPERLINK("https://www.marklines.com/en/global/2285","BMW (UK), Oxford Plant")</f>
        <v>BMW (UK), Oxford Plant</v>
      </c>
      <c r="E276" s="12" t="s">
        <v>434</v>
      </c>
      <c r="F276" s="12" t="s">
        <v>17</v>
      </c>
      <c r="G276" s="12" t="s">
        <v>73</v>
      </c>
      <c r="H276" s="12"/>
      <c r="I276" s="14">
        <v>45180</v>
      </c>
      <c r="J276" s="12" t="s">
        <v>1441</v>
      </c>
    </row>
    <row r="277" spans="1:10" s="15" customFormat="1" x14ac:dyDescent="0.15">
      <c r="A277" s="11">
        <v>45181</v>
      </c>
      <c r="B277" s="12" t="s">
        <v>43</v>
      </c>
      <c r="C277" s="12" t="s">
        <v>67</v>
      </c>
      <c r="D277" s="13" t="str">
        <f>HYPERLINK("https://www.marklines.com/en/global/2165","Volkswagen Osnabrück GmbH, Osnabrück Plant")</f>
        <v>Volkswagen Osnabrück GmbH, Osnabrück Plant</v>
      </c>
      <c r="E277" s="12" t="s">
        <v>1443</v>
      </c>
      <c r="F277" s="12" t="s">
        <v>17</v>
      </c>
      <c r="G277" s="12" t="s">
        <v>21</v>
      </c>
      <c r="H277" s="12"/>
      <c r="I277" s="14">
        <v>45180</v>
      </c>
      <c r="J277" s="12" t="s">
        <v>1444</v>
      </c>
    </row>
    <row r="278" spans="1:10" s="15" customFormat="1" x14ac:dyDescent="0.15">
      <c r="A278" s="11">
        <v>45181</v>
      </c>
      <c r="B278" s="12" t="s">
        <v>43</v>
      </c>
      <c r="C278" s="12" t="s">
        <v>67</v>
      </c>
      <c r="D278" s="13" t="str">
        <f>HYPERLINK("https://www.marklines.com/en/global/2271","Volkswagen AG, Salzgitter Plant / Power Co SE, Salzgitter Gigafactory")</f>
        <v>Volkswagen AG, Salzgitter Plant / Power Co SE, Salzgitter Gigafactory</v>
      </c>
      <c r="E278" s="12" t="s">
        <v>140</v>
      </c>
      <c r="F278" s="12" t="s">
        <v>17</v>
      </c>
      <c r="G278" s="12" t="s">
        <v>21</v>
      </c>
      <c r="H278" s="12"/>
      <c r="I278" s="14">
        <v>45180</v>
      </c>
      <c r="J278" s="12" t="s">
        <v>1444</v>
      </c>
    </row>
    <row r="279" spans="1:10" s="15" customFormat="1" x14ac:dyDescent="0.15">
      <c r="A279" s="11">
        <v>45181</v>
      </c>
      <c r="B279" s="12" t="s">
        <v>43</v>
      </c>
      <c r="C279" s="12" t="s">
        <v>67</v>
      </c>
      <c r="D279" s="13" t="str">
        <f>HYPERLINK("https://www.marklines.com/en/global/2261","Volkswagen AG, Wolfsburg Plant")</f>
        <v>Volkswagen AG, Wolfsburg Plant</v>
      </c>
      <c r="E279" s="12" t="s">
        <v>1352</v>
      </c>
      <c r="F279" s="12" t="s">
        <v>17</v>
      </c>
      <c r="G279" s="12" t="s">
        <v>21</v>
      </c>
      <c r="H279" s="12"/>
      <c r="I279" s="14">
        <v>45180</v>
      </c>
      <c r="J279" s="12" t="s">
        <v>1444</v>
      </c>
    </row>
    <row r="280" spans="1:10" s="15" customFormat="1" x14ac:dyDescent="0.15">
      <c r="A280" s="11">
        <v>45181</v>
      </c>
      <c r="B280" s="12" t="s">
        <v>43</v>
      </c>
      <c r="C280" s="12" t="s">
        <v>67</v>
      </c>
      <c r="D280" s="13" t="str">
        <f>HYPERLINK("https://www.marklines.com/en/global/1384","Volkswagen Autoeuropa Ltd., Setubal, Palmela Plant (formerly AutoEuropa Automoveis, Ltda.)")</f>
        <v>Volkswagen Autoeuropa Ltd., Setubal, Palmela Plant (formerly AutoEuropa Automoveis, Ltda.)</v>
      </c>
      <c r="E280" s="12" t="s">
        <v>1203</v>
      </c>
      <c r="F280" s="12" t="s">
        <v>17</v>
      </c>
      <c r="G280" s="12" t="s">
        <v>1142</v>
      </c>
      <c r="H280" s="12"/>
      <c r="I280" s="14">
        <v>45180</v>
      </c>
      <c r="J280" s="12" t="s">
        <v>1444</v>
      </c>
    </row>
    <row r="281" spans="1:10" s="15" customFormat="1" x14ac:dyDescent="0.15">
      <c r="A281" s="11">
        <v>45181</v>
      </c>
      <c r="B281" s="12" t="s">
        <v>43</v>
      </c>
      <c r="C281" s="12" t="s">
        <v>67</v>
      </c>
      <c r="D281" s="13" t="str">
        <f>HYPERLINK("https://www.marklines.com/en/global/2267","Volkswagen AG, Emden Plant")</f>
        <v>Volkswagen AG, Emden Plant</v>
      </c>
      <c r="E281" s="12" t="s">
        <v>71</v>
      </c>
      <c r="F281" s="12" t="s">
        <v>17</v>
      </c>
      <c r="G281" s="12" t="s">
        <v>21</v>
      </c>
      <c r="H281" s="12"/>
      <c r="I281" s="14">
        <v>45180</v>
      </c>
      <c r="J281" s="12" t="s">
        <v>1444</v>
      </c>
    </row>
    <row r="282" spans="1:10" s="15" customFormat="1" x14ac:dyDescent="0.15">
      <c r="A282" s="11">
        <v>45181</v>
      </c>
      <c r="B282" s="12" t="s">
        <v>43</v>
      </c>
      <c r="C282" s="12" t="s">
        <v>67</v>
      </c>
      <c r="D282" s="13" t="str">
        <f>HYPERLINK("https://www.marklines.com/en/global/1965","Volkswagen Navarra, S.A., Pamplona (Landaben) Plant")</f>
        <v>Volkswagen Navarra, S.A., Pamplona (Landaben) Plant</v>
      </c>
      <c r="E282" s="12" t="s">
        <v>1275</v>
      </c>
      <c r="F282" s="12" t="s">
        <v>17</v>
      </c>
      <c r="G282" s="12" t="s">
        <v>114</v>
      </c>
      <c r="H282" s="12"/>
      <c r="I282" s="14">
        <v>45180</v>
      </c>
      <c r="J282" s="12" t="s">
        <v>1444</v>
      </c>
    </row>
    <row r="283" spans="1:10" s="15" customFormat="1" x14ac:dyDescent="0.15">
      <c r="A283" s="11">
        <v>45181</v>
      </c>
      <c r="B283" s="12" t="s">
        <v>43</v>
      </c>
      <c r="C283" s="12" t="s">
        <v>127</v>
      </c>
      <c r="D283" s="13" t="str">
        <f>HYPERLINK("https://www.marklines.com/en/global/2199","Audi AG, Ingolstadt Plant")</f>
        <v>Audi AG, Ingolstadt Plant</v>
      </c>
      <c r="E283" s="12" t="s">
        <v>179</v>
      </c>
      <c r="F283" s="12" t="s">
        <v>17</v>
      </c>
      <c r="G283" s="12" t="s">
        <v>21</v>
      </c>
      <c r="H283" s="12"/>
      <c r="I283" s="14">
        <v>45180</v>
      </c>
      <c r="J283" s="12" t="s">
        <v>1444</v>
      </c>
    </row>
    <row r="284" spans="1:10" s="15" customFormat="1" x14ac:dyDescent="0.15">
      <c r="A284" s="11">
        <v>45181</v>
      </c>
      <c r="B284" s="12" t="s">
        <v>68</v>
      </c>
      <c r="C284" s="12" t="s">
        <v>887</v>
      </c>
      <c r="D284" s="13" t="str">
        <f>HYPERLINK("https://www.marklines.com/en/global/1931","Stellantis, Opel Espana de Automoviles, S.A., Zaragoza (Figueruelas) Plant")</f>
        <v>Stellantis, Opel Espana de Automoviles, S.A., Zaragoza (Figueruelas) Plant</v>
      </c>
      <c r="E284" s="12" t="s">
        <v>157</v>
      </c>
      <c r="F284" s="12" t="s">
        <v>17</v>
      </c>
      <c r="G284" s="12" t="s">
        <v>114</v>
      </c>
      <c r="H284" s="12"/>
      <c r="I284" s="14">
        <v>45180</v>
      </c>
      <c r="J284" s="12" t="s">
        <v>1445</v>
      </c>
    </row>
    <row r="285" spans="1:10" s="15" customFormat="1" x14ac:dyDescent="0.15">
      <c r="A285" s="11">
        <v>45181</v>
      </c>
      <c r="B285" s="12" t="s">
        <v>68</v>
      </c>
      <c r="C285" s="12" t="s">
        <v>1119</v>
      </c>
      <c r="D285" s="13" t="str">
        <f>HYPERLINK("https://www.marklines.com/en/global/1931","Stellantis, Opel Espana de Automoviles, S.A., Zaragoza (Figueruelas) Plant")</f>
        <v>Stellantis, Opel Espana de Automoviles, S.A., Zaragoza (Figueruelas) Plant</v>
      </c>
      <c r="E285" s="12" t="s">
        <v>157</v>
      </c>
      <c r="F285" s="12" t="s">
        <v>17</v>
      </c>
      <c r="G285" s="12" t="s">
        <v>114</v>
      </c>
      <c r="H285" s="12"/>
      <c r="I285" s="14">
        <v>45180</v>
      </c>
      <c r="J285" s="12" t="s">
        <v>1445</v>
      </c>
    </row>
    <row r="286" spans="1:10" s="15" customFormat="1" x14ac:dyDescent="0.15">
      <c r="A286" s="11">
        <v>45181</v>
      </c>
      <c r="B286" s="12" t="s">
        <v>68</v>
      </c>
      <c r="C286" s="12" t="s">
        <v>72</v>
      </c>
      <c r="D286" s="13" t="str">
        <f>HYPERLINK("https://www.marklines.com/en/global/1931","Stellantis, Opel Espana de Automoviles, S.A., Zaragoza (Figueruelas) Plant")</f>
        <v>Stellantis, Opel Espana de Automoviles, S.A., Zaragoza (Figueruelas) Plant</v>
      </c>
      <c r="E286" s="12" t="s">
        <v>157</v>
      </c>
      <c r="F286" s="12" t="s">
        <v>17</v>
      </c>
      <c r="G286" s="12" t="s">
        <v>114</v>
      </c>
      <c r="H286" s="12"/>
      <c r="I286" s="14">
        <v>45180</v>
      </c>
      <c r="J286" s="12" t="s">
        <v>1445</v>
      </c>
    </row>
    <row r="287" spans="1:10" s="15" customFormat="1" x14ac:dyDescent="0.15">
      <c r="A287" s="11">
        <v>45181</v>
      </c>
      <c r="B287" s="12" t="s">
        <v>68</v>
      </c>
      <c r="C287" s="12" t="s">
        <v>935</v>
      </c>
      <c r="D287" s="13" t="str">
        <f>HYPERLINK("https://www.marklines.com/en/global/1931","Stellantis, Opel Espana de Automoviles, S.A., Zaragoza (Figueruelas) Plant")</f>
        <v>Stellantis, Opel Espana de Automoviles, S.A., Zaragoza (Figueruelas) Plant</v>
      </c>
      <c r="E287" s="12" t="s">
        <v>157</v>
      </c>
      <c r="F287" s="12" t="s">
        <v>17</v>
      </c>
      <c r="G287" s="12" t="s">
        <v>114</v>
      </c>
      <c r="H287" s="12"/>
      <c r="I287" s="14">
        <v>45180</v>
      </c>
      <c r="J287" s="12" t="s">
        <v>1445</v>
      </c>
    </row>
    <row r="288" spans="1:10" s="15" customFormat="1" x14ac:dyDescent="0.15">
      <c r="A288" s="11">
        <v>45181</v>
      </c>
      <c r="B288" s="12" t="s">
        <v>68</v>
      </c>
      <c r="C288" s="12" t="s">
        <v>843</v>
      </c>
      <c r="D288" s="13" t="str">
        <f>HYPERLINK("https://www.marklines.com/en/global/1931","Stellantis, Opel Espana de Automoviles, S.A., Zaragoza (Figueruelas) Plant")</f>
        <v>Stellantis, Opel Espana de Automoviles, S.A., Zaragoza (Figueruelas) Plant</v>
      </c>
      <c r="E288" s="12" t="s">
        <v>157</v>
      </c>
      <c r="F288" s="12" t="s">
        <v>17</v>
      </c>
      <c r="G288" s="12" t="s">
        <v>114</v>
      </c>
      <c r="H288" s="12"/>
      <c r="I288" s="14">
        <v>45180</v>
      </c>
      <c r="J288" s="12" t="s">
        <v>1445</v>
      </c>
    </row>
    <row r="289" spans="1:10" s="15" customFormat="1" x14ac:dyDescent="0.15">
      <c r="A289" s="11">
        <v>45181</v>
      </c>
      <c r="B289" s="12" t="s">
        <v>62</v>
      </c>
      <c r="C289" s="12" t="s">
        <v>759</v>
      </c>
      <c r="D289" s="13" t="str">
        <f>HYPERLINK("https://www.marklines.com/en/global/3969","Chery Commercial Vehicle (Anhui) Co., Ltd. Henan Branch (formerly Chery Automobile Henan Co., Ltd.)")</f>
        <v>Chery Commercial Vehicle (Anhui) Co., Ltd. Henan Branch (formerly Chery Automobile Henan Co., Ltd.)</v>
      </c>
      <c r="E289" s="12" t="s">
        <v>760</v>
      </c>
      <c r="F289" s="12" t="s">
        <v>20</v>
      </c>
      <c r="G289" s="12" t="s">
        <v>27</v>
      </c>
      <c r="H289" s="12" t="s">
        <v>47</v>
      </c>
      <c r="I289" s="14">
        <v>45180</v>
      </c>
      <c r="J289" s="12" t="s">
        <v>1446</v>
      </c>
    </row>
    <row r="290" spans="1:10" s="15" customFormat="1" x14ac:dyDescent="0.15">
      <c r="A290" s="11">
        <v>45181</v>
      </c>
      <c r="B290" s="12" t="s">
        <v>39</v>
      </c>
      <c r="C290" s="12" t="s">
        <v>1439</v>
      </c>
      <c r="D290" s="13" t="str">
        <f>HYPERLINK("https://www.marklines.com/en/global/2285","BMW (UK), Oxford Plant")</f>
        <v>BMW (UK), Oxford Plant</v>
      </c>
      <c r="E290" s="12" t="s">
        <v>434</v>
      </c>
      <c r="F290" s="12" t="s">
        <v>17</v>
      </c>
      <c r="G290" s="12" t="s">
        <v>73</v>
      </c>
      <c r="H290" s="12"/>
      <c r="I290" s="14">
        <v>45177</v>
      </c>
      <c r="J290" s="12" t="s">
        <v>1447</v>
      </c>
    </row>
    <row r="291" spans="1:10" s="15" customFormat="1" x14ac:dyDescent="0.15">
      <c r="A291" s="11">
        <v>45181</v>
      </c>
      <c r="B291" s="12" t="s">
        <v>43</v>
      </c>
      <c r="C291" s="12" t="s">
        <v>347</v>
      </c>
      <c r="D291" s="13" t="str">
        <f>HYPERLINK("https://www.marklines.com/en/global/1739","Škoda Auto, Mladá Boleslav Plant")</f>
        <v>Škoda Auto, Mladá Boleslav Plant</v>
      </c>
      <c r="E291" s="12" t="s">
        <v>348</v>
      </c>
      <c r="F291" s="12" t="s">
        <v>18</v>
      </c>
      <c r="G291" s="12" t="s">
        <v>349</v>
      </c>
      <c r="H291" s="12"/>
      <c r="I291" s="14">
        <v>45177</v>
      </c>
      <c r="J291" s="12" t="s">
        <v>1448</v>
      </c>
    </row>
    <row r="292" spans="1:10" s="15" customFormat="1" x14ac:dyDescent="0.15">
      <c r="A292" s="11">
        <v>45181</v>
      </c>
      <c r="B292" s="12" t="s">
        <v>43</v>
      </c>
      <c r="C292" s="12" t="s">
        <v>347</v>
      </c>
      <c r="D292" s="13" t="str">
        <f>HYPERLINK("https://www.marklines.com/en/global/1741","Škoda Auto, Kvasiny Plant")</f>
        <v>Škoda Auto, Kvasiny Plant</v>
      </c>
      <c r="E292" s="12" t="s">
        <v>1449</v>
      </c>
      <c r="F292" s="12" t="s">
        <v>18</v>
      </c>
      <c r="G292" s="12" t="s">
        <v>349</v>
      </c>
      <c r="H292" s="12"/>
      <c r="I292" s="14">
        <v>45177</v>
      </c>
      <c r="J292" s="12" t="s">
        <v>1448</v>
      </c>
    </row>
    <row r="293" spans="1:10" s="15" customFormat="1" x14ac:dyDescent="0.15">
      <c r="A293" s="11">
        <v>45181</v>
      </c>
      <c r="B293" s="12" t="s">
        <v>43</v>
      </c>
      <c r="C293" s="12" t="s">
        <v>67</v>
      </c>
      <c r="D293" s="13" t="str">
        <f>HYPERLINK("https://www.marklines.com/en/global/1384","Volkswagen Autoeuropa Ltd., Setubal, Palmela Plant (formerly AutoEuropa Automoveis, Ltda.)")</f>
        <v>Volkswagen Autoeuropa Ltd., Setubal, Palmela Plant (formerly AutoEuropa Automoveis, Ltda.)</v>
      </c>
      <c r="E293" s="12" t="s">
        <v>1203</v>
      </c>
      <c r="F293" s="12" t="s">
        <v>17</v>
      </c>
      <c r="G293" s="12" t="s">
        <v>1142</v>
      </c>
      <c r="H293" s="12"/>
      <c r="I293" s="14">
        <v>45176</v>
      </c>
      <c r="J293" s="12" t="s">
        <v>1450</v>
      </c>
    </row>
    <row r="294" spans="1:10" s="15" customFormat="1" x14ac:dyDescent="0.15">
      <c r="A294" s="11">
        <v>45181</v>
      </c>
      <c r="B294" s="12" t="s">
        <v>43</v>
      </c>
      <c r="C294" s="12" t="s">
        <v>599</v>
      </c>
      <c r="D294" s="13" t="str">
        <f>HYPERLINK("https://www.marklines.com/en/global/1384","Volkswagen Autoeuropa Ltd., Setubal, Palmela Plant (formerly AutoEuropa Automoveis, Ltda.)")</f>
        <v>Volkswagen Autoeuropa Ltd., Setubal, Palmela Plant (formerly AutoEuropa Automoveis, Ltda.)</v>
      </c>
      <c r="E294" s="12" t="s">
        <v>1203</v>
      </c>
      <c r="F294" s="12" t="s">
        <v>17</v>
      </c>
      <c r="G294" s="12" t="s">
        <v>1142</v>
      </c>
      <c r="H294" s="12"/>
      <c r="I294" s="14">
        <v>45176</v>
      </c>
      <c r="J294" s="12" t="s">
        <v>1450</v>
      </c>
    </row>
    <row r="295" spans="1:10" s="15" customFormat="1" x14ac:dyDescent="0.15">
      <c r="A295" s="11">
        <v>45181</v>
      </c>
      <c r="B295" s="12" t="s">
        <v>41</v>
      </c>
      <c r="C295" s="12" t="s">
        <v>42</v>
      </c>
      <c r="D295" s="13" t="str">
        <f>HYPERLINK("https://www.marklines.com/en/global/9814","SAIC Motor Corporation Limited Passenger Vehicle Fujian Branch")</f>
        <v>SAIC Motor Corporation Limited Passenger Vehicle Fujian Branch</v>
      </c>
      <c r="E295" s="12" t="s">
        <v>1290</v>
      </c>
      <c r="F295" s="12" t="s">
        <v>20</v>
      </c>
      <c r="G295" s="12" t="s">
        <v>27</v>
      </c>
      <c r="H295" s="12" t="s">
        <v>123</v>
      </c>
      <c r="I295" s="14">
        <v>45176</v>
      </c>
      <c r="J295" s="12" t="s">
        <v>1451</v>
      </c>
    </row>
    <row r="296" spans="1:10" s="15" customFormat="1" x14ac:dyDescent="0.15">
      <c r="A296" s="11">
        <v>45181</v>
      </c>
      <c r="B296" s="12" t="s">
        <v>68</v>
      </c>
      <c r="C296" s="12" t="s">
        <v>79</v>
      </c>
      <c r="D296" s="13" t="str">
        <f>HYPERLINK("https://www.marklines.com/en/global/2833","Stellantis, FCA Brazil, Betim Plant")</f>
        <v>Stellantis, FCA Brazil, Betim Plant</v>
      </c>
      <c r="E296" s="12" t="s">
        <v>336</v>
      </c>
      <c r="F296" s="12" t="s">
        <v>74</v>
      </c>
      <c r="G296" s="12" t="s">
        <v>75</v>
      </c>
      <c r="H296" s="12"/>
      <c r="I296" s="14">
        <v>45175</v>
      </c>
      <c r="J296" s="12" t="s">
        <v>1452</v>
      </c>
    </row>
    <row r="297" spans="1:10" s="15" customFormat="1" x14ac:dyDescent="0.15">
      <c r="A297" s="11">
        <v>45181</v>
      </c>
      <c r="B297" s="12" t="s">
        <v>22</v>
      </c>
      <c r="C297" s="12" t="s">
        <v>22</v>
      </c>
      <c r="D297" s="13" t="str">
        <f>HYPERLINK("https://www.marklines.com/en/global/381","Toyota Motor, Tahara Plant")</f>
        <v>Toyota Motor, Tahara Plant</v>
      </c>
      <c r="E297" s="12" t="s">
        <v>1057</v>
      </c>
      <c r="F297" s="12" t="s">
        <v>20</v>
      </c>
      <c r="G297" s="12" t="s">
        <v>23</v>
      </c>
      <c r="H297" s="12" t="s">
        <v>108</v>
      </c>
      <c r="I297" s="14">
        <v>45175</v>
      </c>
      <c r="J297" s="12" t="s">
        <v>1453</v>
      </c>
    </row>
    <row r="298" spans="1:10" s="15" customFormat="1" x14ac:dyDescent="0.15">
      <c r="A298" s="11">
        <v>45181</v>
      </c>
      <c r="B298" s="12" t="s">
        <v>24</v>
      </c>
      <c r="C298" s="12" t="s">
        <v>24</v>
      </c>
      <c r="D298" s="13" t="str">
        <f>HYPERLINK("https://www.marklines.com/en/global/2953","Nordex S.A., Montevideo Plant")</f>
        <v>Nordex S.A., Montevideo Plant</v>
      </c>
      <c r="E298" s="12" t="s">
        <v>912</v>
      </c>
      <c r="F298" s="12" t="s">
        <v>74</v>
      </c>
      <c r="G298" s="12" t="s">
        <v>913</v>
      </c>
      <c r="H298" s="12"/>
      <c r="I298" s="14">
        <v>45175</v>
      </c>
      <c r="J298" s="12" t="s">
        <v>1454</v>
      </c>
    </row>
    <row r="299" spans="1:10" s="15" customFormat="1" x14ac:dyDescent="0.15">
      <c r="A299" s="11">
        <v>45181</v>
      </c>
      <c r="B299" s="12" t="s">
        <v>610</v>
      </c>
      <c r="C299" s="12" t="s">
        <v>610</v>
      </c>
      <c r="D299" s="13" t="str">
        <f>HYPERLINK("https://www.marklines.com/en/global/553","Isuzu Motors, Fujisawa Plant")</f>
        <v>Isuzu Motors, Fujisawa Plant</v>
      </c>
      <c r="E299" s="12" t="s">
        <v>1360</v>
      </c>
      <c r="F299" s="12" t="s">
        <v>20</v>
      </c>
      <c r="G299" s="12" t="s">
        <v>23</v>
      </c>
      <c r="H299" s="12" t="s">
        <v>132</v>
      </c>
      <c r="I299" s="14">
        <v>45173</v>
      </c>
      <c r="J299" s="12" t="s">
        <v>1455</v>
      </c>
    </row>
    <row r="300" spans="1:10" s="15" customFormat="1" x14ac:dyDescent="0.15">
      <c r="A300" s="11">
        <v>45181</v>
      </c>
      <c r="B300" s="12" t="s">
        <v>29</v>
      </c>
      <c r="C300" s="12" t="s">
        <v>929</v>
      </c>
      <c r="D300" s="13" t="str">
        <f>HYPERLINK("https://www.marklines.com/en/global/10393","Sichuan Lynk &amp; Co Automobile Manufacturing Co., Ltd. (formerly Zhejiang Haoqing Automotive Manufacturing Co.,Ltd. Chengdu Branch)")</f>
        <v>Sichuan Lynk &amp; Co Automobile Manufacturing Co., Ltd. (formerly Zhejiang Haoqing Automotive Manufacturing Co.,Ltd. Chengdu Branch)</v>
      </c>
      <c r="E300" s="12" t="s">
        <v>1456</v>
      </c>
      <c r="F300" s="12" t="s">
        <v>20</v>
      </c>
      <c r="G300" s="12" t="s">
        <v>27</v>
      </c>
      <c r="H300" s="12" t="s">
        <v>659</v>
      </c>
      <c r="I300" s="14">
        <v>45173</v>
      </c>
      <c r="J300" s="12" t="s">
        <v>1457</v>
      </c>
    </row>
    <row r="301" spans="1:10" s="15" customFormat="1" x14ac:dyDescent="0.15">
      <c r="A301" s="11">
        <v>45181</v>
      </c>
      <c r="B301" s="12" t="s">
        <v>29</v>
      </c>
      <c r="C301" s="12" t="s">
        <v>929</v>
      </c>
      <c r="D301" s="13" t="str">
        <f>HYPERLINK("https://www.marklines.com/en/global/10391","Zhejiang Geely Automobile Co., Ltd. Meishan Plant")</f>
        <v>Zhejiang Geely Automobile Co., Ltd. Meishan Plant</v>
      </c>
      <c r="E301" s="12" t="s">
        <v>946</v>
      </c>
      <c r="F301" s="12" t="s">
        <v>20</v>
      </c>
      <c r="G301" s="12" t="s">
        <v>27</v>
      </c>
      <c r="H301" s="12" t="s">
        <v>51</v>
      </c>
      <c r="I301" s="14">
        <v>45173</v>
      </c>
      <c r="J301" s="12" t="s">
        <v>1457</v>
      </c>
    </row>
    <row r="302" spans="1:10" s="15" customFormat="1" x14ac:dyDescent="0.15">
      <c r="A302" s="11">
        <v>45181</v>
      </c>
      <c r="B302" s="12" t="s">
        <v>29</v>
      </c>
      <c r="C302" s="12" t="s">
        <v>929</v>
      </c>
      <c r="D302" s="13" t="str">
        <f>HYPERLINK("https://www.marklines.com/en/global/10387","Zeekr Automobile (Ningbo Hangzhou Bay New Zone) Co., Ltd. (formerly Ningbo Zeekr Intelligent Technology Co., Ltd.")</f>
        <v>Zeekr Automobile (Ningbo Hangzhou Bay New Zone) Co., Ltd. (formerly Ningbo Zeekr Intelligent Technology Co., Ltd.</v>
      </c>
      <c r="E302" s="12" t="s">
        <v>930</v>
      </c>
      <c r="F302" s="12" t="s">
        <v>20</v>
      </c>
      <c r="G302" s="12" t="s">
        <v>27</v>
      </c>
      <c r="H302" s="12" t="s">
        <v>51</v>
      </c>
      <c r="I302" s="14">
        <v>45173</v>
      </c>
      <c r="J302" s="12" t="s">
        <v>1457</v>
      </c>
    </row>
    <row r="303" spans="1:10" s="15" customFormat="1" x14ac:dyDescent="0.15">
      <c r="A303" s="11">
        <v>45181</v>
      </c>
      <c r="B303" s="12" t="s">
        <v>833</v>
      </c>
      <c r="C303" s="12" t="s">
        <v>833</v>
      </c>
      <c r="D303" s="13" t="str">
        <f>HYPERLINK("https://www.marklines.com/en/global/9578","Seres Group Co., Ltd. (formerly Chongqing Sokon Industrial Group Co., Ltd.)")</f>
        <v>Seres Group Co., Ltd. (formerly Chongqing Sokon Industrial Group Co., Ltd.)</v>
      </c>
      <c r="E303" s="12" t="s">
        <v>1021</v>
      </c>
      <c r="F303" s="12" t="s">
        <v>20</v>
      </c>
      <c r="G303" s="12" t="s">
        <v>27</v>
      </c>
      <c r="H303" s="12" t="s">
        <v>30</v>
      </c>
      <c r="I303" s="14">
        <v>45173</v>
      </c>
      <c r="J303" s="12" t="s">
        <v>1458</v>
      </c>
    </row>
    <row r="304" spans="1:10" s="15" customFormat="1" x14ac:dyDescent="0.15">
      <c r="A304" s="11">
        <v>45181</v>
      </c>
      <c r="B304" s="12" t="s">
        <v>833</v>
      </c>
      <c r="C304" s="12" t="s">
        <v>833</v>
      </c>
      <c r="D304" s="13" t="str">
        <f>HYPERLINK("https://www.marklines.com/en/global/9540","SERES Automobile Co., Ltd. (formerly Chongqing Jinkang New Energy Automobile Co., Ltd.)")</f>
        <v>SERES Automobile Co., Ltd. (formerly Chongqing Jinkang New Energy Automobile Co., Ltd.)</v>
      </c>
      <c r="E304" s="12" t="s">
        <v>995</v>
      </c>
      <c r="F304" s="12" t="s">
        <v>20</v>
      </c>
      <c r="G304" s="12" t="s">
        <v>27</v>
      </c>
      <c r="H304" s="12" t="s">
        <v>30</v>
      </c>
      <c r="I304" s="14">
        <v>45173</v>
      </c>
      <c r="J304" s="12" t="s">
        <v>1458</v>
      </c>
    </row>
    <row r="305" spans="1:10" s="15" customFormat="1" x14ac:dyDescent="0.15">
      <c r="A305" s="11">
        <v>45180</v>
      </c>
      <c r="B305" s="12" t="s">
        <v>13</v>
      </c>
      <c r="C305" s="12" t="s">
        <v>444</v>
      </c>
      <c r="D305" s="13" t="str">
        <f>HYPERLINK("https://www.marklines.com/en/global/8751","Automotive Industrial Technologies LLC (AIT) (Formerly MAZDA SOLLERS Manufacturing Rus (MSMR)), Vladivostok Plant")</f>
        <v>Automotive Industrial Technologies LLC (AIT) (Formerly MAZDA SOLLERS Manufacturing Rus (MSMR)), Vladivostok Plant</v>
      </c>
      <c r="E305" s="12" t="s">
        <v>595</v>
      </c>
      <c r="F305" s="12" t="s">
        <v>18</v>
      </c>
      <c r="G305" s="12" t="s">
        <v>14</v>
      </c>
      <c r="H305" s="12"/>
      <c r="I305" s="14">
        <v>45180</v>
      </c>
      <c r="J305" s="12" t="s">
        <v>1459</v>
      </c>
    </row>
    <row r="306" spans="1:10" s="15" customFormat="1" x14ac:dyDescent="0.15">
      <c r="A306" s="11">
        <v>45180</v>
      </c>
      <c r="B306" s="12" t="s">
        <v>13</v>
      </c>
      <c r="C306" s="12" t="s">
        <v>444</v>
      </c>
      <c r="D306" s="13" t="str">
        <f>HYPERLINK("https://www.marklines.com/en/global/799","OAO UAZ (Ulyanovsky Avtomobilny Zavod), Ulyanovsk Plant")</f>
        <v>OAO UAZ (Ulyanovsky Avtomobilny Zavod), Ulyanovsk Plant</v>
      </c>
      <c r="E306" s="12" t="s">
        <v>477</v>
      </c>
      <c r="F306" s="12" t="s">
        <v>18</v>
      </c>
      <c r="G306" s="12" t="s">
        <v>14</v>
      </c>
      <c r="H306" s="12"/>
      <c r="I306" s="14">
        <v>45178</v>
      </c>
      <c r="J306" s="12" t="s">
        <v>1460</v>
      </c>
    </row>
    <row r="307" spans="1:10" s="15" customFormat="1" x14ac:dyDescent="0.15">
      <c r="A307" s="11">
        <v>45180</v>
      </c>
      <c r="B307" s="12" t="s">
        <v>68</v>
      </c>
      <c r="C307" s="12" t="s">
        <v>68</v>
      </c>
      <c r="D307" s="13" t="str">
        <f>HYPERLINK("https://www.marklines.com/en/global/1327","Stellantis, FCA Italy, Mirafiori (Turin) Plant")</f>
        <v>Stellantis, FCA Italy, Mirafiori (Turin) Plant</v>
      </c>
      <c r="E307" s="12" t="s">
        <v>89</v>
      </c>
      <c r="F307" s="12" t="s">
        <v>17</v>
      </c>
      <c r="G307" s="12" t="s">
        <v>70</v>
      </c>
      <c r="H307" s="12"/>
      <c r="I307" s="14">
        <v>45177</v>
      </c>
      <c r="J307" s="12" t="s">
        <v>1461</v>
      </c>
    </row>
    <row r="308" spans="1:10" s="15" customFormat="1" x14ac:dyDescent="0.15">
      <c r="A308" s="11">
        <v>45180</v>
      </c>
      <c r="B308" s="12" t="s">
        <v>24</v>
      </c>
      <c r="C308" s="12" t="s">
        <v>24</v>
      </c>
      <c r="D308" s="13" t="str">
        <f>HYPERLINK("https://www.marklines.com/en/global/1901","Ford Motor Spain, Valencia (Almussafes) Plant")</f>
        <v>Ford Motor Spain, Valencia (Almussafes) Plant</v>
      </c>
      <c r="E308" s="12" t="s">
        <v>769</v>
      </c>
      <c r="F308" s="12" t="s">
        <v>17</v>
      </c>
      <c r="G308" s="12" t="s">
        <v>114</v>
      </c>
      <c r="H308" s="12"/>
      <c r="I308" s="14">
        <v>45177</v>
      </c>
      <c r="J308" s="12" t="s">
        <v>1462</v>
      </c>
    </row>
    <row r="309" spans="1:10" s="15" customFormat="1" x14ac:dyDescent="0.15">
      <c r="A309" s="11">
        <v>45180</v>
      </c>
      <c r="B309" s="12" t="s">
        <v>63</v>
      </c>
      <c r="C309" s="12" t="s">
        <v>64</v>
      </c>
      <c r="D309" s="13" t="str">
        <f>HYPERLINK("https://www.marklines.com/en/global/671","ZAO AvtoTOR, Kaliningrad Plant")</f>
        <v>ZAO AvtoTOR, Kaliningrad Plant</v>
      </c>
      <c r="E309" s="12" t="s">
        <v>33</v>
      </c>
      <c r="F309" s="12" t="s">
        <v>18</v>
      </c>
      <c r="G309" s="12" t="s">
        <v>14</v>
      </c>
      <c r="H309" s="12"/>
      <c r="I309" s="14">
        <v>45177</v>
      </c>
      <c r="J309" s="12" t="s">
        <v>1463</v>
      </c>
    </row>
    <row r="310" spans="1:10" s="15" customFormat="1" x14ac:dyDescent="0.15">
      <c r="A310" s="11">
        <v>45180</v>
      </c>
      <c r="B310" s="12" t="s">
        <v>374</v>
      </c>
      <c r="C310" s="12" t="s">
        <v>374</v>
      </c>
      <c r="D310" s="13" t="str">
        <f>HYPERLINK("https://www.marklines.com/en/global/813","former Volvo Trucks Russia (ZAO Volvo Vostok), Kaluga Plant")</f>
        <v>former Volvo Trucks Russia (ZAO Volvo Vostok), Kaluga Plant</v>
      </c>
      <c r="E310" s="12" t="s">
        <v>1464</v>
      </c>
      <c r="F310" s="12" t="s">
        <v>18</v>
      </c>
      <c r="G310" s="12" t="s">
        <v>14</v>
      </c>
      <c r="H310" s="12"/>
      <c r="I310" s="14">
        <v>45177</v>
      </c>
      <c r="J310" s="12" t="s">
        <v>1465</v>
      </c>
    </row>
    <row r="311" spans="1:10" s="15" customFormat="1" x14ac:dyDescent="0.15">
      <c r="A311" s="11">
        <v>45180</v>
      </c>
      <c r="B311" s="12" t="s">
        <v>1466</v>
      </c>
      <c r="C311" s="12" t="s">
        <v>1467</v>
      </c>
      <c r="D311" s="13" t="str">
        <f>HYPERLINK("https://www.marklines.com/en/global/8670","Switch Mobility Limited, Sherburn-in-Elmet Plant (formerly Optare Group Ltd)")</f>
        <v>Switch Mobility Limited, Sherburn-in-Elmet Plant (formerly Optare Group Ltd)</v>
      </c>
      <c r="E311" s="12" t="s">
        <v>1468</v>
      </c>
      <c r="F311" s="12" t="s">
        <v>17</v>
      </c>
      <c r="G311" s="12" t="s">
        <v>73</v>
      </c>
      <c r="H311" s="12"/>
      <c r="I311" s="14">
        <v>45177</v>
      </c>
      <c r="J311" s="12" t="s">
        <v>1469</v>
      </c>
    </row>
    <row r="312" spans="1:10" s="15" customFormat="1" x14ac:dyDescent="0.15">
      <c r="A312" s="11">
        <v>45180</v>
      </c>
      <c r="B312" s="12" t="s">
        <v>68</v>
      </c>
      <c r="C312" s="12" t="s">
        <v>887</v>
      </c>
      <c r="D312" s="13" t="str">
        <f>HYPERLINK("https://www.marklines.com/en/global/2389","Stellantis, Vauxhall Motors Ltd., Ellesmere Port plant (Former GM Manufacturing, Ellesmere Port plant)")</f>
        <v>Stellantis, Vauxhall Motors Ltd., Ellesmere Port plant (Former GM Manufacturing, Ellesmere Port plant)</v>
      </c>
      <c r="E312" s="12" t="s">
        <v>1470</v>
      </c>
      <c r="F312" s="12" t="s">
        <v>17</v>
      </c>
      <c r="G312" s="12" t="s">
        <v>73</v>
      </c>
      <c r="H312" s="12"/>
      <c r="I312" s="14">
        <v>45176</v>
      </c>
      <c r="J312" s="12" t="s">
        <v>1471</v>
      </c>
    </row>
    <row r="313" spans="1:10" s="15" customFormat="1" x14ac:dyDescent="0.15">
      <c r="A313" s="11">
        <v>45180</v>
      </c>
      <c r="B313" s="12" t="s">
        <v>68</v>
      </c>
      <c r="C313" s="12" t="s">
        <v>1119</v>
      </c>
      <c r="D313" s="13" t="str">
        <f>HYPERLINK("https://www.marklines.com/en/global/2389","Stellantis, Vauxhall Motors Ltd., Ellesmere Port plant (Former GM Manufacturing, Ellesmere Port plant)")</f>
        <v>Stellantis, Vauxhall Motors Ltd., Ellesmere Port plant (Former GM Manufacturing, Ellesmere Port plant)</v>
      </c>
      <c r="E313" s="12" t="s">
        <v>1470</v>
      </c>
      <c r="F313" s="12" t="s">
        <v>17</v>
      </c>
      <c r="G313" s="12" t="s">
        <v>73</v>
      </c>
      <c r="H313" s="12"/>
      <c r="I313" s="14">
        <v>45176</v>
      </c>
      <c r="J313" s="12" t="s">
        <v>1471</v>
      </c>
    </row>
    <row r="314" spans="1:10" s="15" customFormat="1" x14ac:dyDescent="0.15">
      <c r="A314" s="11">
        <v>45180</v>
      </c>
      <c r="B314" s="12" t="s">
        <v>68</v>
      </c>
      <c r="C314" s="12" t="s">
        <v>72</v>
      </c>
      <c r="D314" s="13" t="str">
        <f>HYPERLINK("https://www.marklines.com/en/global/2389","Stellantis, Vauxhall Motors Ltd., Ellesmere Port plant (Former GM Manufacturing, Ellesmere Port plant)")</f>
        <v>Stellantis, Vauxhall Motors Ltd., Ellesmere Port plant (Former GM Manufacturing, Ellesmere Port plant)</v>
      </c>
      <c r="E314" s="12" t="s">
        <v>1470</v>
      </c>
      <c r="F314" s="12" t="s">
        <v>17</v>
      </c>
      <c r="G314" s="12" t="s">
        <v>73</v>
      </c>
      <c r="H314" s="12"/>
      <c r="I314" s="14">
        <v>45176</v>
      </c>
      <c r="J314" s="12" t="s">
        <v>1471</v>
      </c>
    </row>
    <row r="315" spans="1:10" s="15" customFormat="1" x14ac:dyDescent="0.15">
      <c r="A315" s="11">
        <v>45180</v>
      </c>
      <c r="B315" s="12" t="s">
        <v>68</v>
      </c>
      <c r="C315" s="12" t="s">
        <v>935</v>
      </c>
      <c r="D315" s="13" t="str">
        <f>HYPERLINK("https://www.marklines.com/en/global/2389","Stellantis, Vauxhall Motors Ltd., Ellesmere Port plant (Former GM Manufacturing, Ellesmere Port plant)")</f>
        <v>Stellantis, Vauxhall Motors Ltd., Ellesmere Port plant (Former GM Manufacturing, Ellesmere Port plant)</v>
      </c>
      <c r="E315" s="12" t="s">
        <v>1470</v>
      </c>
      <c r="F315" s="12" t="s">
        <v>17</v>
      </c>
      <c r="G315" s="12" t="s">
        <v>73</v>
      </c>
      <c r="H315" s="12"/>
      <c r="I315" s="14">
        <v>45176</v>
      </c>
      <c r="J315" s="12" t="s">
        <v>1471</v>
      </c>
    </row>
    <row r="316" spans="1:10" s="15" customFormat="1" x14ac:dyDescent="0.15">
      <c r="A316" s="11">
        <v>45180</v>
      </c>
      <c r="B316" s="12" t="s">
        <v>68</v>
      </c>
      <c r="C316" s="12" t="s">
        <v>79</v>
      </c>
      <c r="D316" s="13" t="str">
        <f>HYPERLINK("https://www.marklines.com/en/global/2389","Stellantis, Vauxhall Motors Ltd., Ellesmere Port plant (Former GM Manufacturing, Ellesmere Port plant)")</f>
        <v>Stellantis, Vauxhall Motors Ltd., Ellesmere Port plant (Former GM Manufacturing, Ellesmere Port plant)</v>
      </c>
      <c r="E316" s="12" t="s">
        <v>1470</v>
      </c>
      <c r="F316" s="12" t="s">
        <v>17</v>
      </c>
      <c r="G316" s="12" t="s">
        <v>73</v>
      </c>
      <c r="H316" s="12"/>
      <c r="I316" s="14">
        <v>45176</v>
      </c>
      <c r="J316" s="12" t="s">
        <v>1471</v>
      </c>
    </row>
    <row r="317" spans="1:10" s="15" customFormat="1" x14ac:dyDescent="0.15">
      <c r="A317" s="11">
        <v>45180</v>
      </c>
      <c r="B317" s="12" t="s">
        <v>13</v>
      </c>
      <c r="C317" s="12" t="s">
        <v>1472</v>
      </c>
      <c r="D317" s="13" t="str">
        <f>HYPERLINK("https://www.marklines.com/en/global/9844","Rimac Group, Rimac Technology (formerly Rimac Automobili)")</f>
        <v>Rimac Group, Rimac Technology (formerly Rimac Automobili)</v>
      </c>
      <c r="E317" s="12" t="s">
        <v>1473</v>
      </c>
      <c r="F317" s="12" t="s">
        <v>18</v>
      </c>
      <c r="G317" s="12" t="s">
        <v>1474</v>
      </c>
      <c r="H317" s="12"/>
      <c r="I317" s="14">
        <v>45176</v>
      </c>
      <c r="J317" s="12" t="s">
        <v>1475</v>
      </c>
    </row>
    <row r="318" spans="1:10" s="15" customFormat="1" x14ac:dyDescent="0.15">
      <c r="A318" s="11">
        <v>45180</v>
      </c>
      <c r="B318" s="12" t="s">
        <v>13</v>
      </c>
      <c r="C318" s="12" t="s">
        <v>87</v>
      </c>
      <c r="D318" s="13" t="str">
        <f>HYPERLINK("https://www.marklines.com/en/global/10472","Alexander Dennis Ltd., Plaxton – Scarborough Plant")</f>
        <v>Alexander Dennis Ltd., Plaxton – Scarborough Plant</v>
      </c>
      <c r="E318" s="12" t="s">
        <v>916</v>
      </c>
      <c r="F318" s="12" t="s">
        <v>17</v>
      </c>
      <c r="G318" s="12" t="s">
        <v>73</v>
      </c>
      <c r="H318" s="12"/>
      <c r="I318" s="14">
        <v>45176</v>
      </c>
      <c r="J318" s="12" t="s">
        <v>1476</v>
      </c>
    </row>
    <row r="319" spans="1:10" s="15" customFormat="1" x14ac:dyDescent="0.15">
      <c r="A319" s="11">
        <v>45180</v>
      </c>
      <c r="B319" s="12" t="s">
        <v>1466</v>
      </c>
      <c r="C319" s="12" t="s">
        <v>1467</v>
      </c>
      <c r="D319" s="13" t="str">
        <f>HYPERLINK("https://www.marklines.com/en/global/1103","Ashok Leyland, Hosur Plant")</f>
        <v>Ashok Leyland, Hosur Plant</v>
      </c>
      <c r="E319" s="12" t="s">
        <v>1477</v>
      </c>
      <c r="F319" s="12" t="s">
        <v>25</v>
      </c>
      <c r="G319" s="12" t="s">
        <v>26</v>
      </c>
      <c r="H319" s="12" t="s">
        <v>635</v>
      </c>
      <c r="I319" s="14">
        <v>45176</v>
      </c>
      <c r="J319" s="12" t="s">
        <v>1478</v>
      </c>
    </row>
    <row r="320" spans="1:10" s="15" customFormat="1" x14ac:dyDescent="0.15">
      <c r="A320" s="11">
        <v>45180</v>
      </c>
      <c r="B320" s="12" t="s">
        <v>62</v>
      </c>
      <c r="C320" s="12" t="s">
        <v>62</v>
      </c>
      <c r="D320" s="13" t="str">
        <f>HYPERLINK("https://www.marklines.com/en/global/9390","Chery New Energy Automotive Co., Ltd. (Formerly Chery New Energy Technology Automotive Co., Ltd.)")</f>
        <v>Chery New Energy Automotive Co., Ltd. (Formerly Chery New Energy Technology Automotive Co., Ltd.)</v>
      </c>
      <c r="E320" s="12" t="s">
        <v>325</v>
      </c>
      <c r="F320" s="12" t="s">
        <v>20</v>
      </c>
      <c r="G320" s="12" t="s">
        <v>27</v>
      </c>
      <c r="H320" s="12" t="s">
        <v>326</v>
      </c>
      <c r="I320" s="14">
        <v>45176</v>
      </c>
      <c r="J320" s="12" t="s">
        <v>1479</v>
      </c>
    </row>
    <row r="321" spans="1:10" s="15" customFormat="1" x14ac:dyDescent="0.15">
      <c r="A321" s="11">
        <v>45180</v>
      </c>
      <c r="B321" s="12" t="s">
        <v>109</v>
      </c>
      <c r="C321" s="12" t="s">
        <v>109</v>
      </c>
      <c r="D321" s="13" t="str">
        <f>HYPERLINK("https://www.marklines.com/en/global/10678","BYD Automobile Industry Co., Ltd., Zhengzhou Branch")</f>
        <v>BYD Automobile Industry Co., Ltd., Zhengzhou Branch</v>
      </c>
      <c r="E321" s="12" t="s">
        <v>716</v>
      </c>
      <c r="F321" s="12" t="s">
        <v>20</v>
      </c>
      <c r="G321" s="12" t="s">
        <v>27</v>
      </c>
      <c r="H321" s="12" t="s">
        <v>47</v>
      </c>
      <c r="I321" s="14">
        <v>45175</v>
      </c>
      <c r="J321" s="12" t="s">
        <v>1480</v>
      </c>
    </row>
    <row r="322" spans="1:10" s="15" customFormat="1" x14ac:dyDescent="0.15">
      <c r="A322" s="11">
        <v>45180</v>
      </c>
      <c r="B322" s="12" t="s">
        <v>109</v>
      </c>
      <c r="C322" s="12" t="s">
        <v>109</v>
      </c>
      <c r="D322" s="13" t="str">
        <f>HYPERLINK("https://www.marklines.com/en/global/10526","BYD Automobile Industry Co., Ltd., Hefei Branch")</f>
        <v>BYD Automobile Industry Co., Ltd., Hefei Branch</v>
      </c>
      <c r="E322" s="12" t="s">
        <v>1244</v>
      </c>
      <c r="F322" s="12" t="s">
        <v>20</v>
      </c>
      <c r="G322" s="12" t="s">
        <v>27</v>
      </c>
      <c r="H322" s="12" t="s">
        <v>326</v>
      </c>
      <c r="I322" s="14">
        <v>45175</v>
      </c>
      <c r="J322" s="12" t="s">
        <v>1480</v>
      </c>
    </row>
    <row r="323" spans="1:10" s="15" customFormat="1" x14ac:dyDescent="0.15">
      <c r="A323" s="11">
        <v>45180</v>
      </c>
      <c r="B323" s="12" t="s">
        <v>109</v>
      </c>
      <c r="C323" s="12" t="s">
        <v>109</v>
      </c>
      <c r="D323" s="13" t="str">
        <f>HYPERLINK("https://www.marklines.com/en/global/4043","BYD Automobile Industry Co., Ltd., Changsha Branch")</f>
        <v>BYD Automobile Industry Co., Ltd., Changsha Branch</v>
      </c>
      <c r="E323" s="12" t="s">
        <v>136</v>
      </c>
      <c r="F323" s="12" t="s">
        <v>20</v>
      </c>
      <c r="G323" s="12" t="s">
        <v>27</v>
      </c>
      <c r="H323" s="12" t="s">
        <v>112</v>
      </c>
      <c r="I323" s="14">
        <v>45175</v>
      </c>
      <c r="J323" s="12" t="s">
        <v>1480</v>
      </c>
    </row>
    <row r="324" spans="1:10" s="15" customFormat="1" x14ac:dyDescent="0.15">
      <c r="A324" s="11">
        <v>45180</v>
      </c>
      <c r="B324" s="12" t="s">
        <v>153</v>
      </c>
      <c r="C324" s="12" t="s">
        <v>1338</v>
      </c>
      <c r="D324" s="13" t="str">
        <f>HYPERLINK("https://www.marklines.com/en/global/10637","AVATR Co., Ltd.")</f>
        <v>AVATR Co., Ltd.</v>
      </c>
      <c r="E324" s="12" t="s">
        <v>1339</v>
      </c>
      <c r="F324" s="12" t="s">
        <v>20</v>
      </c>
      <c r="G324" s="12" t="s">
        <v>27</v>
      </c>
      <c r="H324" s="12" t="s">
        <v>30</v>
      </c>
      <c r="I324" s="14">
        <v>45174</v>
      </c>
      <c r="J324" s="12" t="s">
        <v>1481</v>
      </c>
    </row>
    <row r="325" spans="1:10" s="15" customFormat="1" x14ac:dyDescent="0.15">
      <c r="A325" s="11">
        <v>45180</v>
      </c>
      <c r="B325" s="12" t="s">
        <v>153</v>
      </c>
      <c r="C325" s="12" t="s">
        <v>1338</v>
      </c>
      <c r="D325" s="13" t="str">
        <f>HYPERLINK("https://www.marklines.com/en/global/4163","Chongqing Changan Automobile Co., Ltd.")</f>
        <v>Chongqing Changan Automobile Co., Ltd.</v>
      </c>
      <c r="E325" s="12" t="s">
        <v>1020</v>
      </c>
      <c r="F325" s="12" t="s">
        <v>20</v>
      </c>
      <c r="G325" s="12" t="s">
        <v>27</v>
      </c>
      <c r="H325" s="12" t="s">
        <v>30</v>
      </c>
      <c r="I325" s="14">
        <v>45174</v>
      </c>
      <c r="J325" s="12" t="s">
        <v>1481</v>
      </c>
    </row>
    <row r="326" spans="1:10" s="15" customFormat="1" x14ac:dyDescent="0.15">
      <c r="A326" s="11">
        <v>45180</v>
      </c>
      <c r="B326" s="12" t="s">
        <v>437</v>
      </c>
      <c r="C326" s="12" t="s">
        <v>437</v>
      </c>
      <c r="D326" s="13" t="str">
        <f>HYPERLINK("https://www.marklines.com/en/global/4145","Dongfeng Liuzhou Motor Co., Ltd. ")</f>
        <v xml:space="preserve">Dongfeng Liuzhou Motor Co., Ltd. </v>
      </c>
      <c r="E326" s="12" t="s">
        <v>1482</v>
      </c>
      <c r="F326" s="12" t="s">
        <v>20</v>
      </c>
      <c r="G326" s="12" t="s">
        <v>27</v>
      </c>
      <c r="H326" s="12" t="s">
        <v>48</v>
      </c>
      <c r="I326" s="14">
        <v>45174</v>
      </c>
      <c r="J326" s="12" t="s">
        <v>1483</v>
      </c>
    </row>
    <row r="327" spans="1:10" s="15" customFormat="1" x14ac:dyDescent="0.15">
      <c r="A327" s="11">
        <v>45180</v>
      </c>
      <c r="B327" s="12" t="s">
        <v>63</v>
      </c>
      <c r="C327" s="12" t="s">
        <v>64</v>
      </c>
      <c r="D327" s="13" t="str">
        <f>HYPERLINK("https://www.marklines.com/en/global/3425","Beiqi Foton Motor Co., Ltd.")</f>
        <v>Beiqi Foton Motor Co., Ltd.</v>
      </c>
      <c r="E327" s="12" t="s">
        <v>505</v>
      </c>
      <c r="F327" s="12" t="s">
        <v>20</v>
      </c>
      <c r="G327" s="12" t="s">
        <v>27</v>
      </c>
      <c r="H327" s="12" t="s">
        <v>37</v>
      </c>
      <c r="I327" s="14">
        <v>45174</v>
      </c>
      <c r="J327" s="12" t="s">
        <v>1484</v>
      </c>
    </row>
    <row r="328" spans="1:10" s="15" customFormat="1" x14ac:dyDescent="0.15">
      <c r="A328" s="11">
        <v>45180</v>
      </c>
      <c r="B328" s="12" t="s">
        <v>833</v>
      </c>
      <c r="C328" s="12" t="s">
        <v>833</v>
      </c>
      <c r="D328" s="13" t="str">
        <f>HYPERLINK("https://www.marklines.com/en/global/9578","Seres Group Co., Ltd. (formerly Chongqing Sokon Industrial Group Co., Ltd.)")</f>
        <v>Seres Group Co., Ltd. (formerly Chongqing Sokon Industrial Group Co., Ltd.)</v>
      </c>
      <c r="E328" s="12" t="s">
        <v>1021</v>
      </c>
      <c r="F328" s="12" t="s">
        <v>20</v>
      </c>
      <c r="G328" s="12" t="s">
        <v>27</v>
      </c>
      <c r="H328" s="12" t="s">
        <v>30</v>
      </c>
      <c r="I328" s="14">
        <v>45174</v>
      </c>
      <c r="J328" s="12" t="s">
        <v>1485</v>
      </c>
    </row>
    <row r="329" spans="1:10" s="15" customFormat="1" x14ac:dyDescent="0.15">
      <c r="A329" s="11">
        <v>45180</v>
      </c>
      <c r="B329" s="12" t="s">
        <v>153</v>
      </c>
      <c r="C329" s="12" t="s">
        <v>153</v>
      </c>
      <c r="D329" s="13" t="str">
        <f>HYPERLINK("https://www.marklines.com/en/global/3449","China Changan Automobile Group Co., Ltd. ")</f>
        <v xml:space="preserve">China Changan Automobile Group Co., Ltd. </v>
      </c>
      <c r="E329" s="12" t="s">
        <v>372</v>
      </c>
      <c r="F329" s="12" t="s">
        <v>20</v>
      </c>
      <c r="G329" s="12" t="s">
        <v>27</v>
      </c>
      <c r="H329" s="12" t="s">
        <v>37</v>
      </c>
      <c r="I329" s="14">
        <v>45173</v>
      </c>
      <c r="J329" s="12" t="s">
        <v>1486</v>
      </c>
    </row>
    <row r="330" spans="1:10" s="15" customFormat="1" x14ac:dyDescent="0.15">
      <c r="A330" s="11">
        <v>45180</v>
      </c>
      <c r="B330" s="12" t="s">
        <v>153</v>
      </c>
      <c r="C330" s="12" t="s">
        <v>153</v>
      </c>
      <c r="D330" s="13" t="str">
        <f>HYPERLINK("https://www.marklines.com/en/global/4163","Chongqing Changan Automobile Co., Ltd.")</f>
        <v>Chongqing Changan Automobile Co., Ltd.</v>
      </c>
      <c r="E330" s="12" t="s">
        <v>1020</v>
      </c>
      <c r="F330" s="12" t="s">
        <v>20</v>
      </c>
      <c r="G330" s="12" t="s">
        <v>27</v>
      </c>
      <c r="H330" s="12" t="s">
        <v>30</v>
      </c>
      <c r="I330" s="14">
        <v>45173</v>
      </c>
      <c r="J330" s="12" t="s">
        <v>1486</v>
      </c>
    </row>
    <row r="331" spans="1:10" s="15" customFormat="1" x14ac:dyDescent="0.15">
      <c r="A331" s="11">
        <v>45180</v>
      </c>
      <c r="B331" s="12" t="s">
        <v>153</v>
      </c>
      <c r="C331" s="12" t="s">
        <v>153</v>
      </c>
      <c r="D331" s="13" t="str">
        <f>HYPERLINK("https://www.marklines.com/en/global/3907","Jiangling Motor Holding Co., Ltd. (JMH) (Landwind)")</f>
        <v>Jiangling Motor Holding Co., Ltd. (JMH) (Landwind)</v>
      </c>
      <c r="E331" s="12" t="s">
        <v>1210</v>
      </c>
      <c r="F331" s="12" t="s">
        <v>20</v>
      </c>
      <c r="G331" s="12" t="s">
        <v>27</v>
      </c>
      <c r="H331" s="12" t="s">
        <v>370</v>
      </c>
      <c r="I331" s="14">
        <v>45173</v>
      </c>
      <c r="J331" s="12" t="s">
        <v>1486</v>
      </c>
    </row>
    <row r="332" spans="1:10" s="15" customFormat="1" x14ac:dyDescent="0.15">
      <c r="A332" s="11">
        <v>45180</v>
      </c>
      <c r="B332" s="12" t="s">
        <v>83</v>
      </c>
      <c r="C332" s="12" t="s">
        <v>83</v>
      </c>
      <c r="D332" s="13" t="str">
        <f>HYPERLINK("https://www.marklines.com/en/global/9553","Leapmotor Co., Ltd. ")</f>
        <v xml:space="preserve">Leapmotor Co., Ltd. </v>
      </c>
      <c r="E332" s="12" t="s">
        <v>1487</v>
      </c>
      <c r="F332" s="12" t="s">
        <v>20</v>
      </c>
      <c r="G332" s="12" t="s">
        <v>27</v>
      </c>
      <c r="H332" s="12" t="s">
        <v>51</v>
      </c>
      <c r="I332" s="14">
        <v>45173</v>
      </c>
      <c r="J332" s="12" t="s">
        <v>1488</v>
      </c>
    </row>
    <row r="333" spans="1:10" s="15" customFormat="1" x14ac:dyDescent="0.15">
      <c r="A333" s="11">
        <v>45180</v>
      </c>
      <c r="B333" s="12" t="s">
        <v>53</v>
      </c>
      <c r="C333" s="12" t="s">
        <v>53</v>
      </c>
      <c r="D333" s="13" t="str">
        <f>HYPERLINK("https://www.marklines.com/en/global/3543","Hebei Changzheng Automobile Manufacturing Co., Ltd.")</f>
        <v>Hebei Changzheng Automobile Manufacturing Co., Ltd.</v>
      </c>
      <c r="E333" s="12" t="s">
        <v>1489</v>
      </c>
      <c r="F333" s="12" t="s">
        <v>20</v>
      </c>
      <c r="G333" s="12" t="s">
        <v>27</v>
      </c>
      <c r="H333" s="12" t="s">
        <v>557</v>
      </c>
      <c r="I333" s="14">
        <v>45173</v>
      </c>
      <c r="J333" s="12" t="s">
        <v>1490</v>
      </c>
    </row>
    <row r="334" spans="1:10" s="15" customFormat="1" x14ac:dyDescent="0.15">
      <c r="A334" s="11">
        <v>45180</v>
      </c>
      <c r="B334" s="12" t="s">
        <v>53</v>
      </c>
      <c r="C334" s="12" t="s">
        <v>53</v>
      </c>
      <c r="D334" s="13" t="str">
        <f>HYPERLINK("https://www.marklines.com/en/global/3533","Great Wall Motor Company Limited (GWM)")</f>
        <v>Great Wall Motor Company Limited (GWM)</v>
      </c>
      <c r="E334" s="12" t="s">
        <v>556</v>
      </c>
      <c r="F334" s="12" t="s">
        <v>20</v>
      </c>
      <c r="G334" s="12" t="s">
        <v>27</v>
      </c>
      <c r="H334" s="12" t="s">
        <v>557</v>
      </c>
      <c r="I334" s="14">
        <v>45173</v>
      </c>
      <c r="J334" s="12" t="s">
        <v>1490</v>
      </c>
    </row>
    <row r="335" spans="1:10" s="15" customFormat="1" x14ac:dyDescent="0.15">
      <c r="A335" s="11">
        <v>45180</v>
      </c>
      <c r="B335" s="12" t="s">
        <v>63</v>
      </c>
      <c r="C335" s="12" t="s">
        <v>64</v>
      </c>
      <c r="D335" s="13" t="str">
        <f>HYPERLINK("https://www.marklines.com/en/global/3429","Beijing Foton Daimler Automotive Co., Ltd. (BFDA)")</f>
        <v>Beijing Foton Daimler Automotive Co., Ltd. (BFDA)</v>
      </c>
      <c r="E335" s="12" t="s">
        <v>847</v>
      </c>
      <c r="F335" s="12" t="s">
        <v>20</v>
      </c>
      <c r="G335" s="12" t="s">
        <v>27</v>
      </c>
      <c r="H335" s="12" t="s">
        <v>37</v>
      </c>
      <c r="I335" s="14">
        <v>45171</v>
      </c>
      <c r="J335" s="12" t="s">
        <v>1491</v>
      </c>
    </row>
    <row r="336" spans="1:10" s="15" customFormat="1" x14ac:dyDescent="0.15">
      <c r="A336" s="11">
        <v>45180</v>
      </c>
      <c r="B336" s="12" t="s">
        <v>28</v>
      </c>
      <c r="C336" s="12" t="s">
        <v>488</v>
      </c>
      <c r="D336" s="13" t="str">
        <f>HYPERLINK("https://www.marklines.com/en/global/3429","Beijing Foton Daimler Automotive Co., Ltd. (BFDA)")</f>
        <v>Beijing Foton Daimler Automotive Co., Ltd. (BFDA)</v>
      </c>
      <c r="E336" s="12" t="s">
        <v>847</v>
      </c>
      <c r="F336" s="12" t="s">
        <v>20</v>
      </c>
      <c r="G336" s="12" t="s">
        <v>27</v>
      </c>
      <c r="H336" s="12" t="s">
        <v>37</v>
      </c>
      <c r="I336" s="14">
        <v>45171</v>
      </c>
      <c r="J336" s="12" t="s">
        <v>1491</v>
      </c>
    </row>
    <row r="337" spans="1:10" s="15" customFormat="1" x14ac:dyDescent="0.15">
      <c r="A337" s="11">
        <v>45180</v>
      </c>
      <c r="B337" s="12" t="s">
        <v>41</v>
      </c>
      <c r="C337" s="12" t="s">
        <v>41</v>
      </c>
      <c r="D337" s="13" t="str">
        <f>HYPERLINK("https://www.marklines.com/en/global/3609","SAIC Motor Corporation Limited")</f>
        <v>SAIC Motor Corporation Limited</v>
      </c>
      <c r="E337" s="12" t="s">
        <v>120</v>
      </c>
      <c r="F337" s="12" t="s">
        <v>20</v>
      </c>
      <c r="G337" s="12" t="s">
        <v>27</v>
      </c>
      <c r="H337" s="12" t="s">
        <v>106</v>
      </c>
      <c r="I337" s="14">
        <v>45169</v>
      </c>
      <c r="J337" s="12" t="s">
        <v>1492</v>
      </c>
    </row>
    <row r="338" spans="1:10" s="15" customFormat="1" x14ac:dyDescent="0.15">
      <c r="A338" s="11">
        <v>45180</v>
      </c>
      <c r="B338" s="12" t="s">
        <v>29</v>
      </c>
      <c r="C338" s="12" t="s">
        <v>929</v>
      </c>
      <c r="D338" s="13" t="str">
        <f>HYPERLINK("https://www.marklines.com/en/global/10387","Zeekr Automobile (Ningbo Hangzhou Bay New Zone) Co., Ltd. (formerly Ningbo Zeekr Intelligent Technology Co., Ltd.")</f>
        <v>Zeekr Automobile (Ningbo Hangzhou Bay New Zone) Co., Ltd. (formerly Ningbo Zeekr Intelligent Technology Co., Ltd.</v>
      </c>
      <c r="E338" s="12" t="s">
        <v>930</v>
      </c>
      <c r="F338" s="12" t="s">
        <v>20</v>
      </c>
      <c r="G338" s="12" t="s">
        <v>27</v>
      </c>
      <c r="H338" s="12" t="s">
        <v>51</v>
      </c>
      <c r="I338" s="14">
        <v>45166</v>
      </c>
      <c r="J338" s="12" t="s">
        <v>1493</v>
      </c>
    </row>
    <row r="339" spans="1:10" s="15" customFormat="1" x14ac:dyDescent="0.15">
      <c r="A339" s="11">
        <v>45178</v>
      </c>
      <c r="B339" s="12" t="s">
        <v>198</v>
      </c>
      <c r="C339" s="12" t="s">
        <v>198</v>
      </c>
      <c r="D339" s="13" t="str">
        <f>HYPERLINK("https://www.marklines.com/en/global/1809","Magna Steyr Fahrzeugtechnik AG &amp; Co KG, Graz Plant")</f>
        <v>Magna Steyr Fahrzeugtechnik AG &amp; Co KG, Graz Plant</v>
      </c>
      <c r="E339" s="12" t="s">
        <v>101</v>
      </c>
      <c r="F339" s="12" t="s">
        <v>17</v>
      </c>
      <c r="G339" s="12" t="s">
        <v>102</v>
      </c>
      <c r="H339" s="12"/>
      <c r="I339" s="14">
        <v>45176</v>
      </c>
      <c r="J339" s="12" t="s">
        <v>1494</v>
      </c>
    </row>
    <row r="340" spans="1:10" s="15" customFormat="1" x14ac:dyDescent="0.15">
      <c r="A340" s="11">
        <v>45178</v>
      </c>
      <c r="B340" s="12" t="s">
        <v>34</v>
      </c>
      <c r="C340" s="12" t="s">
        <v>34</v>
      </c>
      <c r="D340" s="13" t="str">
        <f>HYPERLINK("https://www.marklines.com/en/global/9812","Tesla (Shanghai) Co., Ltd.")</f>
        <v>Tesla (Shanghai) Co., Ltd.</v>
      </c>
      <c r="E340" s="12" t="s">
        <v>427</v>
      </c>
      <c r="F340" s="12" t="s">
        <v>20</v>
      </c>
      <c r="G340" s="12" t="s">
        <v>27</v>
      </c>
      <c r="H340" s="12" t="s">
        <v>106</v>
      </c>
      <c r="I340" s="14">
        <v>45175</v>
      </c>
      <c r="J340" s="12" t="s">
        <v>1495</v>
      </c>
    </row>
    <row r="341" spans="1:10" s="15" customFormat="1" x14ac:dyDescent="0.15">
      <c r="A341" s="11">
        <v>45177</v>
      </c>
      <c r="B341" s="12" t="s">
        <v>733</v>
      </c>
      <c r="C341" s="12" t="s">
        <v>734</v>
      </c>
      <c r="D341" s="13" t="str">
        <f>HYPERLINK("https://www.marklines.com/en/global/1282","Tata Marcopolo Motors, Dharwad Plant")</f>
        <v>Tata Marcopolo Motors, Dharwad Plant</v>
      </c>
      <c r="E341" s="12" t="s">
        <v>1296</v>
      </c>
      <c r="F341" s="12" t="s">
        <v>25</v>
      </c>
      <c r="G341" s="12" t="s">
        <v>26</v>
      </c>
      <c r="H341" s="12" t="s">
        <v>116</v>
      </c>
      <c r="I341" s="14">
        <v>45175</v>
      </c>
      <c r="J341" s="12" t="s">
        <v>1297</v>
      </c>
    </row>
    <row r="342" spans="1:10" s="15" customFormat="1" x14ac:dyDescent="0.15">
      <c r="A342" s="11">
        <v>45177</v>
      </c>
      <c r="B342" s="12" t="s">
        <v>733</v>
      </c>
      <c r="C342" s="12" t="s">
        <v>734</v>
      </c>
      <c r="D342" s="13" t="str">
        <f>HYPERLINK("https://www.marklines.com/en/global/9587","Tata Motors Limited,  Dharwad Plant")</f>
        <v>Tata Motors Limited,  Dharwad Plant</v>
      </c>
      <c r="E342" s="12" t="s">
        <v>1298</v>
      </c>
      <c r="F342" s="12" t="s">
        <v>25</v>
      </c>
      <c r="G342" s="12" t="s">
        <v>26</v>
      </c>
      <c r="H342" s="12" t="s">
        <v>116</v>
      </c>
      <c r="I342" s="14">
        <v>45175</v>
      </c>
      <c r="J342" s="12" t="s">
        <v>1297</v>
      </c>
    </row>
    <row r="343" spans="1:10" s="15" customFormat="1" x14ac:dyDescent="0.15">
      <c r="A343" s="11">
        <v>45177</v>
      </c>
      <c r="B343" s="12" t="s">
        <v>93</v>
      </c>
      <c r="C343" s="12" t="s">
        <v>93</v>
      </c>
      <c r="D343" s="13" t="str">
        <f>HYPERLINK("https://www.marklines.com/en/global/173","Maubeuge Construction Automobile (MCA), Maubeuge Plant")</f>
        <v>Maubeuge Construction Automobile (MCA), Maubeuge Plant</v>
      </c>
      <c r="E343" s="12" t="s">
        <v>1299</v>
      </c>
      <c r="F343" s="12" t="s">
        <v>17</v>
      </c>
      <c r="G343" s="12" t="s">
        <v>40</v>
      </c>
      <c r="H343" s="12"/>
      <c r="I343" s="14">
        <v>45174</v>
      </c>
      <c r="J343" s="12" t="s">
        <v>1300</v>
      </c>
    </row>
    <row r="344" spans="1:10" s="15" customFormat="1" x14ac:dyDescent="0.15">
      <c r="A344" s="11">
        <v>45177</v>
      </c>
      <c r="B344" s="12" t="s">
        <v>43</v>
      </c>
      <c r="C344" s="12" t="s">
        <v>1301</v>
      </c>
      <c r="D344" s="13" t="str">
        <f>HYPERLINK("https://www.marklines.com/en/global/10697","Haru Oni eFuel Plant, Punta Arenas")</f>
        <v>Haru Oni eFuel Plant, Punta Arenas</v>
      </c>
      <c r="E344" s="12" t="s">
        <v>1302</v>
      </c>
      <c r="F344" s="12" t="s">
        <v>74</v>
      </c>
      <c r="G344" s="12" t="s">
        <v>1303</v>
      </c>
      <c r="H344" s="12"/>
      <c r="I344" s="14">
        <v>45173</v>
      </c>
      <c r="J344" s="12" t="s">
        <v>1304</v>
      </c>
    </row>
    <row r="345" spans="1:10" s="15" customFormat="1" x14ac:dyDescent="0.15">
      <c r="A345" s="11">
        <v>45177</v>
      </c>
      <c r="B345" s="12" t="s">
        <v>39</v>
      </c>
      <c r="C345" s="12" t="s">
        <v>39</v>
      </c>
      <c r="D345" s="13" t="str">
        <f>HYPERLINK("https://www.marklines.com/en/global/9879","BMW Manufacturing Hungary Kft., Debrecen Gyar plant")</f>
        <v>BMW Manufacturing Hungary Kft., Debrecen Gyar plant</v>
      </c>
      <c r="E345" s="12" t="s">
        <v>1305</v>
      </c>
      <c r="F345" s="12" t="s">
        <v>18</v>
      </c>
      <c r="G345" s="12" t="s">
        <v>1306</v>
      </c>
      <c r="H345" s="12"/>
      <c r="I345" s="14">
        <v>45171</v>
      </c>
      <c r="J345" s="12" t="s">
        <v>1307</v>
      </c>
    </row>
    <row r="346" spans="1:10" s="15" customFormat="1" x14ac:dyDescent="0.15">
      <c r="A346" s="11">
        <v>45176</v>
      </c>
      <c r="B346" s="12" t="s">
        <v>29</v>
      </c>
      <c r="C346" s="12" t="s">
        <v>1112</v>
      </c>
      <c r="D346" s="13" t="str">
        <f>HYPERLINK("https://www.marklines.com/en/global/4303","Volvo Car Chengdu Manufacturing Plant")</f>
        <v>Volvo Car Chengdu Manufacturing Plant</v>
      </c>
      <c r="E346" s="12" t="s">
        <v>1308</v>
      </c>
      <c r="F346" s="12" t="s">
        <v>20</v>
      </c>
      <c r="G346" s="12" t="s">
        <v>27</v>
      </c>
      <c r="H346" s="12" t="s">
        <v>659</v>
      </c>
      <c r="I346" s="14">
        <v>45175</v>
      </c>
      <c r="J346" s="12" t="s">
        <v>1309</v>
      </c>
    </row>
    <row r="347" spans="1:10" s="15" customFormat="1" x14ac:dyDescent="0.15">
      <c r="A347" s="11">
        <v>45176</v>
      </c>
      <c r="B347" s="12" t="s">
        <v>29</v>
      </c>
      <c r="C347" s="12" t="s">
        <v>1112</v>
      </c>
      <c r="D347" s="13" t="str">
        <f>HYPERLINK("https://www.marklines.com/en/global/9324","Volvo Cars, Ridgeville Plant")</f>
        <v>Volvo Cars, Ridgeville Plant</v>
      </c>
      <c r="E347" s="12" t="s">
        <v>110</v>
      </c>
      <c r="F347" s="12" t="s">
        <v>16</v>
      </c>
      <c r="G347" s="12" t="s">
        <v>11</v>
      </c>
      <c r="H347" s="12" t="s">
        <v>111</v>
      </c>
      <c r="I347" s="14">
        <v>45175</v>
      </c>
      <c r="J347" s="12" t="s">
        <v>1309</v>
      </c>
    </row>
    <row r="348" spans="1:10" s="15" customFormat="1" x14ac:dyDescent="0.15">
      <c r="A348" s="11">
        <v>45176</v>
      </c>
      <c r="B348" s="12" t="s">
        <v>62</v>
      </c>
      <c r="C348" s="12" t="s">
        <v>62</v>
      </c>
      <c r="D348" s="13" t="str">
        <f>HYPERLINK("https://www.marklines.com/en/global/3879","Chery Automobile Co., Ltd. ")</f>
        <v xml:space="preserve">Chery Automobile Co., Ltd. </v>
      </c>
      <c r="E348" s="12" t="s">
        <v>773</v>
      </c>
      <c r="F348" s="12" t="s">
        <v>20</v>
      </c>
      <c r="G348" s="12" t="s">
        <v>27</v>
      </c>
      <c r="H348" s="12" t="s">
        <v>326</v>
      </c>
      <c r="I348" s="14">
        <v>45174</v>
      </c>
      <c r="J348" s="12" t="s">
        <v>1310</v>
      </c>
    </row>
    <row r="349" spans="1:10" s="15" customFormat="1" x14ac:dyDescent="0.15">
      <c r="A349" s="11">
        <v>45176</v>
      </c>
      <c r="B349" s="12" t="s">
        <v>62</v>
      </c>
      <c r="C349" s="12" t="s">
        <v>62</v>
      </c>
      <c r="D349" s="13" t="str">
        <f>HYPERLINK("https://www.marklines.com/en/global/9390","Chery New Energy Automotive Co., Ltd. (Formerly Chery New Energy Technology Automotive Co., Ltd.)")</f>
        <v>Chery New Energy Automotive Co., Ltd. (Formerly Chery New Energy Technology Automotive Co., Ltd.)</v>
      </c>
      <c r="E349" s="12" t="s">
        <v>325</v>
      </c>
      <c r="F349" s="12" t="s">
        <v>20</v>
      </c>
      <c r="G349" s="12" t="s">
        <v>27</v>
      </c>
      <c r="H349" s="12" t="s">
        <v>326</v>
      </c>
      <c r="I349" s="14">
        <v>45174</v>
      </c>
      <c r="J349" s="12" t="s">
        <v>1311</v>
      </c>
    </row>
    <row r="350" spans="1:10" s="15" customFormat="1" x14ac:dyDescent="0.15">
      <c r="A350" s="11">
        <v>45176</v>
      </c>
      <c r="B350" s="12" t="s">
        <v>41</v>
      </c>
      <c r="C350" s="12" t="s">
        <v>1312</v>
      </c>
      <c r="D350" s="13" t="str">
        <f>HYPERLINK("https://www.marklines.com/en/global/4153","SAIC-GM-Wuling Automobile Co., Ltd. (SGMW)　")</f>
        <v>SAIC-GM-Wuling Automobile Co., Ltd. (SGMW)　</v>
      </c>
      <c r="E350" s="12" t="s">
        <v>666</v>
      </c>
      <c r="F350" s="12" t="s">
        <v>20</v>
      </c>
      <c r="G350" s="12" t="s">
        <v>27</v>
      </c>
      <c r="H350" s="12" t="s">
        <v>48</v>
      </c>
      <c r="I350" s="14">
        <v>45173</v>
      </c>
      <c r="J350" s="12" t="s">
        <v>1313</v>
      </c>
    </row>
    <row r="351" spans="1:10" s="15" customFormat="1" x14ac:dyDescent="0.15">
      <c r="A351" s="11">
        <v>45176</v>
      </c>
      <c r="B351" s="12" t="s">
        <v>41</v>
      </c>
      <c r="C351" s="12" t="s">
        <v>1312</v>
      </c>
      <c r="D351" s="13" t="str">
        <f>HYPERLINK("https://www.marklines.com/en/global/9039","SAIC GM Wuling Automobile Co., Ltd. Chongqing Branch (SGMW Chongqing Branch)")</f>
        <v>SAIC GM Wuling Automobile Co., Ltd. Chongqing Branch (SGMW Chongqing Branch)</v>
      </c>
      <c r="E351" s="12" t="s">
        <v>665</v>
      </c>
      <c r="F351" s="12" t="s">
        <v>20</v>
      </c>
      <c r="G351" s="12" t="s">
        <v>27</v>
      </c>
      <c r="H351" s="12" t="s">
        <v>30</v>
      </c>
      <c r="I351" s="14">
        <v>45173</v>
      </c>
      <c r="J351" s="12" t="s">
        <v>1313</v>
      </c>
    </row>
    <row r="352" spans="1:10" s="15" customFormat="1" x14ac:dyDescent="0.15">
      <c r="A352" s="11">
        <v>45176</v>
      </c>
      <c r="B352" s="12" t="s">
        <v>41</v>
      </c>
      <c r="C352" s="12" t="s">
        <v>1312</v>
      </c>
      <c r="D352" s="13" t="str">
        <f>HYPERLINK("https://www.marklines.com/en/global/3687","SAIC GM Wuling Automobile Co., Ltd. Qingdao Branch (SGMW Qingdao Branch)")</f>
        <v>SAIC GM Wuling Automobile Co., Ltd. Qingdao Branch (SGMW Qingdao Branch)</v>
      </c>
      <c r="E352" s="12" t="s">
        <v>663</v>
      </c>
      <c r="F352" s="12" t="s">
        <v>20</v>
      </c>
      <c r="G352" s="12" t="s">
        <v>27</v>
      </c>
      <c r="H352" s="12" t="s">
        <v>469</v>
      </c>
      <c r="I352" s="14">
        <v>45173</v>
      </c>
      <c r="J352" s="12" t="s">
        <v>1313</v>
      </c>
    </row>
    <row r="353" spans="1:10" s="15" customFormat="1" x14ac:dyDescent="0.15">
      <c r="A353" s="11">
        <v>45176</v>
      </c>
      <c r="B353" s="12" t="s">
        <v>368</v>
      </c>
      <c r="C353" s="12" t="s">
        <v>368</v>
      </c>
      <c r="D353" s="13" t="str">
        <f>HYPERLINK("https://www.marklines.com/en/global/9541","Jiangxi Jiangling Group Electric Vehicle Co., Ltd. (JMEV)")</f>
        <v>Jiangxi Jiangling Group Electric Vehicle Co., Ltd. (JMEV)</v>
      </c>
      <c r="E353" s="12" t="s">
        <v>1314</v>
      </c>
      <c r="F353" s="12" t="s">
        <v>20</v>
      </c>
      <c r="G353" s="12" t="s">
        <v>27</v>
      </c>
      <c r="H353" s="12" t="s">
        <v>370</v>
      </c>
      <c r="I353" s="14">
        <v>45171</v>
      </c>
      <c r="J353" s="12" t="s">
        <v>1315</v>
      </c>
    </row>
    <row r="354" spans="1:10" s="15" customFormat="1" x14ac:dyDescent="0.15">
      <c r="A354" s="11">
        <v>45176</v>
      </c>
      <c r="B354" s="12" t="s">
        <v>29</v>
      </c>
      <c r="C354" s="12" t="s">
        <v>929</v>
      </c>
      <c r="D354" s="13" t="str">
        <f>HYPERLINK("https://www.marklines.com/en/global/10391","Zhejiang Geely Automobile Co., Ltd. Meishan Plant")</f>
        <v>Zhejiang Geely Automobile Co., Ltd. Meishan Plant</v>
      </c>
      <c r="E354" s="12" t="s">
        <v>946</v>
      </c>
      <c r="F354" s="12" t="s">
        <v>20</v>
      </c>
      <c r="G354" s="12" t="s">
        <v>27</v>
      </c>
      <c r="H354" s="12" t="s">
        <v>51</v>
      </c>
      <c r="I354" s="14">
        <v>45170</v>
      </c>
      <c r="J354" s="12" t="s">
        <v>1316</v>
      </c>
    </row>
    <row r="355" spans="1:10" s="15" customFormat="1" x14ac:dyDescent="0.15">
      <c r="A355" s="11">
        <v>45176</v>
      </c>
      <c r="B355" s="12" t="s">
        <v>29</v>
      </c>
      <c r="C355" s="12" t="s">
        <v>929</v>
      </c>
      <c r="D355" s="13" t="str">
        <f>HYPERLINK("https://www.marklines.com/en/global/10387","Zeekr Automobile (Ningbo Hangzhou Bay New Zone) Co., Ltd. (formerly Ningbo Zeekr Intelligent Technology Co., Ltd.")</f>
        <v>Zeekr Automobile (Ningbo Hangzhou Bay New Zone) Co., Ltd. (formerly Ningbo Zeekr Intelligent Technology Co., Ltd.</v>
      </c>
      <c r="E355" s="12" t="s">
        <v>930</v>
      </c>
      <c r="F355" s="12" t="s">
        <v>20</v>
      </c>
      <c r="G355" s="12" t="s">
        <v>27</v>
      </c>
      <c r="H355" s="12" t="s">
        <v>51</v>
      </c>
      <c r="I355" s="14">
        <v>45170</v>
      </c>
      <c r="J355" s="12" t="s">
        <v>1316</v>
      </c>
    </row>
    <row r="356" spans="1:10" s="15" customFormat="1" x14ac:dyDescent="0.15">
      <c r="A356" s="11">
        <v>45176</v>
      </c>
      <c r="B356" s="12" t="s">
        <v>725</v>
      </c>
      <c r="C356" s="12" t="s">
        <v>726</v>
      </c>
      <c r="D356" s="13" t="str">
        <f>HYPERLINK("https://www.marklines.com/en/global/10712","Neta Zhihe New Energy Vehicle Technology (Shanghai) Co., Ltd.")</f>
        <v>Neta Zhihe New Energy Vehicle Technology (Shanghai) Co., Ltd.</v>
      </c>
      <c r="E356" s="12" t="s">
        <v>727</v>
      </c>
      <c r="F356" s="12" t="s">
        <v>20</v>
      </c>
      <c r="G356" s="12" t="s">
        <v>27</v>
      </c>
      <c r="H356" s="12" t="s">
        <v>106</v>
      </c>
      <c r="I356" s="14">
        <v>45169</v>
      </c>
      <c r="J356" s="12" t="s">
        <v>1317</v>
      </c>
    </row>
    <row r="357" spans="1:10" s="15" customFormat="1" x14ac:dyDescent="0.15">
      <c r="A357" s="11">
        <v>45176</v>
      </c>
      <c r="B357" s="12" t="s">
        <v>100</v>
      </c>
      <c r="C357" s="12" t="s">
        <v>100</v>
      </c>
      <c r="D357" s="13" t="str">
        <f>HYPERLINK("https://www.marklines.com/en/global/10422","AESC Ibaraki Ltd. (Ibaraki Plant)")</f>
        <v>AESC Ibaraki Ltd. (Ibaraki Plant)</v>
      </c>
      <c r="E357" s="12" t="s">
        <v>310</v>
      </c>
      <c r="F357" s="12" t="s">
        <v>20</v>
      </c>
      <c r="G357" s="12" t="s">
        <v>23</v>
      </c>
      <c r="H357" s="12" t="s">
        <v>107</v>
      </c>
      <c r="I357" s="14">
        <v>45167</v>
      </c>
      <c r="J357" s="12" t="s">
        <v>1318</v>
      </c>
    </row>
    <row r="358" spans="1:10" s="15" customFormat="1" x14ac:dyDescent="0.15">
      <c r="A358" s="11">
        <v>45175</v>
      </c>
      <c r="B358" s="12" t="s">
        <v>13</v>
      </c>
      <c r="C358" s="12" t="s">
        <v>362</v>
      </c>
      <c r="D358" s="13" t="str">
        <f>HYPERLINK("https://www.marklines.com/en/global/803","JSC UralAZ (Ural Avtomobilny Zavod), Chelyabinsk Plant")</f>
        <v>JSC UralAZ (Ural Avtomobilny Zavod), Chelyabinsk Plant</v>
      </c>
      <c r="E358" s="12" t="s">
        <v>363</v>
      </c>
      <c r="F358" s="12" t="s">
        <v>18</v>
      </c>
      <c r="G358" s="12" t="s">
        <v>14</v>
      </c>
      <c r="H358" s="12"/>
      <c r="I358" s="14">
        <v>45174</v>
      </c>
      <c r="J358" s="12" t="s">
        <v>1319</v>
      </c>
    </row>
    <row r="359" spans="1:10" s="15" customFormat="1" x14ac:dyDescent="0.15">
      <c r="A359" s="11">
        <v>45175</v>
      </c>
      <c r="B359" s="12" t="s">
        <v>733</v>
      </c>
      <c r="C359" s="12" t="s">
        <v>734</v>
      </c>
      <c r="D359" s="13" t="str">
        <f>HYPERLINK("https://www.marklines.com/en/global/1263","Tata Motors, Pune Plant")</f>
        <v>Tata Motors, Pune Plant</v>
      </c>
      <c r="E359" s="12" t="s">
        <v>735</v>
      </c>
      <c r="F359" s="12" t="s">
        <v>25</v>
      </c>
      <c r="G359" s="12" t="s">
        <v>26</v>
      </c>
      <c r="H359" s="12" t="s">
        <v>736</v>
      </c>
      <c r="I359" s="14">
        <v>45174</v>
      </c>
      <c r="J359" s="12" t="s">
        <v>1320</v>
      </c>
    </row>
    <row r="360" spans="1:10" s="15" customFormat="1" x14ac:dyDescent="0.15">
      <c r="A360" s="11">
        <v>45175</v>
      </c>
      <c r="B360" s="12" t="s">
        <v>43</v>
      </c>
      <c r="C360" s="12" t="s">
        <v>67</v>
      </c>
      <c r="D360" s="13" t="str">
        <f>HYPERLINK("https://www.marklines.com/en/global/3309","Volkswagen Group of America Chattanooga Operations, LLC, Chattanooga Plant")</f>
        <v>Volkswagen Group of America Chattanooga Operations, LLC, Chattanooga Plant</v>
      </c>
      <c r="E360" s="12" t="s">
        <v>1321</v>
      </c>
      <c r="F360" s="12" t="s">
        <v>16</v>
      </c>
      <c r="G360" s="12" t="s">
        <v>11</v>
      </c>
      <c r="H360" s="12" t="s">
        <v>498</v>
      </c>
      <c r="I360" s="14">
        <v>45174</v>
      </c>
      <c r="J360" s="12" t="s">
        <v>1322</v>
      </c>
    </row>
    <row r="361" spans="1:10" s="15" customFormat="1" x14ac:dyDescent="0.15">
      <c r="A361" s="11">
        <v>45175</v>
      </c>
      <c r="B361" s="12" t="s">
        <v>22</v>
      </c>
      <c r="C361" s="12" t="s">
        <v>398</v>
      </c>
      <c r="D361" s="13" t="str">
        <f>HYPERLINK("https://www.marklines.com/en/global/569","Hino Motors, Nitta Plant")</f>
        <v>Hino Motors, Nitta Plant</v>
      </c>
      <c r="E361" s="12" t="s">
        <v>1323</v>
      </c>
      <c r="F361" s="12" t="s">
        <v>20</v>
      </c>
      <c r="G361" s="12" t="s">
        <v>23</v>
      </c>
      <c r="H361" s="12" t="s">
        <v>1065</v>
      </c>
      <c r="I361" s="14">
        <v>45169</v>
      </c>
      <c r="J361" s="12" t="s">
        <v>1324</v>
      </c>
    </row>
    <row r="362" spans="1:10" s="15" customFormat="1" x14ac:dyDescent="0.15">
      <c r="A362" s="11">
        <v>45175</v>
      </c>
      <c r="B362" s="12" t="s">
        <v>22</v>
      </c>
      <c r="C362" s="12" t="s">
        <v>398</v>
      </c>
      <c r="D362" s="13" t="str">
        <f>HYPERLINK("https://www.marklines.com/en/global/570","Hino Motors, Koga Plant")</f>
        <v>Hino Motors, Koga Plant</v>
      </c>
      <c r="E362" s="12" t="s">
        <v>525</v>
      </c>
      <c r="F362" s="12" t="s">
        <v>20</v>
      </c>
      <c r="G362" s="12" t="s">
        <v>23</v>
      </c>
      <c r="H362" s="12" t="s">
        <v>107</v>
      </c>
      <c r="I362" s="14">
        <v>45169</v>
      </c>
      <c r="J362" s="12" t="s">
        <v>1324</v>
      </c>
    </row>
    <row r="363" spans="1:10" s="15" customFormat="1" x14ac:dyDescent="0.15">
      <c r="A363" s="11">
        <v>45175</v>
      </c>
      <c r="B363" s="12" t="s">
        <v>22</v>
      </c>
      <c r="C363" s="12" t="s">
        <v>398</v>
      </c>
      <c r="D363" s="13" t="str">
        <f>HYPERLINK("https://www.marklines.com/en/global/567","Hino Motors, Hamura Plant")</f>
        <v>Hino Motors, Hamura Plant</v>
      </c>
      <c r="E363" s="12" t="s">
        <v>1059</v>
      </c>
      <c r="F363" s="12" t="s">
        <v>20</v>
      </c>
      <c r="G363" s="12" t="s">
        <v>23</v>
      </c>
      <c r="H363" s="12" t="s">
        <v>1060</v>
      </c>
      <c r="I363" s="14">
        <v>45169</v>
      </c>
      <c r="J363" s="12" t="s">
        <v>1324</v>
      </c>
    </row>
    <row r="364" spans="1:10" s="15" customFormat="1" x14ac:dyDescent="0.15">
      <c r="A364" s="11">
        <v>45175</v>
      </c>
      <c r="B364" s="12" t="s">
        <v>22</v>
      </c>
      <c r="C364" s="12" t="s">
        <v>22</v>
      </c>
      <c r="D364" s="13" t="str">
        <f>HYPERLINK("https://www.marklines.com/en/global/541","Daihatsu Motor, Kyoto (Oyamazaki) Plant")</f>
        <v>Daihatsu Motor, Kyoto (Oyamazaki) Plant</v>
      </c>
      <c r="E364" s="12" t="s">
        <v>1325</v>
      </c>
      <c r="F364" s="12" t="s">
        <v>20</v>
      </c>
      <c r="G364" s="12" t="s">
        <v>23</v>
      </c>
      <c r="H364" s="12" t="s">
        <v>1062</v>
      </c>
      <c r="I364" s="14">
        <v>45169</v>
      </c>
      <c r="J364" s="12" t="s">
        <v>1326</v>
      </c>
    </row>
    <row r="365" spans="1:10" s="15" customFormat="1" x14ac:dyDescent="0.15">
      <c r="A365" s="11">
        <v>45175</v>
      </c>
      <c r="B365" s="12" t="s">
        <v>22</v>
      </c>
      <c r="C365" s="12" t="s">
        <v>22</v>
      </c>
      <c r="D365" s="13" t="str">
        <f>HYPERLINK("https://www.marklines.com/en/global/373","Toyota Motor, Motomachi Plant")</f>
        <v>Toyota Motor, Motomachi Plant</v>
      </c>
      <c r="E365" s="12" t="s">
        <v>1327</v>
      </c>
      <c r="F365" s="12" t="s">
        <v>20</v>
      </c>
      <c r="G365" s="12" t="s">
        <v>23</v>
      </c>
      <c r="H365" s="12" t="s">
        <v>108</v>
      </c>
      <c r="I365" s="14">
        <v>45169</v>
      </c>
      <c r="J365" s="12" t="s">
        <v>1326</v>
      </c>
    </row>
    <row r="366" spans="1:10" s="15" customFormat="1" x14ac:dyDescent="0.15">
      <c r="A366" s="11">
        <v>45175</v>
      </c>
      <c r="B366" s="12" t="s">
        <v>22</v>
      </c>
      <c r="C366" s="12" t="s">
        <v>22</v>
      </c>
      <c r="D366" s="13" t="str">
        <f>HYPERLINK("https://www.marklines.com/en/global/375","Toyota Motor, Takaoka Plant")</f>
        <v>Toyota Motor, Takaoka Plant</v>
      </c>
      <c r="E366" s="12" t="s">
        <v>1328</v>
      </c>
      <c r="F366" s="12" t="s">
        <v>20</v>
      </c>
      <c r="G366" s="12" t="s">
        <v>23</v>
      </c>
      <c r="H366" s="12" t="s">
        <v>108</v>
      </c>
      <c r="I366" s="14">
        <v>45169</v>
      </c>
      <c r="J366" s="12" t="s">
        <v>1326</v>
      </c>
    </row>
    <row r="367" spans="1:10" s="15" customFormat="1" x14ac:dyDescent="0.15">
      <c r="A367" s="11">
        <v>45175</v>
      </c>
      <c r="B367" s="12" t="s">
        <v>22</v>
      </c>
      <c r="C367" s="12" t="s">
        <v>22</v>
      </c>
      <c r="D367" s="13" t="str">
        <f>HYPERLINK("https://www.marklines.com/en/global/379","Toyota Motor, Tsutsumi Plant")</f>
        <v>Toyota Motor, Tsutsumi Plant</v>
      </c>
      <c r="E367" s="12" t="s">
        <v>129</v>
      </c>
      <c r="F367" s="12" t="s">
        <v>20</v>
      </c>
      <c r="G367" s="12" t="s">
        <v>23</v>
      </c>
      <c r="H367" s="12" t="s">
        <v>108</v>
      </c>
      <c r="I367" s="14">
        <v>45169</v>
      </c>
      <c r="J367" s="12" t="s">
        <v>1326</v>
      </c>
    </row>
    <row r="368" spans="1:10" s="15" customFormat="1" x14ac:dyDescent="0.15">
      <c r="A368" s="11">
        <v>45175</v>
      </c>
      <c r="B368" s="12" t="s">
        <v>22</v>
      </c>
      <c r="C368" s="12" t="s">
        <v>22</v>
      </c>
      <c r="D368" s="13" t="str">
        <f>HYPERLINK("https://www.marklines.com/en/global/409","Toyota Auto Body, Fujimatsu Plant")</f>
        <v>Toyota Auto Body, Fujimatsu Plant</v>
      </c>
      <c r="E368" s="12" t="s">
        <v>1329</v>
      </c>
      <c r="F368" s="12" t="s">
        <v>20</v>
      </c>
      <c r="G368" s="12" t="s">
        <v>23</v>
      </c>
      <c r="H368" s="12" t="s">
        <v>108</v>
      </c>
      <c r="I368" s="14">
        <v>45169</v>
      </c>
      <c r="J368" s="12" t="s">
        <v>1326</v>
      </c>
    </row>
    <row r="369" spans="1:10" s="15" customFormat="1" x14ac:dyDescent="0.15">
      <c r="A369" s="11">
        <v>45175</v>
      </c>
      <c r="B369" s="12" t="s">
        <v>22</v>
      </c>
      <c r="C369" s="12" t="s">
        <v>22</v>
      </c>
      <c r="D369" s="13" t="str">
        <f>HYPERLINK("https://www.marklines.com/en/global/411","Toyota Auto Body, Yoshiwara Plant")</f>
        <v>Toyota Auto Body, Yoshiwara Plant</v>
      </c>
      <c r="E369" s="12" t="s">
        <v>1330</v>
      </c>
      <c r="F369" s="12" t="s">
        <v>20</v>
      </c>
      <c r="G369" s="12" t="s">
        <v>23</v>
      </c>
      <c r="H369" s="12" t="s">
        <v>108</v>
      </c>
      <c r="I369" s="14">
        <v>45169</v>
      </c>
      <c r="J369" s="12" t="s">
        <v>1326</v>
      </c>
    </row>
    <row r="370" spans="1:10" s="15" customFormat="1" x14ac:dyDescent="0.15">
      <c r="A370" s="11">
        <v>45175</v>
      </c>
      <c r="B370" s="12" t="s">
        <v>22</v>
      </c>
      <c r="C370" s="12" t="s">
        <v>22</v>
      </c>
      <c r="D370" s="13" t="str">
        <f>HYPERLINK("https://www.marklines.com/en/global/413","Toyota Auto Body, Inabe Plant")</f>
        <v>Toyota Auto Body, Inabe Plant</v>
      </c>
      <c r="E370" s="12" t="s">
        <v>1331</v>
      </c>
      <c r="F370" s="12" t="s">
        <v>20</v>
      </c>
      <c r="G370" s="12" t="s">
        <v>23</v>
      </c>
      <c r="H370" s="12" t="s">
        <v>1055</v>
      </c>
      <c r="I370" s="14">
        <v>45169</v>
      </c>
      <c r="J370" s="12" t="s">
        <v>1326</v>
      </c>
    </row>
    <row r="371" spans="1:10" s="15" customFormat="1" x14ac:dyDescent="0.15">
      <c r="A371" s="11">
        <v>45175</v>
      </c>
      <c r="B371" s="12" t="s">
        <v>22</v>
      </c>
      <c r="C371" s="12" t="s">
        <v>22</v>
      </c>
      <c r="D371" s="13" t="str">
        <f>HYPERLINK("https://www.marklines.com/en/global/417","Gifu Auto Body Co., Ltd., Honsha Plant")</f>
        <v>Gifu Auto Body Co., Ltd., Honsha Plant</v>
      </c>
      <c r="E371" s="12" t="s">
        <v>1332</v>
      </c>
      <c r="F371" s="12" t="s">
        <v>20</v>
      </c>
      <c r="G371" s="12" t="s">
        <v>23</v>
      </c>
      <c r="H371" s="12" t="s">
        <v>1333</v>
      </c>
      <c r="I371" s="14">
        <v>45169</v>
      </c>
      <c r="J371" s="12" t="s">
        <v>1326</v>
      </c>
    </row>
    <row r="372" spans="1:10" s="15" customFormat="1" x14ac:dyDescent="0.15">
      <c r="A372" s="11">
        <v>45175</v>
      </c>
      <c r="B372" s="12" t="s">
        <v>22</v>
      </c>
      <c r="C372" s="12" t="s">
        <v>22</v>
      </c>
      <c r="D372" s="13" t="str">
        <f>HYPERLINK("https://www.marklines.com/en/global/420","Toyota Motor East Japan, Miyagi Ohira Plant")</f>
        <v>Toyota Motor East Japan, Miyagi Ohira Plant</v>
      </c>
      <c r="E372" s="12" t="s">
        <v>1334</v>
      </c>
      <c r="F372" s="12" t="s">
        <v>20</v>
      </c>
      <c r="G372" s="12" t="s">
        <v>23</v>
      </c>
      <c r="H372" s="12" t="s">
        <v>782</v>
      </c>
      <c r="I372" s="14">
        <v>45169</v>
      </c>
      <c r="J372" s="12" t="s">
        <v>1326</v>
      </c>
    </row>
    <row r="373" spans="1:10" s="15" customFormat="1" x14ac:dyDescent="0.15">
      <c r="A373" s="11">
        <v>45175</v>
      </c>
      <c r="B373" s="12" t="s">
        <v>22</v>
      </c>
      <c r="C373" s="12" t="s">
        <v>22</v>
      </c>
      <c r="D373" s="13" t="str">
        <f>HYPERLINK("https://www.marklines.com/en/global/424","Toyota Motor East Japan, Iwate Plant")</f>
        <v>Toyota Motor East Japan, Iwate Plant</v>
      </c>
      <c r="E373" s="12" t="s">
        <v>1335</v>
      </c>
      <c r="F373" s="12" t="s">
        <v>20</v>
      </c>
      <c r="G373" s="12" t="s">
        <v>23</v>
      </c>
      <c r="H373" s="12" t="s">
        <v>1336</v>
      </c>
      <c r="I373" s="14">
        <v>45169</v>
      </c>
      <c r="J373" s="12" t="s">
        <v>1326</v>
      </c>
    </row>
    <row r="374" spans="1:10" s="15" customFormat="1" x14ac:dyDescent="0.15">
      <c r="A374" s="11">
        <v>45175</v>
      </c>
      <c r="B374" s="12" t="s">
        <v>22</v>
      </c>
      <c r="C374" s="12" t="s">
        <v>22</v>
      </c>
      <c r="D374" s="13" t="str">
        <f>HYPERLINK("https://www.marklines.com/en/global/393","Toyota Motor Kyushu, Miyata Plant")</f>
        <v>Toyota Motor Kyushu, Miyata Plant</v>
      </c>
      <c r="E374" s="12" t="s">
        <v>421</v>
      </c>
      <c r="F374" s="12" t="s">
        <v>20</v>
      </c>
      <c r="G374" s="12" t="s">
        <v>23</v>
      </c>
      <c r="H374" s="12" t="s">
        <v>418</v>
      </c>
      <c r="I374" s="14">
        <v>45169</v>
      </c>
      <c r="J374" s="12" t="s">
        <v>1326</v>
      </c>
    </row>
    <row r="375" spans="1:10" s="15" customFormat="1" x14ac:dyDescent="0.15">
      <c r="A375" s="11">
        <v>45175</v>
      </c>
      <c r="B375" s="12" t="s">
        <v>22</v>
      </c>
      <c r="C375" s="12" t="s">
        <v>22</v>
      </c>
      <c r="D375" s="13" t="str">
        <f>HYPERLINK("https://www.marklines.com/en/global/381","Toyota Motor, Tahara Plant")</f>
        <v>Toyota Motor, Tahara Plant</v>
      </c>
      <c r="E375" s="12" t="s">
        <v>1057</v>
      </c>
      <c r="F375" s="12" t="s">
        <v>20</v>
      </c>
      <c r="G375" s="12" t="s">
        <v>23</v>
      </c>
      <c r="H375" s="12" t="s">
        <v>108</v>
      </c>
      <c r="I375" s="14">
        <v>45169</v>
      </c>
      <c r="J375" s="12" t="s">
        <v>1326</v>
      </c>
    </row>
    <row r="376" spans="1:10" s="15" customFormat="1" x14ac:dyDescent="0.15">
      <c r="A376" s="11">
        <v>45175</v>
      </c>
      <c r="B376" s="12" t="s">
        <v>22</v>
      </c>
      <c r="C376" s="12" t="s">
        <v>22</v>
      </c>
      <c r="D376" s="13" t="str">
        <f>HYPERLINK("https://www.marklines.com/en/global/433","Toyota Industries Corporation, Nagakusa Plant")</f>
        <v>Toyota Industries Corporation, Nagakusa Plant</v>
      </c>
      <c r="E376" s="12" t="s">
        <v>1337</v>
      </c>
      <c r="F376" s="12" t="s">
        <v>20</v>
      </c>
      <c r="G376" s="12" t="s">
        <v>23</v>
      </c>
      <c r="H376" s="12" t="s">
        <v>108</v>
      </c>
      <c r="I376" s="14">
        <v>45169</v>
      </c>
      <c r="J376" s="12" t="s">
        <v>1326</v>
      </c>
    </row>
    <row r="377" spans="1:10" s="15" customFormat="1" x14ac:dyDescent="0.15">
      <c r="A377" s="11">
        <v>45175</v>
      </c>
      <c r="B377" s="12" t="s">
        <v>153</v>
      </c>
      <c r="C377" s="12" t="s">
        <v>1338</v>
      </c>
      <c r="D377" s="13" t="str">
        <f>HYPERLINK("https://www.marklines.com/en/global/10637","AVATR Co., Ltd.")</f>
        <v>AVATR Co., Ltd.</v>
      </c>
      <c r="E377" s="12" t="s">
        <v>1339</v>
      </c>
      <c r="F377" s="12" t="s">
        <v>20</v>
      </c>
      <c r="G377" s="12" t="s">
        <v>27</v>
      </c>
      <c r="H377" s="12" t="s">
        <v>30</v>
      </c>
      <c r="I377" s="14">
        <v>45169</v>
      </c>
      <c r="J377" s="12" t="s">
        <v>1340</v>
      </c>
    </row>
    <row r="378" spans="1:10" s="15" customFormat="1" x14ac:dyDescent="0.15">
      <c r="A378" s="11">
        <v>45175</v>
      </c>
      <c r="B378" s="12" t="s">
        <v>29</v>
      </c>
      <c r="C378" s="12" t="s">
        <v>705</v>
      </c>
      <c r="D378" s="13" t="str">
        <f>HYPERLINK("https://www.marklines.com/en/global/9345","Geely Sichuan Commercial Vehicle Co., Ltd.")</f>
        <v>Geely Sichuan Commercial Vehicle Co., Ltd.</v>
      </c>
      <c r="E378" s="12" t="s">
        <v>706</v>
      </c>
      <c r="F378" s="12" t="s">
        <v>20</v>
      </c>
      <c r="G378" s="12" t="s">
        <v>27</v>
      </c>
      <c r="H378" s="12" t="s">
        <v>659</v>
      </c>
      <c r="I378" s="14">
        <v>45168</v>
      </c>
      <c r="J378" s="12" t="s">
        <v>1341</v>
      </c>
    </row>
    <row r="379" spans="1:10" s="15" customFormat="1" x14ac:dyDescent="0.15">
      <c r="A379" s="11">
        <v>45175</v>
      </c>
      <c r="B379" s="12" t="s">
        <v>679</v>
      </c>
      <c r="C379" s="12" t="s">
        <v>679</v>
      </c>
      <c r="D379" s="13" t="str">
        <f>HYPERLINK("https://www.marklines.com/en/global/9569","Anhui Jianghuai Automobile Group Corp., Ltd. Light Commercial Vehicle Branch")</f>
        <v>Anhui Jianghuai Automobile Group Corp., Ltd. Light Commercial Vehicle Branch</v>
      </c>
      <c r="E379" s="12" t="s">
        <v>871</v>
      </c>
      <c r="F379" s="12" t="s">
        <v>20</v>
      </c>
      <c r="G379" s="12" t="s">
        <v>27</v>
      </c>
      <c r="H379" s="12" t="s">
        <v>326</v>
      </c>
      <c r="I379" s="14">
        <v>45166</v>
      </c>
      <c r="J379" s="12" t="s">
        <v>1342</v>
      </c>
    </row>
    <row r="380" spans="1:10" s="15" customFormat="1" x14ac:dyDescent="0.15">
      <c r="A380" s="11">
        <v>45175</v>
      </c>
      <c r="B380" s="12" t="s">
        <v>43</v>
      </c>
      <c r="C380" s="12" t="s">
        <v>67</v>
      </c>
      <c r="D380" s="13" t="str">
        <f>HYPERLINK("https://www.marklines.com/en/global/4213","FAW-Volkswagen Automotive Co., Ltd. Chengdu Branch")</f>
        <v>FAW-Volkswagen Automotive Co., Ltd. Chengdu Branch</v>
      </c>
      <c r="E380" s="12" t="s">
        <v>1343</v>
      </c>
      <c r="F380" s="12" t="s">
        <v>20</v>
      </c>
      <c r="G380" s="12" t="s">
        <v>27</v>
      </c>
      <c r="H380" s="12" t="s">
        <v>659</v>
      </c>
      <c r="I380" s="14">
        <v>45163</v>
      </c>
      <c r="J380" s="12" t="s">
        <v>1344</v>
      </c>
    </row>
    <row r="381" spans="1:10" s="15" customFormat="1" x14ac:dyDescent="0.15">
      <c r="A381" s="11">
        <v>45175</v>
      </c>
      <c r="B381" s="12" t="s">
        <v>43</v>
      </c>
      <c r="C381" s="12" t="s">
        <v>67</v>
      </c>
      <c r="D381" s="13" t="str">
        <f>HYPERLINK("https://www.marklines.com/en/global/3341","FAW-Volkswagen Automotive Co., Ltd.")</f>
        <v>FAW-Volkswagen Automotive Co., Ltd.</v>
      </c>
      <c r="E381" s="12" t="s">
        <v>1345</v>
      </c>
      <c r="F381" s="12" t="s">
        <v>20</v>
      </c>
      <c r="G381" s="12" t="s">
        <v>27</v>
      </c>
      <c r="H381" s="12" t="s">
        <v>536</v>
      </c>
      <c r="I381" s="14">
        <v>45163</v>
      </c>
      <c r="J381" s="12" t="s">
        <v>1344</v>
      </c>
    </row>
    <row r="382" spans="1:10" s="15" customFormat="1" x14ac:dyDescent="0.15">
      <c r="A382" s="11">
        <v>45175</v>
      </c>
      <c r="B382" s="12" t="s">
        <v>29</v>
      </c>
      <c r="C382" s="12" t="s">
        <v>29</v>
      </c>
      <c r="D382" s="13" t="str">
        <f>HYPERLINK("https://www.marklines.com/en/global/3837","Zhejiang Haoqing Automotive Manufacturing Co.,Ltd.")</f>
        <v>Zhejiang Haoqing Automotive Manufacturing Co.,Ltd.</v>
      </c>
      <c r="E382" s="12" t="s">
        <v>757</v>
      </c>
      <c r="F382" s="12" t="s">
        <v>20</v>
      </c>
      <c r="G382" s="12" t="s">
        <v>27</v>
      </c>
      <c r="H382" s="12" t="s">
        <v>51</v>
      </c>
      <c r="I382" s="14">
        <v>45163</v>
      </c>
      <c r="J382" s="12" t="s">
        <v>1346</v>
      </c>
    </row>
    <row r="383" spans="1:10" s="15" customFormat="1" x14ac:dyDescent="0.15">
      <c r="A383" s="11">
        <v>45175</v>
      </c>
      <c r="B383" s="12" t="s">
        <v>148</v>
      </c>
      <c r="C383" s="12" t="s">
        <v>148</v>
      </c>
      <c r="D383" s="13" t="str">
        <f>HYPERLINK("https://www.marklines.com/en/global/3743","Changan Mazda Automobile Co., Ltd.")</f>
        <v>Changan Mazda Automobile Co., Ltd.</v>
      </c>
      <c r="E383" s="12" t="s">
        <v>1347</v>
      </c>
      <c r="F383" s="12" t="s">
        <v>20</v>
      </c>
      <c r="G383" s="12" t="s">
        <v>27</v>
      </c>
      <c r="H383" s="12" t="s">
        <v>52</v>
      </c>
      <c r="I383" s="14">
        <v>45163</v>
      </c>
      <c r="J383" s="12" t="s">
        <v>1348</v>
      </c>
    </row>
    <row r="384" spans="1:10" s="15" customFormat="1" x14ac:dyDescent="0.15">
      <c r="A384" s="11">
        <v>45175</v>
      </c>
      <c r="B384" s="12" t="s">
        <v>41</v>
      </c>
      <c r="C384" s="12" t="s">
        <v>42</v>
      </c>
      <c r="D384" s="13" t="str">
        <f>HYPERLINK("https://www.marklines.com/en/global/9814","SAIC Motor Corporation Limited Passenger Vehicle Fujian Branch")</f>
        <v>SAIC Motor Corporation Limited Passenger Vehicle Fujian Branch</v>
      </c>
      <c r="E384" s="12" t="s">
        <v>1290</v>
      </c>
      <c r="F384" s="12" t="s">
        <v>20</v>
      </c>
      <c r="G384" s="12" t="s">
        <v>27</v>
      </c>
      <c r="H384" s="12" t="s">
        <v>123</v>
      </c>
      <c r="I384" s="14">
        <v>45163</v>
      </c>
      <c r="J384" s="12" t="s">
        <v>1349</v>
      </c>
    </row>
    <row r="385" spans="1:10" s="15" customFormat="1" x14ac:dyDescent="0.15">
      <c r="A385" s="11">
        <v>45175</v>
      </c>
      <c r="B385" s="12" t="s">
        <v>62</v>
      </c>
      <c r="C385" s="12" t="s">
        <v>62</v>
      </c>
      <c r="D385" s="13" t="str">
        <f>HYPERLINK("https://www.marklines.com/en/global/3879","Chery Automobile Co., Ltd. ")</f>
        <v xml:space="preserve">Chery Automobile Co., Ltd. </v>
      </c>
      <c r="E385" s="12" t="s">
        <v>773</v>
      </c>
      <c r="F385" s="12" t="s">
        <v>20</v>
      </c>
      <c r="G385" s="12" t="s">
        <v>27</v>
      </c>
      <c r="H385" s="12" t="s">
        <v>326</v>
      </c>
      <c r="I385" s="14">
        <v>45163</v>
      </c>
      <c r="J385" s="12" t="s">
        <v>1350</v>
      </c>
    </row>
    <row r="386" spans="1:10" s="15" customFormat="1" x14ac:dyDescent="0.15">
      <c r="A386" s="11">
        <v>45174</v>
      </c>
      <c r="B386" s="12" t="s">
        <v>22</v>
      </c>
      <c r="C386" s="12" t="s">
        <v>22</v>
      </c>
      <c r="D386" s="13" t="str">
        <f>HYPERLINK("https://www.marklines.com/en/global/2379","Toyota Motor Manufacturing (UK)Ltd. (TMUK), Burnaston Plant")</f>
        <v>Toyota Motor Manufacturing (UK)Ltd. (TMUK), Burnaston Plant</v>
      </c>
      <c r="E386" s="12" t="s">
        <v>1145</v>
      </c>
      <c r="F386" s="12" t="s">
        <v>17</v>
      </c>
      <c r="G386" s="12" t="s">
        <v>73</v>
      </c>
      <c r="H386" s="12"/>
      <c r="I386" s="14">
        <v>45174</v>
      </c>
      <c r="J386" s="12" t="s">
        <v>1351</v>
      </c>
    </row>
    <row r="387" spans="1:10" s="15" customFormat="1" x14ac:dyDescent="0.15">
      <c r="A387" s="11">
        <v>45174</v>
      </c>
      <c r="B387" s="12" t="s">
        <v>43</v>
      </c>
      <c r="C387" s="12" t="s">
        <v>67</v>
      </c>
      <c r="D387" s="13" t="str">
        <f>HYPERLINK("https://www.marklines.com/en/global/2261","Volkswagen AG, Wolfsburg Plant")</f>
        <v>Volkswagen AG, Wolfsburg Plant</v>
      </c>
      <c r="E387" s="12" t="s">
        <v>1352</v>
      </c>
      <c r="F387" s="12" t="s">
        <v>17</v>
      </c>
      <c r="G387" s="12" t="s">
        <v>21</v>
      </c>
      <c r="H387" s="12"/>
      <c r="I387" s="14">
        <v>45173</v>
      </c>
      <c r="J387" s="12" t="s">
        <v>1353</v>
      </c>
    </row>
    <row r="388" spans="1:10" s="15" customFormat="1" x14ac:dyDescent="0.15">
      <c r="A388" s="11">
        <v>45174</v>
      </c>
      <c r="B388" s="12" t="s">
        <v>43</v>
      </c>
      <c r="C388" s="12" t="s">
        <v>599</v>
      </c>
      <c r="D388" s="13" t="str">
        <f>HYPERLINK("https://www.marklines.com/en/global/2261","Volkswagen AG, Wolfsburg Plant")</f>
        <v>Volkswagen AG, Wolfsburg Plant</v>
      </c>
      <c r="E388" s="12" t="s">
        <v>1352</v>
      </c>
      <c r="F388" s="12" t="s">
        <v>17</v>
      </c>
      <c r="G388" s="12" t="s">
        <v>21</v>
      </c>
      <c r="H388" s="12"/>
      <c r="I388" s="14">
        <v>45173</v>
      </c>
      <c r="J388" s="12" t="s">
        <v>1353</v>
      </c>
    </row>
    <row r="389" spans="1:10" s="15" customFormat="1" x14ac:dyDescent="0.15">
      <c r="A389" s="11">
        <v>45174</v>
      </c>
      <c r="B389" s="12" t="s">
        <v>13</v>
      </c>
      <c r="C389" s="12" t="s">
        <v>13</v>
      </c>
      <c r="D389" s="13" t="str">
        <f>HYPERLINK("https://www.marklines.com/en/global/757","JSC Moscow Automobile Plant Moskvich, Moscow Plant (former CJSC Renault Russia)")</f>
        <v>JSC Moscow Automobile Plant Moskvich, Moscow Plant (former CJSC Renault Russia)</v>
      </c>
      <c r="E389" s="12" t="s">
        <v>597</v>
      </c>
      <c r="F389" s="12" t="s">
        <v>18</v>
      </c>
      <c r="G389" s="12" t="s">
        <v>14</v>
      </c>
      <c r="H389" s="12"/>
      <c r="I389" s="14">
        <v>45173</v>
      </c>
      <c r="J389" s="12" t="s">
        <v>1354</v>
      </c>
    </row>
    <row r="390" spans="1:10" s="15" customFormat="1" x14ac:dyDescent="0.15">
      <c r="A390" s="11">
        <v>45174</v>
      </c>
      <c r="B390" s="12" t="s">
        <v>43</v>
      </c>
      <c r="C390" s="12" t="s">
        <v>67</v>
      </c>
      <c r="D390" s="13" t="str">
        <f>HYPERLINK("https://www.marklines.com/en/global/2269","Volkswagen AG, Hannover Plant (VW Nutzfahrzeuge)")</f>
        <v>Volkswagen AG, Hannover Plant (VW Nutzfahrzeuge)</v>
      </c>
      <c r="E390" s="12" t="s">
        <v>885</v>
      </c>
      <c r="F390" s="12" t="s">
        <v>17</v>
      </c>
      <c r="G390" s="12" t="s">
        <v>21</v>
      </c>
      <c r="H390" s="12"/>
      <c r="I390" s="14">
        <v>45172</v>
      </c>
      <c r="J390" s="12" t="s">
        <v>1355</v>
      </c>
    </row>
    <row r="391" spans="1:10" s="15" customFormat="1" x14ac:dyDescent="0.15">
      <c r="A391" s="11">
        <v>45174</v>
      </c>
      <c r="B391" s="12" t="s">
        <v>790</v>
      </c>
      <c r="C391" s="12" t="s">
        <v>925</v>
      </c>
      <c r="D391" s="13" t="str">
        <f>HYPERLINK("https://www.marklines.com/en/global/1209","Mahindra, Zaheerabad Plant")</f>
        <v>Mahindra, Zaheerabad Plant</v>
      </c>
      <c r="E391" s="12" t="s">
        <v>1356</v>
      </c>
      <c r="F391" s="12" t="s">
        <v>25</v>
      </c>
      <c r="G391" s="12" t="s">
        <v>26</v>
      </c>
      <c r="H391" s="12" t="s">
        <v>113</v>
      </c>
      <c r="I391" s="14">
        <v>45170</v>
      </c>
      <c r="J391" s="12" t="s">
        <v>1357</v>
      </c>
    </row>
    <row r="392" spans="1:10" s="15" customFormat="1" x14ac:dyDescent="0.15">
      <c r="A392" s="11">
        <v>45173</v>
      </c>
      <c r="B392" s="12" t="s">
        <v>117</v>
      </c>
      <c r="C392" s="12" t="s">
        <v>117</v>
      </c>
      <c r="D392" s="13" t="str">
        <f>HYPERLINK("https://www.marklines.com/en/global/9486","Zhaoqing Xiaopeng New Energy Investment Co., Ltd. (Formerly : Guangzhou Xiaopeng Motors Technology Co., Ltd.  Zhaoqing Plant)")</f>
        <v>Zhaoqing Xiaopeng New Energy Investment Co., Ltd. (Formerly : Guangzhou Xiaopeng Motors Technology Co., Ltd.  Zhaoqing Plant)</v>
      </c>
      <c r="E392" s="12" t="s">
        <v>858</v>
      </c>
      <c r="F392" s="12" t="s">
        <v>20</v>
      </c>
      <c r="G392" s="12" t="s">
        <v>27</v>
      </c>
      <c r="H392" s="12" t="s">
        <v>37</v>
      </c>
      <c r="I392" s="14">
        <v>45173</v>
      </c>
      <c r="J392" s="12" t="s">
        <v>1358</v>
      </c>
    </row>
    <row r="393" spans="1:10" s="15" customFormat="1" x14ac:dyDescent="0.15">
      <c r="A393" s="11">
        <v>45173</v>
      </c>
      <c r="B393" s="12" t="s">
        <v>22</v>
      </c>
      <c r="C393" s="12" t="s">
        <v>22</v>
      </c>
      <c r="D393" s="13" t="str">
        <f>HYPERLINK("https://www.marklines.com/en/global/541","Daihatsu Motor, Kyoto (Oyamazaki) Plant")</f>
        <v>Daihatsu Motor, Kyoto (Oyamazaki) Plant</v>
      </c>
      <c r="E393" s="12" t="s">
        <v>1325</v>
      </c>
      <c r="F393" s="12" t="s">
        <v>20</v>
      </c>
      <c r="G393" s="12" t="s">
        <v>23</v>
      </c>
      <c r="H393" s="12" t="s">
        <v>1062</v>
      </c>
      <c r="I393" s="14">
        <v>45168</v>
      </c>
      <c r="J393" s="12" t="s">
        <v>1359</v>
      </c>
    </row>
    <row r="394" spans="1:10" s="15" customFormat="1" x14ac:dyDescent="0.15">
      <c r="A394" s="11">
        <v>45173</v>
      </c>
      <c r="B394" s="12" t="s">
        <v>22</v>
      </c>
      <c r="C394" s="12" t="s">
        <v>22</v>
      </c>
      <c r="D394" s="13" t="str">
        <f>HYPERLINK("https://www.marklines.com/en/global/373","Toyota Motor, Motomachi Plant")</f>
        <v>Toyota Motor, Motomachi Plant</v>
      </c>
      <c r="E394" s="12" t="s">
        <v>1327</v>
      </c>
      <c r="F394" s="12" t="s">
        <v>20</v>
      </c>
      <c r="G394" s="12" t="s">
        <v>23</v>
      </c>
      <c r="H394" s="12" t="s">
        <v>108</v>
      </c>
      <c r="I394" s="14">
        <v>45168</v>
      </c>
      <c r="J394" s="12" t="s">
        <v>1359</v>
      </c>
    </row>
    <row r="395" spans="1:10" s="15" customFormat="1" x14ac:dyDescent="0.15">
      <c r="A395" s="11">
        <v>45173</v>
      </c>
      <c r="B395" s="12" t="s">
        <v>22</v>
      </c>
      <c r="C395" s="12" t="s">
        <v>22</v>
      </c>
      <c r="D395" s="13" t="str">
        <f>HYPERLINK("https://www.marklines.com/en/global/375","Toyota Motor, Takaoka Plant")</f>
        <v>Toyota Motor, Takaoka Plant</v>
      </c>
      <c r="E395" s="12" t="s">
        <v>1328</v>
      </c>
      <c r="F395" s="12" t="s">
        <v>20</v>
      </c>
      <c r="G395" s="12" t="s">
        <v>23</v>
      </c>
      <c r="H395" s="12" t="s">
        <v>108</v>
      </c>
      <c r="I395" s="14">
        <v>45168</v>
      </c>
      <c r="J395" s="12" t="s">
        <v>1359</v>
      </c>
    </row>
    <row r="396" spans="1:10" s="15" customFormat="1" x14ac:dyDescent="0.15">
      <c r="A396" s="11">
        <v>45173</v>
      </c>
      <c r="B396" s="12" t="s">
        <v>22</v>
      </c>
      <c r="C396" s="12" t="s">
        <v>22</v>
      </c>
      <c r="D396" s="13" t="str">
        <f>HYPERLINK("https://www.marklines.com/en/global/379","Toyota Motor, Tsutsumi Plant")</f>
        <v>Toyota Motor, Tsutsumi Plant</v>
      </c>
      <c r="E396" s="12" t="s">
        <v>129</v>
      </c>
      <c r="F396" s="12" t="s">
        <v>20</v>
      </c>
      <c r="G396" s="12" t="s">
        <v>23</v>
      </c>
      <c r="H396" s="12" t="s">
        <v>108</v>
      </c>
      <c r="I396" s="14">
        <v>45168</v>
      </c>
      <c r="J396" s="12" t="s">
        <v>1359</v>
      </c>
    </row>
    <row r="397" spans="1:10" s="15" customFormat="1" x14ac:dyDescent="0.15">
      <c r="A397" s="11">
        <v>45173</v>
      </c>
      <c r="B397" s="12" t="s">
        <v>22</v>
      </c>
      <c r="C397" s="12" t="s">
        <v>22</v>
      </c>
      <c r="D397" s="13" t="str">
        <f>HYPERLINK("https://www.marklines.com/en/global/409","Toyota Auto Body, Fujimatsu Plant")</f>
        <v>Toyota Auto Body, Fujimatsu Plant</v>
      </c>
      <c r="E397" s="12" t="s">
        <v>1329</v>
      </c>
      <c r="F397" s="12" t="s">
        <v>20</v>
      </c>
      <c r="G397" s="12" t="s">
        <v>23</v>
      </c>
      <c r="H397" s="12" t="s">
        <v>108</v>
      </c>
      <c r="I397" s="14">
        <v>45168</v>
      </c>
      <c r="J397" s="12" t="s">
        <v>1359</v>
      </c>
    </row>
    <row r="398" spans="1:10" s="15" customFormat="1" x14ac:dyDescent="0.15">
      <c r="A398" s="11">
        <v>45173</v>
      </c>
      <c r="B398" s="12" t="s">
        <v>22</v>
      </c>
      <c r="C398" s="12" t="s">
        <v>22</v>
      </c>
      <c r="D398" s="13" t="str">
        <f>HYPERLINK("https://www.marklines.com/en/global/411","Toyota Auto Body, Yoshiwara Plant")</f>
        <v>Toyota Auto Body, Yoshiwara Plant</v>
      </c>
      <c r="E398" s="12" t="s">
        <v>1330</v>
      </c>
      <c r="F398" s="12" t="s">
        <v>20</v>
      </c>
      <c r="G398" s="12" t="s">
        <v>23</v>
      </c>
      <c r="H398" s="12" t="s">
        <v>108</v>
      </c>
      <c r="I398" s="14">
        <v>45168</v>
      </c>
      <c r="J398" s="12" t="s">
        <v>1359</v>
      </c>
    </row>
    <row r="399" spans="1:10" s="15" customFormat="1" x14ac:dyDescent="0.15">
      <c r="A399" s="11">
        <v>45173</v>
      </c>
      <c r="B399" s="12" t="s">
        <v>22</v>
      </c>
      <c r="C399" s="12" t="s">
        <v>22</v>
      </c>
      <c r="D399" s="13" t="str">
        <f>HYPERLINK("https://www.marklines.com/en/global/413","Toyota Auto Body, Inabe Plant")</f>
        <v>Toyota Auto Body, Inabe Plant</v>
      </c>
      <c r="E399" s="12" t="s">
        <v>1331</v>
      </c>
      <c r="F399" s="12" t="s">
        <v>20</v>
      </c>
      <c r="G399" s="12" t="s">
        <v>23</v>
      </c>
      <c r="H399" s="12" t="s">
        <v>1055</v>
      </c>
      <c r="I399" s="14">
        <v>45168</v>
      </c>
      <c r="J399" s="12" t="s">
        <v>1359</v>
      </c>
    </row>
    <row r="400" spans="1:10" s="15" customFormat="1" x14ac:dyDescent="0.15">
      <c r="A400" s="11">
        <v>45173</v>
      </c>
      <c r="B400" s="12" t="s">
        <v>22</v>
      </c>
      <c r="C400" s="12" t="s">
        <v>22</v>
      </c>
      <c r="D400" s="13" t="str">
        <f>HYPERLINK("https://www.marklines.com/en/global/417","Gifu Auto Body Co., Ltd., Honsha Plant")</f>
        <v>Gifu Auto Body Co., Ltd., Honsha Plant</v>
      </c>
      <c r="E400" s="12" t="s">
        <v>1332</v>
      </c>
      <c r="F400" s="12" t="s">
        <v>20</v>
      </c>
      <c r="G400" s="12" t="s">
        <v>23</v>
      </c>
      <c r="H400" s="12" t="s">
        <v>1333</v>
      </c>
      <c r="I400" s="14">
        <v>45168</v>
      </c>
      <c r="J400" s="12" t="s">
        <v>1359</v>
      </c>
    </row>
    <row r="401" spans="1:10" s="15" customFormat="1" x14ac:dyDescent="0.15">
      <c r="A401" s="11">
        <v>45173</v>
      </c>
      <c r="B401" s="12" t="s">
        <v>22</v>
      </c>
      <c r="C401" s="12" t="s">
        <v>22</v>
      </c>
      <c r="D401" s="13" t="str">
        <f>HYPERLINK("https://www.marklines.com/en/global/420","Toyota Motor East Japan, Miyagi Ohira Plant")</f>
        <v>Toyota Motor East Japan, Miyagi Ohira Plant</v>
      </c>
      <c r="E401" s="12" t="s">
        <v>1334</v>
      </c>
      <c r="F401" s="12" t="s">
        <v>20</v>
      </c>
      <c r="G401" s="12" t="s">
        <v>23</v>
      </c>
      <c r="H401" s="12" t="s">
        <v>782</v>
      </c>
      <c r="I401" s="14">
        <v>45168</v>
      </c>
      <c r="J401" s="12" t="s">
        <v>1359</v>
      </c>
    </row>
    <row r="402" spans="1:10" s="15" customFormat="1" x14ac:dyDescent="0.15">
      <c r="A402" s="11">
        <v>45173</v>
      </c>
      <c r="B402" s="12" t="s">
        <v>22</v>
      </c>
      <c r="C402" s="12" t="s">
        <v>22</v>
      </c>
      <c r="D402" s="13" t="str">
        <f>HYPERLINK("https://www.marklines.com/en/global/424","Toyota Motor East Japan, Iwate Plant")</f>
        <v>Toyota Motor East Japan, Iwate Plant</v>
      </c>
      <c r="E402" s="12" t="s">
        <v>1335</v>
      </c>
      <c r="F402" s="12" t="s">
        <v>20</v>
      </c>
      <c r="G402" s="12" t="s">
        <v>23</v>
      </c>
      <c r="H402" s="12" t="s">
        <v>1336</v>
      </c>
      <c r="I402" s="14">
        <v>45168</v>
      </c>
      <c r="J402" s="12" t="s">
        <v>1359</v>
      </c>
    </row>
    <row r="403" spans="1:10" s="15" customFormat="1" x14ac:dyDescent="0.15">
      <c r="A403" s="11">
        <v>45173</v>
      </c>
      <c r="B403" s="12" t="s">
        <v>22</v>
      </c>
      <c r="C403" s="12" t="s">
        <v>22</v>
      </c>
      <c r="D403" s="13" t="str">
        <f>HYPERLINK("https://www.marklines.com/en/global/393","Toyota Motor Kyushu, Miyata Plant")</f>
        <v>Toyota Motor Kyushu, Miyata Plant</v>
      </c>
      <c r="E403" s="12" t="s">
        <v>421</v>
      </c>
      <c r="F403" s="12" t="s">
        <v>20</v>
      </c>
      <c r="G403" s="12" t="s">
        <v>23</v>
      </c>
      <c r="H403" s="12" t="s">
        <v>418</v>
      </c>
      <c r="I403" s="14">
        <v>45168</v>
      </c>
      <c r="J403" s="12" t="s">
        <v>1359</v>
      </c>
    </row>
    <row r="404" spans="1:10" s="15" customFormat="1" x14ac:dyDescent="0.15">
      <c r="A404" s="11">
        <v>45173</v>
      </c>
      <c r="B404" s="12" t="s">
        <v>22</v>
      </c>
      <c r="C404" s="12" t="s">
        <v>22</v>
      </c>
      <c r="D404" s="13" t="str">
        <f>HYPERLINK("https://www.marklines.com/en/global/381","Toyota Motor, Tahara Plant")</f>
        <v>Toyota Motor, Tahara Plant</v>
      </c>
      <c r="E404" s="12" t="s">
        <v>1057</v>
      </c>
      <c r="F404" s="12" t="s">
        <v>20</v>
      </c>
      <c r="G404" s="12" t="s">
        <v>23</v>
      </c>
      <c r="H404" s="12" t="s">
        <v>108</v>
      </c>
      <c r="I404" s="14">
        <v>45168</v>
      </c>
      <c r="J404" s="12" t="s">
        <v>1359</v>
      </c>
    </row>
    <row r="405" spans="1:10" s="15" customFormat="1" x14ac:dyDescent="0.15">
      <c r="A405" s="11">
        <v>45173</v>
      </c>
      <c r="B405" s="12" t="s">
        <v>22</v>
      </c>
      <c r="C405" s="12" t="s">
        <v>22</v>
      </c>
      <c r="D405" s="13" t="str">
        <f>HYPERLINK("https://www.marklines.com/en/global/433","Toyota Industries Corporation, Nagakusa Plant")</f>
        <v>Toyota Industries Corporation, Nagakusa Plant</v>
      </c>
      <c r="E405" s="12" t="s">
        <v>1337</v>
      </c>
      <c r="F405" s="12" t="s">
        <v>20</v>
      </c>
      <c r="G405" s="12" t="s">
        <v>23</v>
      </c>
      <c r="H405" s="12" t="s">
        <v>108</v>
      </c>
      <c r="I405" s="14">
        <v>45168</v>
      </c>
      <c r="J405" s="12" t="s">
        <v>1359</v>
      </c>
    </row>
    <row r="406" spans="1:10" s="15" customFormat="1" x14ac:dyDescent="0.15">
      <c r="A406" s="11">
        <v>45173</v>
      </c>
      <c r="B406" s="12" t="s">
        <v>610</v>
      </c>
      <c r="C406" s="12" t="s">
        <v>610</v>
      </c>
      <c r="D406" s="13" t="str">
        <f>HYPERLINK("https://www.marklines.com/en/global/553","Isuzu Motors, Fujisawa Plant")</f>
        <v>Isuzu Motors, Fujisawa Plant</v>
      </c>
      <c r="E406" s="12" t="s">
        <v>1360</v>
      </c>
      <c r="F406" s="12" t="s">
        <v>20</v>
      </c>
      <c r="G406" s="12" t="s">
        <v>23</v>
      </c>
      <c r="H406" s="12" t="s">
        <v>132</v>
      </c>
      <c r="I406" s="14">
        <v>45167</v>
      </c>
      <c r="J406" s="12" t="s">
        <v>1361</v>
      </c>
    </row>
    <row r="407" spans="1:10" s="15" customFormat="1" x14ac:dyDescent="0.15">
      <c r="A407" s="11">
        <v>45173</v>
      </c>
      <c r="B407" s="12" t="s">
        <v>44</v>
      </c>
      <c r="C407" s="12" t="s">
        <v>44</v>
      </c>
      <c r="D407" s="13" t="str">
        <f>HYPERLINK("https://www.marklines.com/en/global/4073","Guangzhou Automobile Group Co., Ltd. (GAC)")</f>
        <v>Guangzhou Automobile Group Co., Ltd. (GAC)</v>
      </c>
      <c r="E407" s="12" t="s">
        <v>45</v>
      </c>
      <c r="F407" s="12" t="s">
        <v>20</v>
      </c>
      <c r="G407" s="12" t="s">
        <v>27</v>
      </c>
      <c r="H407" s="12" t="s">
        <v>31</v>
      </c>
      <c r="I407" s="14">
        <v>45167</v>
      </c>
      <c r="J407" s="12" t="s">
        <v>1362</v>
      </c>
    </row>
    <row r="408" spans="1:10" s="15" customFormat="1" x14ac:dyDescent="0.15">
      <c r="A408" s="11">
        <v>45173</v>
      </c>
      <c r="B408" s="12" t="s">
        <v>63</v>
      </c>
      <c r="C408" s="12" t="s">
        <v>64</v>
      </c>
      <c r="D408" s="13" t="str">
        <f>HYPERLINK("https://www.marklines.com/en/global/3429","Beijing Foton Daimler Automotive Co., Ltd. (BFDA)")</f>
        <v>Beijing Foton Daimler Automotive Co., Ltd. (BFDA)</v>
      </c>
      <c r="E408" s="12" t="s">
        <v>847</v>
      </c>
      <c r="F408" s="12" t="s">
        <v>20</v>
      </c>
      <c r="G408" s="12" t="s">
        <v>27</v>
      </c>
      <c r="H408" s="12" t="s">
        <v>37</v>
      </c>
      <c r="I408" s="14">
        <v>45167</v>
      </c>
      <c r="J408" s="12" t="s">
        <v>1363</v>
      </c>
    </row>
    <row r="409" spans="1:10" s="15" customFormat="1" x14ac:dyDescent="0.15">
      <c r="A409" s="11">
        <v>45173</v>
      </c>
      <c r="B409" s="12" t="s">
        <v>63</v>
      </c>
      <c r="C409" s="12" t="s">
        <v>64</v>
      </c>
      <c r="D409" s="13" t="str">
        <f>HYPERLINK("https://www.marklines.com/en/global/3425","Beiqi Foton Motor Co., Ltd.")</f>
        <v>Beiqi Foton Motor Co., Ltd.</v>
      </c>
      <c r="E409" s="12" t="s">
        <v>505</v>
      </c>
      <c r="F409" s="12" t="s">
        <v>20</v>
      </c>
      <c r="G409" s="12" t="s">
        <v>27</v>
      </c>
      <c r="H409" s="12" t="s">
        <v>37</v>
      </c>
      <c r="I409" s="14">
        <v>45167</v>
      </c>
      <c r="J409" s="12" t="s">
        <v>1363</v>
      </c>
    </row>
    <row r="410" spans="1:10" s="15" customFormat="1" x14ac:dyDescent="0.15">
      <c r="A410" s="11">
        <v>45173</v>
      </c>
      <c r="B410" s="12" t="s">
        <v>53</v>
      </c>
      <c r="C410" s="12" t="s">
        <v>135</v>
      </c>
      <c r="D410" s="13" t="str">
        <f>HYPERLINK("https://www.marklines.com/en/global/3533","Great Wall Motor Company Limited (GWM)")</f>
        <v>Great Wall Motor Company Limited (GWM)</v>
      </c>
      <c r="E410" s="12" t="s">
        <v>556</v>
      </c>
      <c r="F410" s="12" t="s">
        <v>20</v>
      </c>
      <c r="G410" s="12" t="s">
        <v>27</v>
      </c>
      <c r="H410" s="12" t="s">
        <v>557</v>
      </c>
      <c r="I410" s="14">
        <v>45164</v>
      </c>
      <c r="J410" s="12" t="s">
        <v>1364</v>
      </c>
    </row>
    <row r="411" spans="1:10" s="15" customFormat="1" x14ac:dyDescent="0.15">
      <c r="A411" s="11">
        <v>45173</v>
      </c>
      <c r="B411" s="12" t="s">
        <v>39</v>
      </c>
      <c r="C411" s="12" t="s">
        <v>39</v>
      </c>
      <c r="D411" s="13" t="str">
        <f>HYPERLINK("https://www.marklines.com/en/global/3375","BMW Brilliance Automotive Limited (BBA), Dadong Plant")</f>
        <v>BMW Brilliance Automotive Limited (BBA), Dadong Plant</v>
      </c>
      <c r="E411" s="12" t="s">
        <v>1044</v>
      </c>
      <c r="F411" s="12" t="s">
        <v>20</v>
      </c>
      <c r="G411" s="12" t="s">
        <v>27</v>
      </c>
      <c r="H411" s="12" t="s">
        <v>714</v>
      </c>
      <c r="I411" s="14">
        <v>45164</v>
      </c>
      <c r="J411" s="12" t="s">
        <v>1365</v>
      </c>
    </row>
    <row r="412" spans="1:10" s="15" customFormat="1" x14ac:dyDescent="0.15">
      <c r="A412" s="11">
        <v>45173</v>
      </c>
      <c r="B412" s="12" t="s">
        <v>44</v>
      </c>
      <c r="C412" s="12" t="s">
        <v>44</v>
      </c>
      <c r="D412" s="13" t="str">
        <f>HYPERLINK("https://www.marklines.com/en/global/4075","GAC Motor Co., Ltd. (formerly Guangzhou Automobile Group Motor Co., Ltd.)")</f>
        <v>GAC Motor Co., Ltd. (formerly Guangzhou Automobile Group Motor Co., Ltd.)</v>
      </c>
      <c r="E412" s="12" t="s">
        <v>119</v>
      </c>
      <c r="F412" s="12" t="s">
        <v>20</v>
      </c>
      <c r="G412" s="12" t="s">
        <v>27</v>
      </c>
      <c r="H412" s="12" t="s">
        <v>31</v>
      </c>
      <c r="I412" s="14">
        <v>45163</v>
      </c>
      <c r="J412" s="12" t="s">
        <v>1366</v>
      </c>
    </row>
    <row r="413" spans="1:10" s="15" customFormat="1" x14ac:dyDescent="0.15">
      <c r="A413" s="11">
        <v>45173</v>
      </c>
      <c r="B413" s="12" t="s">
        <v>990</v>
      </c>
      <c r="C413" s="12" t="s">
        <v>990</v>
      </c>
      <c r="D413" s="13" t="str">
        <f>HYPERLINK("https://www.marklines.com/en/global/3433","Beijing Li Auto Co., Ltd. (formerly Beijing Hyundai Motor Co., Ltd., First Plant)")</f>
        <v>Beijing Li Auto Co., Ltd. (formerly Beijing Hyundai Motor Co., Ltd., First Plant)</v>
      </c>
      <c r="E413" s="12" t="s">
        <v>1264</v>
      </c>
      <c r="F413" s="12" t="s">
        <v>20</v>
      </c>
      <c r="G413" s="12" t="s">
        <v>27</v>
      </c>
      <c r="H413" s="12" t="s">
        <v>37</v>
      </c>
      <c r="I413" s="14">
        <v>45163</v>
      </c>
      <c r="J413" s="12" t="s">
        <v>1367</v>
      </c>
    </row>
    <row r="414" spans="1:10" s="15" customFormat="1" x14ac:dyDescent="0.15">
      <c r="A414" s="11">
        <v>45173</v>
      </c>
      <c r="B414" s="12" t="s">
        <v>990</v>
      </c>
      <c r="C414" s="12" t="s">
        <v>990</v>
      </c>
      <c r="D414" s="13" t="str">
        <f>HYPERLINK("https://www.marklines.com/en/global/9889","Beijing CHJ Information Technology Co., Ltd.")</f>
        <v>Beijing CHJ Information Technology Co., Ltd.</v>
      </c>
      <c r="E414" s="12" t="s">
        <v>1368</v>
      </c>
      <c r="F414" s="12" t="s">
        <v>20</v>
      </c>
      <c r="G414" s="12" t="s">
        <v>27</v>
      </c>
      <c r="H414" s="12" t="s">
        <v>37</v>
      </c>
      <c r="I414" s="14">
        <v>45163</v>
      </c>
      <c r="J414" s="12" t="s">
        <v>1367</v>
      </c>
    </row>
    <row r="415" spans="1:10" s="15" customFormat="1" x14ac:dyDescent="0.15">
      <c r="A415" s="11">
        <v>45173</v>
      </c>
      <c r="B415" s="12" t="s">
        <v>63</v>
      </c>
      <c r="C415" s="12" t="s">
        <v>1369</v>
      </c>
      <c r="D415" s="13" t="str">
        <f>HYPERLINK("https://www.marklines.com/en/global/9126","BAIC Bluepark Magna Automobile Co., Ltd.  (formerly BAIC (Zhenjiang) Automobile Co., Ltd.)")</f>
        <v>BAIC Bluepark Magna Automobile Co., Ltd.  (formerly BAIC (Zhenjiang) Automobile Co., Ltd.)</v>
      </c>
      <c r="E415" s="12" t="s">
        <v>1370</v>
      </c>
      <c r="F415" s="12" t="s">
        <v>20</v>
      </c>
      <c r="G415" s="12" t="s">
        <v>27</v>
      </c>
      <c r="H415" s="12" t="s">
        <v>52</v>
      </c>
      <c r="I415" s="14">
        <v>45163</v>
      </c>
      <c r="J415" s="12" t="s">
        <v>1371</v>
      </c>
    </row>
    <row r="416" spans="1:10" s="15" customFormat="1" x14ac:dyDescent="0.15">
      <c r="A416" s="11">
        <v>45173</v>
      </c>
      <c r="B416" s="12" t="s">
        <v>68</v>
      </c>
      <c r="C416" s="12" t="s">
        <v>72</v>
      </c>
      <c r="D416" s="13" t="str">
        <f>HYPERLINK("https://www.marklines.com/en/global/3983","Dongfeng Peugeot Citroen Automobile Co., Ltd. ")</f>
        <v xml:space="preserve">Dongfeng Peugeot Citroen Automobile Co., Ltd. </v>
      </c>
      <c r="E416" s="12" t="s">
        <v>1372</v>
      </c>
      <c r="F416" s="12" t="s">
        <v>20</v>
      </c>
      <c r="G416" s="12" t="s">
        <v>27</v>
      </c>
      <c r="H416" s="12" t="s">
        <v>46</v>
      </c>
      <c r="I416" s="14">
        <v>45163</v>
      </c>
      <c r="J416" s="12" t="s">
        <v>1373</v>
      </c>
    </row>
    <row r="417" spans="1:10" s="15" customFormat="1" x14ac:dyDescent="0.15">
      <c r="A417" s="11">
        <v>45173</v>
      </c>
      <c r="B417" s="12" t="s">
        <v>68</v>
      </c>
      <c r="C417" s="12" t="s">
        <v>72</v>
      </c>
      <c r="D417" s="13" t="str">
        <f>HYPERLINK("https://www.marklines.com/en/global/9252","Dongfeng-Peugeot-Citroen Automobile Co., Ltd., Chengdu Branch")</f>
        <v>Dongfeng-Peugeot-Citroen Automobile Co., Ltd., Chengdu Branch</v>
      </c>
      <c r="E417" s="12" t="s">
        <v>1374</v>
      </c>
      <c r="F417" s="12" t="s">
        <v>20</v>
      </c>
      <c r="G417" s="12" t="s">
        <v>27</v>
      </c>
      <c r="H417" s="12" t="s">
        <v>659</v>
      </c>
      <c r="I417" s="14">
        <v>45163</v>
      </c>
      <c r="J417" s="12" t="s">
        <v>1373</v>
      </c>
    </row>
    <row r="418" spans="1:10" s="15" customFormat="1" x14ac:dyDescent="0.15">
      <c r="A418" s="11">
        <v>45173</v>
      </c>
      <c r="B418" s="12" t="s">
        <v>68</v>
      </c>
      <c r="C418" s="12" t="s">
        <v>935</v>
      </c>
      <c r="D418" s="13" t="str">
        <f>HYPERLINK("https://www.marklines.com/en/global/3983","Dongfeng Peugeot Citroen Automobile Co., Ltd. ")</f>
        <v xml:space="preserve">Dongfeng Peugeot Citroen Automobile Co., Ltd. </v>
      </c>
      <c r="E418" s="12" t="s">
        <v>1372</v>
      </c>
      <c r="F418" s="12" t="s">
        <v>20</v>
      </c>
      <c r="G418" s="12" t="s">
        <v>27</v>
      </c>
      <c r="H418" s="12" t="s">
        <v>46</v>
      </c>
      <c r="I418" s="14">
        <v>45163</v>
      </c>
      <c r="J418" s="12" t="s">
        <v>1373</v>
      </c>
    </row>
    <row r="419" spans="1:10" s="15" customFormat="1" x14ac:dyDescent="0.15">
      <c r="A419" s="11">
        <v>45173</v>
      </c>
      <c r="B419" s="12" t="s">
        <v>68</v>
      </c>
      <c r="C419" s="12" t="s">
        <v>935</v>
      </c>
      <c r="D419" s="13" t="str">
        <f>HYPERLINK("https://www.marklines.com/en/global/9252","Dongfeng-Peugeot-Citroen Automobile Co., Ltd., Chengdu Branch")</f>
        <v>Dongfeng-Peugeot-Citroen Automobile Co., Ltd., Chengdu Branch</v>
      </c>
      <c r="E419" s="12" t="s">
        <v>1374</v>
      </c>
      <c r="F419" s="12" t="s">
        <v>20</v>
      </c>
      <c r="G419" s="12" t="s">
        <v>27</v>
      </c>
      <c r="H419" s="12" t="s">
        <v>659</v>
      </c>
      <c r="I419" s="14">
        <v>45163</v>
      </c>
      <c r="J419" s="12" t="s">
        <v>1373</v>
      </c>
    </row>
    <row r="420" spans="1:10" s="15" customFormat="1" x14ac:dyDescent="0.15">
      <c r="A420" s="11">
        <v>45171</v>
      </c>
      <c r="B420" s="12" t="s">
        <v>12</v>
      </c>
      <c r="C420" s="12" t="s">
        <v>19</v>
      </c>
      <c r="D420" s="13" t="str">
        <f>HYPERLINK("https://www.marklines.com/en/global/869","General Motors Mexico, Silao Plant")</f>
        <v>General Motors Mexico, Silao Plant</v>
      </c>
      <c r="E420" s="12" t="s">
        <v>1120</v>
      </c>
      <c r="F420" s="12" t="s">
        <v>16</v>
      </c>
      <c r="G420" s="12" t="s">
        <v>430</v>
      </c>
      <c r="H420" s="12"/>
      <c r="I420" s="14">
        <v>45168</v>
      </c>
      <c r="J420" s="12" t="s">
        <v>1375</v>
      </c>
    </row>
    <row r="421" spans="1:10" s="15" customFormat="1" x14ac:dyDescent="0.15">
      <c r="A421" s="11">
        <v>45171</v>
      </c>
      <c r="B421" s="12" t="s">
        <v>12</v>
      </c>
      <c r="C421" s="12" t="s">
        <v>19</v>
      </c>
      <c r="D421" s="13" t="str">
        <f>HYPERLINK("https://www.marklines.com/en/global/2509","General Motors, Fort Wayne Plant")</f>
        <v>General Motors, Fort Wayne Plant</v>
      </c>
      <c r="E421" s="12" t="s">
        <v>1122</v>
      </c>
      <c r="F421" s="12" t="s">
        <v>16</v>
      </c>
      <c r="G421" s="12" t="s">
        <v>11</v>
      </c>
      <c r="H421" s="12" t="s">
        <v>744</v>
      </c>
      <c r="I421" s="14">
        <v>45168</v>
      </c>
      <c r="J421" s="12" t="s">
        <v>1375</v>
      </c>
    </row>
    <row r="422" spans="1:10" s="15" customFormat="1" x14ac:dyDescent="0.15">
      <c r="A422" s="11">
        <v>45171</v>
      </c>
      <c r="B422" s="12" t="s">
        <v>12</v>
      </c>
      <c r="C422" s="12" t="s">
        <v>19</v>
      </c>
      <c r="D422" s="13" t="str">
        <f>HYPERLINK("https://www.marklines.com/en/global/2543","General Motors Canada, Oshawa Car Assembly Plant")</f>
        <v>General Motors Canada, Oshawa Car Assembly Plant</v>
      </c>
      <c r="E422" s="12" t="s">
        <v>1123</v>
      </c>
      <c r="F422" s="12" t="s">
        <v>16</v>
      </c>
      <c r="G422" s="12" t="s">
        <v>82</v>
      </c>
      <c r="H422" s="12"/>
      <c r="I422" s="14">
        <v>45168</v>
      </c>
      <c r="J422" s="12" t="s">
        <v>1375</v>
      </c>
    </row>
    <row r="423" spans="1:10" s="15" customFormat="1" x14ac:dyDescent="0.15">
      <c r="A423" s="11">
        <v>45171</v>
      </c>
      <c r="B423" s="12" t="s">
        <v>12</v>
      </c>
      <c r="C423" s="12" t="s">
        <v>351</v>
      </c>
      <c r="D423" s="13" t="str">
        <f>HYPERLINK("https://www.marklines.com/en/global/869","General Motors Mexico, Silao Plant")</f>
        <v>General Motors Mexico, Silao Plant</v>
      </c>
      <c r="E423" s="12" t="s">
        <v>1120</v>
      </c>
      <c r="F423" s="12" t="s">
        <v>16</v>
      </c>
      <c r="G423" s="12" t="s">
        <v>430</v>
      </c>
      <c r="H423" s="12"/>
      <c r="I423" s="14">
        <v>45168</v>
      </c>
      <c r="J423" s="12" t="s">
        <v>1375</v>
      </c>
    </row>
    <row r="424" spans="1:10" s="15" customFormat="1" x14ac:dyDescent="0.15">
      <c r="A424" s="11">
        <v>45171</v>
      </c>
      <c r="B424" s="12" t="s">
        <v>12</v>
      </c>
      <c r="C424" s="12" t="s">
        <v>351</v>
      </c>
      <c r="D424" s="13" t="str">
        <f>HYPERLINK("https://www.marklines.com/en/global/2509","General Motors, Fort Wayne Plant")</f>
        <v>General Motors, Fort Wayne Plant</v>
      </c>
      <c r="E424" s="12" t="s">
        <v>1122</v>
      </c>
      <c r="F424" s="12" t="s">
        <v>16</v>
      </c>
      <c r="G424" s="12" t="s">
        <v>11</v>
      </c>
      <c r="H424" s="12" t="s">
        <v>744</v>
      </c>
      <c r="I424" s="14">
        <v>45168</v>
      </c>
      <c r="J424" s="12" t="s">
        <v>1375</v>
      </c>
    </row>
    <row r="425" spans="1:10" s="15" customFormat="1" x14ac:dyDescent="0.15">
      <c r="A425" s="11">
        <v>45170</v>
      </c>
      <c r="B425" s="12" t="s">
        <v>13</v>
      </c>
      <c r="C425" s="12" t="s">
        <v>1190</v>
      </c>
      <c r="D425" s="13" t="str">
        <f>HYPERLINK("https://www.marklines.com/en/global/2495","Foxconn EV Ohio plant (former GM Lordstown plant)")</f>
        <v>Foxconn EV Ohio plant (former GM Lordstown plant)</v>
      </c>
      <c r="E425" s="12" t="s">
        <v>1191</v>
      </c>
      <c r="F425" s="12" t="s">
        <v>16</v>
      </c>
      <c r="G425" s="12" t="s">
        <v>11</v>
      </c>
      <c r="H425" s="12" t="s">
        <v>587</v>
      </c>
      <c r="I425" s="14">
        <v>45169</v>
      </c>
      <c r="J425" s="12" t="s">
        <v>1192</v>
      </c>
    </row>
    <row r="426" spans="1:10" s="15" customFormat="1" x14ac:dyDescent="0.15">
      <c r="A426" s="11">
        <v>45170</v>
      </c>
      <c r="B426" s="12" t="s">
        <v>198</v>
      </c>
      <c r="C426" s="12" t="s">
        <v>198</v>
      </c>
      <c r="D426" s="13" t="str">
        <f>HYPERLINK("https://www.marklines.com/en/global/2495","Foxconn EV Ohio plant (former GM Lordstown plant)")</f>
        <v>Foxconn EV Ohio plant (former GM Lordstown plant)</v>
      </c>
      <c r="E426" s="12" t="s">
        <v>1191</v>
      </c>
      <c r="F426" s="12" t="s">
        <v>16</v>
      </c>
      <c r="G426" s="12" t="s">
        <v>11</v>
      </c>
      <c r="H426" s="12" t="s">
        <v>587</v>
      </c>
      <c r="I426" s="14">
        <v>45169</v>
      </c>
      <c r="J426" s="12" t="s">
        <v>1192</v>
      </c>
    </row>
    <row r="427" spans="1:10" s="15" customFormat="1" x14ac:dyDescent="0.15">
      <c r="A427" s="11">
        <v>45170</v>
      </c>
      <c r="B427" s="12" t="s">
        <v>13</v>
      </c>
      <c r="C427" s="12" t="s">
        <v>447</v>
      </c>
      <c r="D427" s="13" t="str">
        <f>HYPERLINK("https://www.marklines.com/en/global/1485","VDL Nedcar, Born Plant")</f>
        <v>VDL Nedcar, Born Plant</v>
      </c>
      <c r="E427" s="12" t="s">
        <v>1193</v>
      </c>
      <c r="F427" s="12" t="s">
        <v>17</v>
      </c>
      <c r="G427" s="12" t="s">
        <v>764</v>
      </c>
      <c r="H427" s="12"/>
      <c r="I427" s="14">
        <v>45169</v>
      </c>
      <c r="J427" s="12" t="s">
        <v>1194</v>
      </c>
    </row>
    <row r="428" spans="1:10" s="15" customFormat="1" x14ac:dyDescent="0.15">
      <c r="A428" s="11">
        <v>45170</v>
      </c>
      <c r="B428" s="12" t="s">
        <v>65</v>
      </c>
      <c r="C428" s="12" t="s">
        <v>65</v>
      </c>
      <c r="D428" s="13" t="str">
        <f>HYPERLINK("https://www.marklines.com/en/global/10587","Hyundai Motor Group Metaplant America (HMGMA) LLC")</f>
        <v>Hyundai Motor Group Metaplant America (HMGMA) LLC</v>
      </c>
      <c r="E428" s="12" t="s">
        <v>1028</v>
      </c>
      <c r="F428" s="12" t="s">
        <v>16</v>
      </c>
      <c r="G428" s="12" t="s">
        <v>11</v>
      </c>
      <c r="H428" s="12" t="s">
        <v>381</v>
      </c>
      <c r="I428" s="14">
        <v>45169</v>
      </c>
      <c r="J428" s="12" t="s">
        <v>1195</v>
      </c>
    </row>
    <row r="429" spans="1:10" s="15" customFormat="1" x14ac:dyDescent="0.15">
      <c r="A429" s="11">
        <v>45170</v>
      </c>
      <c r="B429" s="12" t="s">
        <v>133</v>
      </c>
      <c r="C429" s="12" t="s">
        <v>197</v>
      </c>
      <c r="D429" s="13" t="str">
        <f>HYPERLINK("https://www.marklines.com/en/global/2675","Stellantis, FCA Canada, Windsor Assembly Plant")</f>
        <v>Stellantis, FCA Canada, Windsor Assembly Plant</v>
      </c>
      <c r="E429" s="12" t="s">
        <v>1196</v>
      </c>
      <c r="F429" s="12" t="s">
        <v>16</v>
      </c>
      <c r="G429" s="12" t="s">
        <v>82</v>
      </c>
      <c r="H429" s="12"/>
      <c r="I429" s="14">
        <v>45169</v>
      </c>
      <c r="J429" s="12" t="s">
        <v>1197</v>
      </c>
    </row>
    <row r="430" spans="1:10" s="15" customFormat="1" x14ac:dyDescent="0.15">
      <c r="A430" s="11">
        <v>45170</v>
      </c>
      <c r="B430" s="12" t="s">
        <v>62</v>
      </c>
      <c r="C430" s="12" t="s">
        <v>62</v>
      </c>
      <c r="D430" s="13" t="str">
        <f>HYPERLINK("https://www.marklines.com/en/global/965","Inokom Corporation Sdn. Bhd., Kulim Plant")</f>
        <v>Inokom Corporation Sdn. Bhd., Kulim Plant</v>
      </c>
      <c r="E430" s="12" t="s">
        <v>1198</v>
      </c>
      <c r="F430" s="12" t="s">
        <v>49</v>
      </c>
      <c r="G430" s="12" t="s">
        <v>1164</v>
      </c>
      <c r="H430" s="12"/>
      <c r="I430" s="14">
        <v>45168</v>
      </c>
      <c r="J430" s="12" t="s">
        <v>1199</v>
      </c>
    </row>
    <row r="431" spans="1:10" s="15" customFormat="1" x14ac:dyDescent="0.15">
      <c r="A431" s="11">
        <v>45170</v>
      </c>
      <c r="B431" s="12" t="s">
        <v>62</v>
      </c>
      <c r="C431" s="12" t="s">
        <v>772</v>
      </c>
      <c r="D431" s="13" t="str">
        <f>HYPERLINK("https://www.marklines.com/en/global/965","Inokom Corporation Sdn. Bhd., Kulim Plant")</f>
        <v>Inokom Corporation Sdn. Bhd., Kulim Plant</v>
      </c>
      <c r="E431" s="12" t="s">
        <v>1198</v>
      </c>
      <c r="F431" s="12" t="s">
        <v>49</v>
      </c>
      <c r="G431" s="12" t="s">
        <v>1164</v>
      </c>
      <c r="H431" s="12"/>
      <c r="I431" s="14">
        <v>45168</v>
      </c>
      <c r="J431" s="12" t="s">
        <v>1199</v>
      </c>
    </row>
    <row r="432" spans="1:10" s="15" customFormat="1" x14ac:dyDescent="0.15">
      <c r="A432" s="11">
        <v>45170</v>
      </c>
      <c r="B432" s="12" t="s">
        <v>13</v>
      </c>
      <c r="C432" s="12" t="s">
        <v>1200</v>
      </c>
      <c r="D432" s="13" t="str">
        <f>HYPERLINK("https://www.marklines.com/en/global/965","Inokom Corporation Sdn. Bhd., Kulim Plant")</f>
        <v>Inokom Corporation Sdn. Bhd., Kulim Plant</v>
      </c>
      <c r="E432" s="12" t="s">
        <v>1198</v>
      </c>
      <c r="F432" s="12" t="s">
        <v>49</v>
      </c>
      <c r="G432" s="12" t="s">
        <v>1164</v>
      </c>
      <c r="H432" s="12"/>
      <c r="I432" s="14">
        <v>45168</v>
      </c>
      <c r="J432" s="12" t="s">
        <v>1199</v>
      </c>
    </row>
    <row r="433" spans="1:10" s="15" customFormat="1" x14ac:dyDescent="0.15">
      <c r="A433" s="11">
        <v>45170</v>
      </c>
      <c r="B433" s="12" t="s">
        <v>50</v>
      </c>
      <c r="C433" s="12" t="s">
        <v>50</v>
      </c>
      <c r="D433" s="13" t="str">
        <f>HYPERLINK("https://www.marklines.com/en/global/357","PT Suzuki Indomobil Motor (SIM), Cikarang Plant")</f>
        <v>PT Suzuki Indomobil Motor (SIM), Cikarang Plant</v>
      </c>
      <c r="E433" s="12" t="s">
        <v>1201</v>
      </c>
      <c r="F433" s="12" t="s">
        <v>49</v>
      </c>
      <c r="G433" s="12" t="s">
        <v>387</v>
      </c>
      <c r="H433" s="12"/>
      <c r="I433" s="14">
        <v>45168</v>
      </c>
      <c r="J433" s="12" t="s">
        <v>1202</v>
      </c>
    </row>
    <row r="434" spans="1:10" s="15" customFormat="1" x14ac:dyDescent="0.15">
      <c r="A434" s="11">
        <v>45170</v>
      </c>
      <c r="B434" s="12" t="s">
        <v>43</v>
      </c>
      <c r="C434" s="12" t="s">
        <v>67</v>
      </c>
      <c r="D434" s="13" t="str">
        <f>HYPERLINK("https://www.marklines.com/en/global/1384","Volkswagen Autoeuropa Ltd., Setubal, Palmela Plant (formerly AutoEuropa Automoveis, Ltda.)")</f>
        <v>Volkswagen Autoeuropa Ltd., Setubal, Palmela Plant (formerly AutoEuropa Automoveis, Ltda.)</v>
      </c>
      <c r="E434" s="12" t="s">
        <v>1203</v>
      </c>
      <c r="F434" s="12" t="s">
        <v>17</v>
      </c>
      <c r="G434" s="12" t="s">
        <v>1142</v>
      </c>
      <c r="H434" s="12"/>
      <c r="I434" s="14">
        <v>45167</v>
      </c>
      <c r="J434" s="12" t="s">
        <v>1204</v>
      </c>
    </row>
    <row r="435" spans="1:10" s="15" customFormat="1" x14ac:dyDescent="0.15">
      <c r="A435" s="11">
        <v>45170</v>
      </c>
      <c r="B435" s="12" t="s">
        <v>43</v>
      </c>
      <c r="C435" s="12" t="s">
        <v>599</v>
      </c>
      <c r="D435" s="13" t="str">
        <f>HYPERLINK("https://www.marklines.com/en/global/1384","Volkswagen Autoeuropa Ltd., Setubal, Palmela Plant (formerly AutoEuropa Automoveis, Ltda.)")</f>
        <v>Volkswagen Autoeuropa Ltd., Setubal, Palmela Plant (formerly AutoEuropa Automoveis, Ltda.)</v>
      </c>
      <c r="E435" s="12" t="s">
        <v>1203</v>
      </c>
      <c r="F435" s="12" t="s">
        <v>17</v>
      </c>
      <c r="G435" s="12" t="s">
        <v>1142</v>
      </c>
      <c r="H435" s="12"/>
      <c r="I435" s="14">
        <v>45167</v>
      </c>
      <c r="J435" s="12" t="s">
        <v>1204</v>
      </c>
    </row>
    <row r="436" spans="1:10" s="15" customFormat="1" x14ac:dyDescent="0.15">
      <c r="A436" s="11">
        <v>45170</v>
      </c>
      <c r="B436" s="12" t="s">
        <v>22</v>
      </c>
      <c r="C436" s="12" t="s">
        <v>22</v>
      </c>
      <c r="D436" s="13" t="str">
        <f>HYPERLINK("https://www.marklines.com/en/global/2089","Toyota Motor Thailand (TMT), Gateway (Chachoengsao) Plant")</f>
        <v>Toyota Motor Thailand (TMT), Gateway (Chachoengsao) Plant</v>
      </c>
      <c r="E436" s="12" t="s">
        <v>1205</v>
      </c>
      <c r="F436" s="12" t="s">
        <v>49</v>
      </c>
      <c r="G436" s="12" t="s">
        <v>170</v>
      </c>
      <c r="H436" s="12" t="s">
        <v>529</v>
      </c>
      <c r="I436" s="14">
        <v>45167</v>
      </c>
      <c r="J436" s="12" t="s">
        <v>1206</v>
      </c>
    </row>
    <row r="437" spans="1:10" s="15" customFormat="1" x14ac:dyDescent="0.15">
      <c r="A437" s="11">
        <v>45170</v>
      </c>
      <c r="B437" s="12" t="s">
        <v>109</v>
      </c>
      <c r="C437" s="12" t="s">
        <v>109</v>
      </c>
      <c r="D437" s="13" t="str">
        <f>HYPERLINK("https://www.marklines.com/en/global/9500","BYD Co., Ltd.")</f>
        <v>BYD Co., Ltd.</v>
      </c>
      <c r="E437" s="12" t="s">
        <v>812</v>
      </c>
      <c r="F437" s="12" t="s">
        <v>20</v>
      </c>
      <c r="G437" s="12" t="s">
        <v>27</v>
      </c>
      <c r="H437" s="12" t="s">
        <v>31</v>
      </c>
      <c r="I437" s="14">
        <v>45166</v>
      </c>
      <c r="J437" s="12" t="s">
        <v>1207</v>
      </c>
    </row>
    <row r="438" spans="1:10" s="15" customFormat="1" x14ac:dyDescent="0.15">
      <c r="A438" s="11">
        <v>45170</v>
      </c>
      <c r="B438" s="12" t="s">
        <v>117</v>
      </c>
      <c r="C438" s="12" t="s">
        <v>117</v>
      </c>
      <c r="D438" s="13" t="str">
        <f>HYPERLINK("https://www.marklines.com/en/global/9485","Guangzhou Xiaopeng Motors Technology Co., Ltd. ")</f>
        <v xml:space="preserve">Guangzhou Xiaopeng Motors Technology Co., Ltd. </v>
      </c>
      <c r="E438" s="12" t="s">
        <v>859</v>
      </c>
      <c r="F438" s="12" t="s">
        <v>20</v>
      </c>
      <c r="G438" s="12" t="s">
        <v>27</v>
      </c>
      <c r="H438" s="12" t="s">
        <v>31</v>
      </c>
      <c r="I438" s="14">
        <v>45166</v>
      </c>
      <c r="J438" s="12" t="s">
        <v>1208</v>
      </c>
    </row>
    <row r="439" spans="1:10" s="15" customFormat="1" x14ac:dyDescent="0.15">
      <c r="A439" s="11">
        <v>45170</v>
      </c>
      <c r="B439" s="12" t="s">
        <v>153</v>
      </c>
      <c r="C439" s="12" t="s">
        <v>153</v>
      </c>
      <c r="D439" s="13" t="str">
        <f>HYPERLINK("https://www.marklines.com/en/global/3449","China Changan Automobile Group Co., Ltd. ")</f>
        <v xml:space="preserve">China Changan Automobile Group Co., Ltd. </v>
      </c>
      <c r="E439" s="12" t="s">
        <v>372</v>
      </c>
      <c r="F439" s="12" t="s">
        <v>20</v>
      </c>
      <c r="G439" s="12" t="s">
        <v>27</v>
      </c>
      <c r="H439" s="12" t="s">
        <v>37</v>
      </c>
      <c r="I439" s="14">
        <v>45165</v>
      </c>
      <c r="J439" s="12" t="s">
        <v>1209</v>
      </c>
    </row>
    <row r="440" spans="1:10" s="15" customFormat="1" x14ac:dyDescent="0.15">
      <c r="A440" s="11">
        <v>45170</v>
      </c>
      <c r="B440" s="12" t="s">
        <v>153</v>
      </c>
      <c r="C440" s="12" t="s">
        <v>153</v>
      </c>
      <c r="D440" s="13" t="str">
        <f>HYPERLINK("https://www.marklines.com/en/global/3907","Jiangling Motor Holding Co., Ltd. (JMH) (Landwind)")</f>
        <v>Jiangling Motor Holding Co., Ltd. (JMH) (Landwind)</v>
      </c>
      <c r="E440" s="12" t="s">
        <v>1210</v>
      </c>
      <c r="F440" s="12" t="s">
        <v>20</v>
      </c>
      <c r="G440" s="12" t="s">
        <v>27</v>
      </c>
      <c r="H440" s="12" t="s">
        <v>370</v>
      </c>
      <c r="I440" s="14">
        <v>45165</v>
      </c>
      <c r="J440" s="12" t="s">
        <v>1209</v>
      </c>
    </row>
    <row r="441" spans="1:10" s="15" customFormat="1" x14ac:dyDescent="0.15">
      <c r="A441" s="11">
        <v>45170</v>
      </c>
      <c r="B441" s="12" t="s">
        <v>153</v>
      </c>
      <c r="C441" s="12" t="s">
        <v>153</v>
      </c>
      <c r="D441" s="13" t="str">
        <f>HYPERLINK("https://www.marklines.com/en/global/4163","Chongqing Changan Automobile Co., Ltd.")</f>
        <v>Chongqing Changan Automobile Co., Ltd.</v>
      </c>
      <c r="E441" s="12" t="s">
        <v>1020</v>
      </c>
      <c r="F441" s="12" t="s">
        <v>20</v>
      </c>
      <c r="G441" s="12" t="s">
        <v>27</v>
      </c>
      <c r="H441" s="12" t="s">
        <v>30</v>
      </c>
      <c r="I441" s="14">
        <v>45165</v>
      </c>
      <c r="J441" s="12" t="s">
        <v>1209</v>
      </c>
    </row>
    <row r="442" spans="1:10" s="15" customFormat="1" x14ac:dyDescent="0.15">
      <c r="A442" s="11">
        <v>45170</v>
      </c>
      <c r="B442" s="12" t="s">
        <v>62</v>
      </c>
      <c r="C442" s="12" t="s">
        <v>1156</v>
      </c>
      <c r="D442" s="13" t="str">
        <f>HYPERLINK("https://www.marklines.com/en/global/3879","Chery Automobile Co., Ltd. ")</f>
        <v xml:space="preserve">Chery Automobile Co., Ltd. </v>
      </c>
      <c r="E442" s="12" t="s">
        <v>773</v>
      </c>
      <c r="F442" s="12" t="s">
        <v>20</v>
      </c>
      <c r="G442" s="12" t="s">
        <v>27</v>
      </c>
      <c r="H442" s="12" t="s">
        <v>326</v>
      </c>
      <c r="I442" s="14">
        <v>45164</v>
      </c>
      <c r="J442" s="12" t="s">
        <v>1211</v>
      </c>
    </row>
    <row r="443" spans="1:10" s="15" customFormat="1" x14ac:dyDescent="0.15">
      <c r="A443" s="11">
        <v>45170</v>
      </c>
      <c r="B443" s="12" t="s">
        <v>41</v>
      </c>
      <c r="C443" s="12" t="s">
        <v>41</v>
      </c>
      <c r="D443" s="13" t="str">
        <f>HYPERLINK("https://www.marklines.com/en/global/9481","SAIC Motor Corporation Limited Passenger Vehicle Zhengzhou Branch")</f>
        <v>SAIC Motor Corporation Limited Passenger Vehicle Zhengzhou Branch</v>
      </c>
      <c r="E443" s="12" t="s">
        <v>84</v>
      </c>
      <c r="F443" s="12" t="s">
        <v>20</v>
      </c>
      <c r="G443" s="12" t="s">
        <v>27</v>
      </c>
      <c r="H443" s="12" t="s">
        <v>47</v>
      </c>
      <c r="I443" s="14">
        <v>45163</v>
      </c>
      <c r="J443" s="12" t="s">
        <v>1212</v>
      </c>
    </row>
    <row r="444" spans="1:10" s="15" customFormat="1" x14ac:dyDescent="0.15">
      <c r="A444" s="11">
        <v>45170</v>
      </c>
      <c r="B444" s="12" t="s">
        <v>22</v>
      </c>
      <c r="C444" s="12" t="s">
        <v>22</v>
      </c>
      <c r="D444" s="13" t="str">
        <f>HYPERLINK("https://www.marklines.com/en/global/10334","GAC Toyota Motor Co., Ltd. (GTMC) Nansha Plant Third &amp; Forth Production Line")</f>
        <v>GAC Toyota Motor Co., Ltd. (GTMC) Nansha Plant Third &amp; Forth Production Line</v>
      </c>
      <c r="E444" s="12" t="s">
        <v>640</v>
      </c>
      <c r="F444" s="12" t="s">
        <v>20</v>
      </c>
      <c r="G444" s="12" t="s">
        <v>27</v>
      </c>
      <c r="H444" s="12" t="s">
        <v>31</v>
      </c>
      <c r="I444" s="14">
        <v>45163</v>
      </c>
      <c r="J444" s="12" t="s">
        <v>1213</v>
      </c>
    </row>
    <row r="445" spans="1:10" s="15" customFormat="1" x14ac:dyDescent="0.15">
      <c r="A445" s="11">
        <v>45170</v>
      </c>
      <c r="B445" s="12" t="s">
        <v>15</v>
      </c>
      <c r="C445" s="12" t="s">
        <v>15</v>
      </c>
      <c r="D445" s="13" t="str">
        <f>HYPERLINK("https://www.marklines.com/en/global/4087","Honda Automobile (China) Co., Ltd. Guangzhou Development District Plant")</f>
        <v>Honda Automobile (China) Co., Ltd. Guangzhou Development District Plant</v>
      </c>
      <c r="E445" s="12" t="s">
        <v>1214</v>
      </c>
      <c r="F445" s="12" t="s">
        <v>20</v>
      </c>
      <c r="G445" s="12" t="s">
        <v>27</v>
      </c>
      <c r="H445" s="12" t="s">
        <v>31</v>
      </c>
      <c r="I445" s="14">
        <v>45163</v>
      </c>
      <c r="J445" s="12" t="s">
        <v>1213</v>
      </c>
    </row>
    <row r="446" spans="1:10" s="15" customFormat="1" x14ac:dyDescent="0.15">
      <c r="A446" s="11">
        <v>45170</v>
      </c>
      <c r="B446" s="12" t="s">
        <v>15</v>
      </c>
      <c r="C446" s="12" t="s">
        <v>15</v>
      </c>
      <c r="D446" s="13" t="str">
        <f>HYPERLINK("https://www.marklines.com/en/global/4081","GAC Honda Automobile Co., Ltd. Huangpu Plant")</f>
        <v>GAC Honda Automobile Co., Ltd. Huangpu Plant</v>
      </c>
      <c r="E446" s="12" t="s">
        <v>1215</v>
      </c>
      <c r="F446" s="12" t="s">
        <v>20</v>
      </c>
      <c r="G446" s="12" t="s">
        <v>27</v>
      </c>
      <c r="H446" s="12" t="s">
        <v>31</v>
      </c>
      <c r="I446" s="14">
        <v>45163</v>
      </c>
      <c r="J446" s="12" t="s">
        <v>1213</v>
      </c>
    </row>
    <row r="447" spans="1:10" s="15" customFormat="1" x14ac:dyDescent="0.15">
      <c r="A447" s="11">
        <v>45170</v>
      </c>
      <c r="B447" s="12" t="s">
        <v>15</v>
      </c>
      <c r="C447" s="12" t="s">
        <v>15</v>
      </c>
      <c r="D447" s="13" t="str">
        <f>HYPERLINK("https://www.marklines.com/en/global/4083","GAC Honda Automobile Co., Ltd. Zengcheng Plant")</f>
        <v>GAC Honda Automobile Co., Ltd. Zengcheng Plant</v>
      </c>
      <c r="E447" s="12" t="s">
        <v>1216</v>
      </c>
      <c r="F447" s="12" t="s">
        <v>20</v>
      </c>
      <c r="G447" s="12" t="s">
        <v>27</v>
      </c>
      <c r="H447" s="12" t="s">
        <v>31</v>
      </c>
      <c r="I447" s="14">
        <v>45163</v>
      </c>
      <c r="J447" s="12" t="s">
        <v>1213</v>
      </c>
    </row>
    <row r="448" spans="1:10" s="15" customFormat="1" x14ac:dyDescent="0.15">
      <c r="A448" s="11">
        <v>45170</v>
      </c>
      <c r="B448" s="12" t="s">
        <v>44</v>
      </c>
      <c r="C448" s="12" t="s">
        <v>44</v>
      </c>
      <c r="D448" s="13" t="str">
        <f>HYPERLINK("https://www.marklines.com/en/global/4075","GAC Motor Co., Ltd. (formerly Guangzhou Automobile Group Motor Co., Ltd.)")</f>
        <v>GAC Motor Co., Ltd. (formerly Guangzhou Automobile Group Motor Co., Ltd.)</v>
      </c>
      <c r="E448" s="12" t="s">
        <v>119</v>
      </c>
      <c r="F448" s="12" t="s">
        <v>20</v>
      </c>
      <c r="G448" s="12" t="s">
        <v>27</v>
      </c>
      <c r="H448" s="12" t="s">
        <v>31</v>
      </c>
      <c r="I448" s="14">
        <v>45163</v>
      </c>
      <c r="J448" s="12" t="s">
        <v>1213</v>
      </c>
    </row>
    <row r="449" spans="1:10" s="15" customFormat="1" x14ac:dyDescent="0.15">
      <c r="A449" s="11">
        <v>45170</v>
      </c>
      <c r="B449" s="12" t="s">
        <v>44</v>
      </c>
      <c r="C449" s="12" t="s">
        <v>54</v>
      </c>
      <c r="D449" s="13" t="str">
        <f>HYPERLINK("https://www.marklines.com/en/global/9824","GAC Aion New Energy Automobile Co., Ltd.")</f>
        <v>GAC Aion New Energy Automobile Co., Ltd.</v>
      </c>
      <c r="E449" s="12" t="s">
        <v>55</v>
      </c>
      <c r="F449" s="12" t="s">
        <v>20</v>
      </c>
      <c r="G449" s="12" t="s">
        <v>27</v>
      </c>
      <c r="H449" s="12" t="s">
        <v>31</v>
      </c>
      <c r="I449" s="14">
        <v>45163</v>
      </c>
      <c r="J449" s="12" t="s">
        <v>1213</v>
      </c>
    </row>
    <row r="450" spans="1:10" s="15" customFormat="1" x14ac:dyDescent="0.15">
      <c r="A450" s="11">
        <v>45170</v>
      </c>
      <c r="B450" s="12" t="s">
        <v>65</v>
      </c>
      <c r="C450" s="12" t="s">
        <v>66</v>
      </c>
      <c r="D450" s="13" t="str">
        <f>HYPERLINK("https://www.marklines.com/en/global/4311","Jiangsu Yueda Kia Motors Co., Ltd. (Third Plant) (formerly Kia Motors Co., Ltd. (Third Plant))")</f>
        <v>Jiangsu Yueda Kia Motors Co., Ltd. (Third Plant) (formerly Kia Motors Co., Ltd. (Third Plant))</v>
      </c>
      <c r="E450" s="12" t="s">
        <v>121</v>
      </c>
      <c r="F450" s="12" t="s">
        <v>20</v>
      </c>
      <c r="G450" s="12" t="s">
        <v>27</v>
      </c>
      <c r="H450" s="12" t="s">
        <v>52</v>
      </c>
      <c r="I450" s="14">
        <v>45163</v>
      </c>
      <c r="J450" s="12" t="s">
        <v>1217</v>
      </c>
    </row>
    <row r="451" spans="1:10" s="15" customFormat="1" x14ac:dyDescent="0.15">
      <c r="A451" s="11">
        <v>45170</v>
      </c>
      <c r="B451" s="12" t="s">
        <v>43</v>
      </c>
      <c r="C451" s="12" t="s">
        <v>127</v>
      </c>
      <c r="D451" s="13" t="str">
        <f>HYPERLINK("https://www.marklines.com/en/global/9821","SAIC Volkswagen Automotive Company Limited New Energy Vehicle Branch (formerly SAIC Volkswagen Automotive Company Limited, Anting NEV Plant) ")</f>
        <v xml:space="preserve">SAIC Volkswagen Automotive Company Limited New Energy Vehicle Branch (formerly SAIC Volkswagen Automotive Company Limited, Anting NEV Plant) </v>
      </c>
      <c r="E451" s="12" t="s">
        <v>1218</v>
      </c>
      <c r="F451" s="12" t="s">
        <v>20</v>
      </c>
      <c r="G451" s="12" t="s">
        <v>27</v>
      </c>
      <c r="H451" s="12" t="s">
        <v>106</v>
      </c>
      <c r="I451" s="14">
        <v>45163</v>
      </c>
      <c r="J451" s="12" t="s">
        <v>1219</v>
      </c>
    </row>
    <row r="452" spans="1:10" s="15" customFormat="1" x14ac:dyDescent="0.15">
      <c r="A452" s="11">
        <v>45170</v>
      </c>
      <c r="B452" s="12" t="s">
        <v>43</v>
      </c>
      <c r="C452" s="12" t="s">
        <v>127</v>
      </c>
      <c r="D452" s="13" t="str">
        <f>HYPERLINK("https://www.marklines.com/en/global/8679","SAIC Volkswagen Automotive Company Limited Ningbo Branch")</f>
        <v>SAIC Volkswagen Automotive Company Limited Ningbo Branch</v>
      </c>
      <c r="E452" s="12" t="s">
        <v>1220</v>
      </c>
      <c r="F452" s="12" t="s">
        <v>20</v>
      </c>
      <c r="G452" s="12" t="s">
        <v>27</v>
      </c>
      <c r="H452" s="12" t="s">
        <v>51</v>
      </c>
      <c r="I452" s="14">
        <v>45163</v>
      </c>
      <c r="J452" s="12" t="s">
        <v>1219</v>
      </c>
    </row>
    <row r="453" spans="1:10" s="15" customFormat="1" x14ac:dyDescent="0.15">
      <c r="A453" s="11">
        <v>45170</v>
      </c>
      <c r="B453" s="12" t="s">
        <v>63</v>
      </c>
      <c r="C453" s="12" t="s">
        <v>63</v>
      </c>
      <c r="D453" s="13" t="str">
        <f>HYPERLINK("https://www.marklines.com/en/global/9129","Beijing Automotive Group Off-road vehicle Co., Ltd.,")</f>
        <v>Beijing Automotive Group Off-road vehicle Co., Ltd.,</v>
      </c>
      <c r="E453" s="12" t="s">
        <v>1221</v>
      </c>
      <c r="F453" s="12" t="s">
        <v>20</v>
      </c>
      <c r="G453" s="12" t="s">
        <v>27</v>
      </c>
      <c r="H453" s="12" t="s">
        <v>37</v>
      </c>
      <c r="I453" s="14">
        <v>45163</v>
      </c>
      <c r="J453" s="12" t="s">
        <v>1222</v>
      </c>
    </row>
    <row r="454" spans="1:10" s="15" customFormat="1" x14ac:dyDescent="0.15">
      <c r="A454" s="11">
        <v>45170</v>
      </c>
      <c r="B454" s="12" t="s">
        <v>63</v>
      </c>
      <c r="C454" s="12" t="s">
        <v>63</v>
      </c>
      <c r="D454" s="13" t="str">
        <f>HYPERLINK("https://www.marklines.com/en/global/4111","BAIC Guangzhou Automotive Co., Ltd.")</f>
        <v>BAIC Guangzhou Automotive Co., Ltd.</v>
      </c>
      <c r="E454" s="12" t="s">
        <v>1223</v>
      </c>
      <c r="F454" s="12" t="s">
        <v>20</v>
      </c>
      <c r="G454" s="12" t="s">
        <v>27</v>
      </c>
      <c r="H454" s="12" t="s">
        <v>31</v>
      </c>
      <c r="I454" s="14">
        <v>45163</v>
      </c>
      <c r="J454" s="12" t="s">
        <v>1222</v>
      </c>
    </row>
    <row r="455" spans="1:10" s="15" customFormat="1" x14ac:dyDescent="0.15">
      <c r="A455" s="11">
        <v>45170</v>
      </c>
      <c r="B455" s="12" t="s">
        <v>63</v>
      </c>
      <c r="C455" s="12" t="s">
        <v>63</v>
      </c>
      <c r="D455" s="13" t="str">
        <f>HYPERLINK("https://www.marklines.com/en/global/4059","BAIC Motor Corporation Ltd. Zhuzhou Branch")</f>
        <v>BAIC Motor Corporation Ltd. Zhuzhou Branch</v>
      </c>
      <c r="E455" s="12" t="s">
        <v>1224</v>
      </c>
      <c r="F455" s="12" t="s">
        <v>20</v>
      </c>
      <c r="G455" s="12" t="s">
        <v>27</v>
      </c>
      <c r="H455" s="12" t="s">
        <v>112</v>
      </c>
      <c r="I455" s="14">
        <v>45163</v>
      </c>
      <c r="J455" s="12" t="s">
        <v>1222</v>
      </c>
    </row>
    <row r="456" spans="1:10" s="15" customFormat="1" x14ac:dyDescent="0.15">
      <c r="A456" s="11">
        <v>45170</v>
      </c>
      <c r="B456" s="12" t="s">
        <v>41</v>
      </c>
      <c r="C456" s="12" t="s">
        <v>145</v>
      </c>
      <c r="D456" s="13" t="str">
        <f>HYPERLINK("https://www.marklines.com/en/global/3735","Nanjing Automobile(Group)Corporation")</f>
        <v>Nanjing Automobile(Group)Corporation</v>
      </c>
      <c r="E456" s="12" t="s">
        <v>1225</v>
      </c>
      <c r="F456" s="12" t="s">
        <v>20</v>
      </c>
      <c r="G456" s="12" t="s">
        <v>27</v>
      </c>
      <c r="H456" s="12" t="s">
        <v>52</v>
      </c>
      <c r="I456" s="14">
        <v>45163</v>
      </c>
      <c r="J456" s="12" t="s">
        <v>1226</v>
      </c>
    </row>
    <row r="457" spans="1:10" s="15" customFormat="1" x14ac:dyDescent="0.15">
      <c r="A457" s="11">
        <v>45170</v>
      </c>
      <c r="B457" s="12" t="s">
        <v>41</v>
      </c>
      <c r="C457" s="12" t="s">
        <v>145</v>
      </c>
      <c r="D457" s="13" t="str">
        <f>HYPERLINK("https://www.marklines.com/en/global/4315","SAIC Maxus Automotive Co., Ltd.")</f>
        <v>SAIC Maxus Automotive Co., Ltd.</v>
      </c>
      <c r="E457" s="12" t="s">
        <v>408</v>
      </c>
      <c r="F457" s="12" t="s">
        <v>20</v>
      </c>
      <c r="G457" s="12" t="s">
        <v>27</v>
      </c>
      <c r="H457" s="12" t="s">
        <v>106</v>
      </c>
      <c r="I457" s="14">
        <v>45163</v>
      </c>
      <c r="J457" s="12" t="s">
        <v>1226</v>
      </c>
    </row>
    <row r="458" spans="1:10" s="15" customFormat="1" x14ac:dyDescent="0.15">
      <c r="A458" s="11">
        <v>45170</v>
      </c>
      <c r="B458" s="12" t="s">
        <v>41</v>
      </c>
      <c r="C458" s="12" t="s">
        <v>145</v>
      </c>
      <c r="D458" s="13" t="str">
        <f>HYPERLINK("https://www.marklines.com/en/global/6451","SAIC MAXUS Automotive Co., Ltd. Wuxi Branch")</f>
        <v>SAIC MAXUS Automotive Co., Ltd. Wuxi Branch</v>
      </c>
      <c r="E458" s="12" t="s">
        <v>146</v>
      </c>
      <c r="F458" s="12" t="s">
        <v>20</v>
      </c>
      <c r="G458" s="12" t="s">
        <v>27</v>
      </c>
      <c r="H458" s="12" t="s">
        <v>52</v>
      </c>
      <c r="I458" s="14">
        <v>45163</v>
      </c>
      <c r="J458" s="12" t="s">
        <v>1226</v>
      </c>
    </row>
    <row r="459" spans="1:10" s="15" customFormat="1" x14ac:dyDescent="0.15">
      <c r="A459" s="11">
        <v>45170</v>
      </c>
      <c r="B459" s="12" t="s">
        <v>41</v>
      </c>
      <c r="C459" s="12" t="s">
        <v>145</v>
      </c>
      <c r="D459" s="13" t="str">
        <f>HYPERLINK("https://www.marklines.com/en/global/9598","SAIC MAXUS Automotive Co., Ltd. Nanjing Branch")</f>
        <v>SAIC MAXUS Automotive Co., Ltd. Nanjing Branch</v>
      </c>
      <c r="E459" s="12" t="s">
        <v>147</v>
      </c>
      <c r="F459" s="12" t="s">
        <v>20</v>
      </c>
      <c r="G459" s="12" t="s">
        <v>27</v>
      </c>
      <c r="H459" s="12" t="s">
        <v>52</v>
      </c>
      <c r="I459" s="14">
        <v>45163</v>
      </c>
      <c r="J459" s="12" t="s">
        <v>1226</v>
      </c>
    </row>
    <row r="460" spans="1:10" s="15" customFormat="1" x14ac:dyDescent="0.15">
      <c r="A460" s="11">
        <v>45170</v>
      </c>
      <c r="B460" s="12" t="s">
        <v>62</v>
      </c>
      <c r="C460" s="12" t="s">
        <v>759</v>
      </c>
      <c r="D460" s="13" t="str">
        <f>HYPERLINK("https://www.marklines.com/en/global/3883","Chery Commercial Vehicle (Anhui) Co., Ltd.")</f>
        <v>Chery Commercial Vehicle (Anhui) Co., Ltd.</v>
      </c>
      <c r="E460" s="12" t="s">
        <v>1081</v>
      </c>
      <c r="F460" s="12" t="s">
        <v>20</v>
      </c>
      <c r="G460" s="12" t="s">
        <v>27</v>
      </c>
      <c r="H460" s="12" t="s">
        <v>326</v>
      </c>
      <c r="I460" s="14">
        <v>45163</v>
      </c>
      <c r="J460" s="12" t="s">
        <v>1227</v>
      </c>
    </row>
    <row r="461" spans="1:10" s="15" customFormat="1" x14ac:dyDescent="0.15">
      <c r="A461" s="11">
        <v>45169</v>
      </c>
      <c r="B461" s="12" t="s">
        <v>245</v>
      </c>
      <c r="C461" s="12" t="s">
        <v>245</v>
      </c>
      <c r="D461" s="13" t="str">
        <f>HYPERLINK("https://www.marklines.com/en/global/671","ZAO AvtoTOR, Kaliningrad Plant")</f>
        <v>ZAO AvtoTOR, Kaliningrad Plant</v>
      </c>
      <c r="E461" s="12" t="s">
        <v>33</v>
      </c>
      <c r="F461" s="12" t="s">
        <v>18</v>
      </c>
      <c r="G461" s="12" t="s">
        <v>14</v>
      </c>
      <c r="H461" s="12"/>
      <c r="I461" s="14">
        <v>45169</v>
      </c>
      <c r="J461" s="12" t="s">
        <v>1228</v>
      </c>
    </row>
    <row r="462" spans="1:10" s="15" customFormat="1" x14ac:dyDescent="0.15">
      <c r="A462" s="11">
        <v>45169</v>
      </c>
      <c r="B462" s="12" t="s">
        <v>13</v>
      </c>
      <c r="C462" s="12" t="s">
        <v>13</v>
      </c>
      <c r="D462" s="13" t="str">
        <f>HYPERLINK("https://www.marklines.com/en/global/817","AGR Automotive Group (AGR LLC), Kaluga plant (formerly Volkswagen Russia)")</f>
        <v>AGR Automotive Group (AGR LLC), Kaluga plant (formerly Volkswagen Russia)</v>
      </c>
      <c r="E462" s="12" t="s">
        <v>1229</v>
      </c>
      <c r="F462" s="12" t="s">
        <v>18</v>
      </c>
      <c r="G462" s="12" t="s">
        <v>14</v>
      </c>
      <c r="H462" s="12"/>
      <c r="I462" s="14">
        <v>45168</v>
      </c>
      <c r="J462" s="12" t="s">
        <v>1230</v>
      </c>
    </row>
    <row r="463" spans="1:10" s="15" customFormat="1" x14ac:dyDescent="0.15">
      <c r="A463" s="11">
        <v>45169</v>
      </c>
      <c r="B463" s="12" t="s">
        <v>1231</v>
      </c>
      <c r="C463" s="12" t="s">
        <v>1232</v>
      </c>
      <c r="D463" s="13" t="str">
        <f>HYPERLINK("https://www.marklines.com/en/global/9874","Al-Haj Automotive, Karachi Proton Plant ")</f>
        <v xml:space="preserve">Al-Haj Automotive, Karachi Proton Plant </v>
      </c>
      <c r="E463" s="12" t="s">
        <v>1233</v>
      </c>
      <c r="F463" s="12" t="s">
        <v>25</v>
      </c>
      <c r="G463" s="12" t="s">
        <v>366</v>
      </c>
      <c r="H463" s="12"/>
      <c r="I463" s="14">
        <v>45168</v>
      </c>
      <c r="J463" s="12" t="s">
        <v>1234</v>
      </c>
    </row>
    <row r="464" spans="1:10" s="15" customFormat="1" x14ac:dyDescent="0.15">
      <c r="A464" s="11">
        <v>45169</v>
      </c>
      <c r="B464" s="12" t="s">
        <v>733</v>
      </c>
      <c r="C464" s="12" t="s">
        <v>734</v>
      </c>
      <c r="D464" s="13" t="str">
        <f>HYPERLINK("https://www.marklines.com/en/global/1156","Tata Passenger Electric Mobility Limited (TPEML), Sanand Plant (formerly Ford India, Sanand Plant)")</f>
        <v>Tata Passenger Electric Mobility Limited (TPEML), Sanand Plant (formerly Ford India, Sanand Plant)</v>
      </c>
      <c r="E464" s="12" t="s">
        <v>1235</v>
      </c>
      <c r="F464" s="12" t="s">
        <v>25</v>
      </c>
      <c r="G464" s="12" t="s">
        <v>26</v>
      </c>
      <c r="H464" s="12" t="s">
        <v>95</v>
      </c>
      <c r="I464" s="14">
        <v>45167</v>
      </c>
      <c r="J464" s="12" t="s">
        <v>1236</v>
      </c>
    </row>
    <row r="465" spans="1:10" s="15" customFormat="1" x14ac:dyDescent="0.15">
      <c r="A465" s="11">
        <v>45169</v>
      </c>
      <c r="B465" s="12" t="s">
        <v>13</v>
      </c>
      <c r="C465" s="12" t="s">
        <v>1237</v>
      </c>
      <c r="D465" s="13" t="str">
        <f>HYPERLINK("https://www.marklines.com/en/global/9565","Polomex S.A. De C.V. (Marcopolo), Monterrey Plant")</f>
        <v>Polomex S.A. De C.V. (Marcopolo), Monterrey Plant</v>
      </c>
      <c r="E465" s="12" t="s">
        <v>1238</v>
      </c>
      <c r="F465" s="12" t="s">
        <v>16</v>
      </c>
      <c r="G465" s="12" t="s">
        <v>430</v>
      </c>
      <c r="H465" s="12"/>
      <c r="I465" s="14">
        <v>45166</v>
      </c>
      <c r="J465" s="12" t="s">
        <v>1239</v>
      </c>
    </row>
    <row r="466" spans="1:10" s="15" customFormat="1" x14ac:dyDescent="0.15">
      <c r="A466" s="11">
        <v>45169</v>
      </c>
      <c r="B466" s="12" t="s">
        <v>679</v>
      </c>
      <c r="C466" s="12" t="s">
        <v>679</v>
      </c>
      <c r="D466" s="13" t="str">
        <f>HYPERLINK("https://www.marklines.com/en/global/3897","Anhui Jianghuai Anchi Automobile Co., Ltd.")</f>
        <v>Anhui Jianghuai Anchi Automobile Co., Ltd.</v>
      </c>
      <c r="E466" s="12" t="s">
        <v>1240</v>
      </c>
      <c r="F466" s="12" t="s">
        <v>20</v>
      </c>
      <c r="G466" s="12" t="s">
        <v>27</v>
      </c>
      <c r="H466" s="12" t="s">
        <v>326</v>
      </c>
      <c r="I466" s="14">
        <v>45164</v>
      </c>
      <c r="J466" s="12" t="s">
        <v>1241</v>
      </c>
    </row>
    <row r="467" spans="1:10" s="15" customFormat="1" x14ac:dyDescent="0.15">
      <c r="A467" s="11">
        <v>45169</v>
      </c>
      <c r="B467" s="12" t="s">
        <v>679</v>
      </c>
      <c r="C467" s="12" t="s">
        <v>679</v>
      </c>
      <c r="D467" s="13" t="str">
        <f>HYPERLINK("https://www.marklines.com/en/global/10356","Anhui Jianghuai Automobile Group Co., Ltd. Car Branch")</f>
        <v>Anhui Jianghuai Automobile Group Co., Ltd. Car Branch</v>
      </c>
      <c r="E467" s="12" t="s">
        <v>1242</v>
      </c>
      <c r="F467" s="12" t="s">
        <v>20</v>
      </c>
      <c r="G467" s="12" t="s">
        <v>27</v>
      </c>
      <c r="H467" s="12" t="s">
        <v>326</v>
      </c>
      <c r="I467" s="14">
        <v>45164</v>
      </c>
      <c r="J467" s="12" t="s">
        <v>1241</v>
      </c>
    </row>
    <row r="468" spans="1:10" s="15" customFormat="1" x14ac:dyDescent="0.15">
      <c r="A468" s="11">
        <v>45169</v>
      </c>
      <c r="B468" s="12" t="s">
        <v>109</v>
      </c>
      <c r="C468" s="12" t="s">
        <v>109</v>
      </c>
      <c r="D468" s="13" t="str">
        <f>HYPERLINK("https://www.marklines.com/en/global/10678","BYD Automobile Industry Co., Ltd., Zhengzhou Branch")</f>
        <v>BYD Automobile Industry Co., Ltd., Zhengzhou Branch</v>
      </c>
      <c r="E468" s="12" t="s">
        <v>716</v>
      </c>
      <c r="F468" s="12" t="s">
        <v>20</v>
      </c>
      <c r="G468" s="12" t="s">
        <v>27</v>
      </c>
      <c r="H468" s="12" t="s">
        <v>47</v>
      </c>
      <c r="I468" s="14">
        <v>45163</v>
      </c>
      <c r="J468" s="12" t="s">
        <v>1243</v>
      </c>
    </row>
    <row r="469" spans="1:10" s="15" customFormat="1" x14ac:dyDescent="0.15">
      <c r="A469" s="11">
        <v>45169</v>
      </c>
      <c r="B469" s="12" t="s">
        <v>109</v>
      </c>
      <c r="C469" s="12" t="s">
        <v>109</v>
      </c>
      <c r="D469" s="13" t="str">
        <f>HYPERLINK("https://www.marklines.com/en/global/10526","BYD Automobile Industry Co., Ltd., Hefei Branch")</f>
        <v>BYD Automobile Industry Co., Ltd., Hefei Branch</v>
      </c>
      <c r="E469" s="12" t="s">
        <v>1244</v>
      </c>
      <c r="F469" s="12" t="s">
        <v>20</v>
      </c>
      <c r="G469" s="12" t="s">
        <v>27</v>
      </c>
      <c r="H469" s="12" t="s">
        <v>326</v>
      </c>
      <c r="I469" s="14">
        <v>45163</v>
      </c>
      <c r="J469" s="12" t="s">
        <v>1243</v>
      </c>
    </row>
    <row r="470" spans="1:10" s="15" customFormat="1" x14ac:dyDescent="0.15">
      <c r="A470" s="11">
        <v>45169</v>
      </c>
      <c r="B470" s="12" t="s">
        <v>109</v>
      </c>
      <c r="C470" s="12" t="s">
        <v>195</v>
      </c>
      <c r="D470" s="13" t="str">
        <f>HYPERLINK("https://www.marklines.com/en/global/4043","BYD Automobile Industry Co., Ltd., Changsha Branch")</f>
        <v>BYD Automobile Industry Co., Ltd., Changsha Branch</v>
      </c>
      <c r="E470" s="12" t="s">
        <v>136</v>
      </c>
      <c r="F470" s="12" t="s">
        <v>20</v>
      </c>
      <c r="G470" s="12" t="s">
        <v>27</v>
      </c>
      <c r="H470" s="12" t="s">
        <v>112</v>
      </c>
      <c r="I470" s="14">
        <v>45163</v>
      </c>
      <c r="J470" s="12" t="s">
        <v>1243</v>
      </c>
    </row>
    <row r="471" spans="1:10" s="15" customFormat="1" x14ac:dyDescent="0.15">
      <c r="A471" s="11">
        <v>45169</v>
      </c>
      <c r="B471" s="12" t="s">
        <v>368</v>
      </c>
      <c r="C471" s="12" t="s">
        <v>368</v>
      </c>
      <c r="D471" s="13" t="str">
        <f>HYPERLINK("https://www.marklines.com/en/global/3909","Jiangling Motors Co., Ltd. Xiaolan Branch")</f>
        <v>Jiangling Motors Co., Ltd. Xiaolan Branch</v>
      </c>
      <c r="E471" s="12" t="s">
        <v>1104</v>
      </c>
      <c r="F471" s="12" t="s">
        <v>20</v>
      </c>
      <c r="G471" s="12" t="s">
        <v>27</v>
      </c>
      <c r="H471" s="12" t="s">
        <v>370</v>
      </c>
      <c r="I471" s="14">
        <v>45163</v>
      </c>
      <c r="J471" s="12" t="s">
        <v>1245</v>
      </c>
    </row>
    <row r="472" spans="1:10" s="15" customFormat="1" x14ac:dyDescent="0.15">
      <c r="A472" s="11">
        <v>45168</v>
      </c>
      <c r="B472" s="12" t="s">
        <v>117</v>
      </c>
      <c r="C472" s="12" t="s">
        <v>117</v>
      </c>
      <c r="D472" s="13" t="str">
        <f>HYPERLINK("https://www.marklines.com/en/global/9486","Zhaoqing Xiaopeng New Energy Investment Co., Ltd. (Formerly : Guangzhou Xiaopeng Motors Technology Co., Ltd.  Zhaoqing Plant)")</f>
        <v>Zhaoqing Xiaopeng New Energy Investment Co., Ltd. (Formerly : Guangzhou Xiaopeng Motors Technology Co., Ltd.  Zhaoqing Plant)</v>
      </c>
      <c r="E472" s="12" t="s">
        <v>858</v>
      </c>
      <c r="F472" s="12" t="s">
        <v>20</v>
      </c>
      <c r="G472" s="12" t="s">
        <v>27</v>
      </c>
      <c r="H472" s="12" t="s">
        <v>37</v>
      </c>
      <c r="I472" s="14">
        <v>45168</v>
      </c>
      <c r="J472" s="12" t="s">
        <v>1246</v>
      </c>
    </row>
    <row r="473" spans="1:10" s="15" customFormat="1" x14ac:dyDescent="0.15">
      <c r="A473" s="11">
        <v>45168</v>
      </c>
      <c r="B473" s="12" t="s">
        <v>117</v>
      </c>
      <c r="C473" s="12" t="s">
        <v>117</v>
      </c>
      <c r="D473" s="13" t="str">
        <f>HYPERLINK("https://www.marklines.com/en/global/10668","Guangzhou Xiaopeng Automobile Manufacturing Co., Ltd.")</f>
        <v>Guangzhou Xiaopeng Automobile Manufacturing Co., Ltd.</v>
      </c>
      <c r="E473" s="12" t="s">
        <v>118</v>
      </c>
      <c r="F473" s="12" t="s">
        <v>20</v>
      </c>
      <c r="G473" s="12" t="s">
        <v>27</v>
      </c>
      <c r="H473" s="12" t="s">
        <v>31</v>
      </c>
      <c r="I473" s="14">
        <v>45168</v>
      </c>
      <c r="J473" s="12" t="s">
        <v>1246</v>
      </c>
    </row>
    <row r="474" spans="1:10" s="15" customFormat="1" x14ac:dyDescent="0.15">
      <c r="A474" s="11">
        <v>45168</v>
      </c>
      <c r="B474" s="12" t="s">
        <v>43</v>
      </c>
      <c r="C474" s="12" t="s">
        <v>77</v>
      </c>
      <c r="D474" s="13" t="str">
        <f>HYPERLINK("https://www.marklines.com/en/global/2173","MAN Truck &amp; Bus, Salzgitter Plant")</f>
        <v>MAN Truck &amp; Bus, Salzgitter Plant</v>
      </c>
      <c r="E474" s="12" t="s">
        <v>271</v>
      </c>
      <c r="F474" s="12" t="s">
        <v>17</v>
      </c>
      <c r="G474" s="12" t="s">
        <v>21</v>
      </c>
      <c r="H474" s="12"/>
      <c r="I474" s="14">
        <v>45167</v>
      </c>
      <c r="J474" s="12" t="s">
        <v>1247</v>
      </c>
    </row>
    <row r="475" spans="1:10" s="15" customFormat="1" x14ac:dyDescent="0.15">
      <c r="A475" s="11">
        <v>45168</v>
      </c>
      <c r="B475" s="12" t="s">
        <v>43</v>
      </c>
      <c r="C475" s="12" t="s">
        <v>77</v>
      </c>
      <c r="D475" s="13" t="str">
        <f>HYPERLINK("https://www.marklines.com/en/global/2175","MAN Truck &amp; Bus, Nürnberg Plant")</f>
        <v>MAN Truck &amp; Bus, Nürnberg Plant</v>
      </c>
      <c r="E475" s="12" t="s">
        <v>1248</v>
      </c>
      <c r="F475" s="12" t="s">
        <v>17</v>
      </c>
      <c r="G475" s="12" t="s">
        <v>21</v>
      </c>
      <c r="H475" s="12"/>
      <c r="I475" s="14">
        <v>45167</v>
      </c>
      <c r="J475" s="12" t="s">
        <v>1247</v>
      </c>
    </row>
    <row r="476" spans="1:10" s="15" customFormat="1" x14ac:dyDescent="0.15">
      <c r="A476" s="11">
        <v>45168</v>
      </c>
      <c r="B476" s="12" t="s">
        <v>43</v>
      </c>
      <c r="C476" s="12" t="s">
        <v>77</v>
      </c>
      <c r="D476" s="13" t="str">
        <f>HYPERLINK("https://www.marklines.com/en/global/2171","MAN Truck &amp; Bus, Munich Plant")</f>
        <v>MAN Truck &amp; Bus, Munich Plant</v>
      </c>
      <c r="E476" s="12" t="s">
        <v>78</v>
      </c>
      <c r="F476" s="12" t="s">
        <v>17</v>
      </c>
      <c r="G476" s="12" t="s">
        <v>21</v>
      </c>
      <c r="H476" s="12"/>
      <c r="I476" s="14">
        <v>45167</v>
      </c>
      <c r="J476" s="12" t="s">
        <v>1247</v>
      </c>
    </row>
    <row r="477" spans="1:10" s="15" customFormat="1" x14ac:dyDescent="0.15">
      <c r="A477" s="11">
        <v>45168</v>
      </c>
      <c r="B477" s="12" t="s">
        <v>43</v>
      </c>
      <c r="C477" s="12" t="s">
        <v>67</v>
      </c>
      <c r="D477" s="13" t="str">
        <f>HYPERLINK("https://www.marklines.com/en/global/1384","Volkswagen Autoeuropa Ltd., Setubal, Palmela Plant (formerly AutoEuropa Automoveis, Ltda.)")</f>
        <v>Volkswagen Autoeuropa Ltd., Setubal, Palmela Plant (formerly AutoEuropa Automoveis, Ltda.)</v>
      </c>
      <c r="E477" s="12" t="s">
        <v>1203</v>
      </c>
      <c r="F477" s="12" t="s">
        <v>17</v>
      </c>
      <c r="G477" s="12" t="s">
        <v>1142</v>
      </c>
      <c r="H477" s="12"/>
      <c r="I477" s="14">
        <v>45167</v>
      </c>
      <c r="J477" s="12" t="s">
        <v>1249</v>
      </c>
    </row>
    <row r="478" spans="1:10" s="15" customFormat="1" x14ac:dyDescent="0.15">
      <c r="A478" s="11">
        <v>45168</v>
      </c>
      <c r="B478" s="12" t="s">
        <v>43</v>
      </c>
      <c r="C478" s="12" t="s">
        <v>599</v>
      </c>
      <c r="D478" s="13" t="str">
        <f>HYPERLINK("https://www.marklines.com/en/global/1384","Volkswagen Autoeuropa Ltd., Setubal, Palmela Plant (formerly AutoEuropa Automoveis, Ltda.)")</f>
        <v>Volkswagen Autoeuropa Ltd., Setubal, Palmela Plant (formerly AutoEuropa Automoveis, Ltda.)</v>
      </c>
      <c r="E478" s="12" t="s">
        <v>1203</v>
      </c>
      <c r="F478" s="12" t="s">
        <v>17</v>
      </c>
      <c r="G478" s="12" t="s">
        <v>1142</v>
      </c>
      <c r="H478" s="12"/>
      <c r="I478" s="14">
        <v>45167</v>
      </c>
      <c r="J478" s="12" t="s">
        <v>1249</v>
      </c>
    </row>
    <row r="479" spans="1:10" s="15" customFormat="1" x14ac:dyDescent="0.15">
      <c r="A479" s="11">
        <v>45168</v>
      </c>
      <c r="B479" s="12" t="s">
        <v>62</v>
      </c>
      <c r="C479" s="12" t="s">
        <v>62</v>
      </c>
      <c r="D479" s="13" t="str">
        <f>HYPERLINK("https://www.marklines.com/en/global/3879","Chery Automobile Co., Ltd. ")</f>
        <v xml:space="preserve">Chery Automobile Co., Ltd. </v>
      </c>
      <c r="E479" s="12" t="s">
        <v>773</v>
      </c>
      <c r="F479" s="12" t="s">
        <v>20</v>
      </c>
      <c r="G479" s="12" t="s">
        <v>27</v>
      </c>
      <c r="H479" s="12" t="s">
        <v>326</v>
      </c>
      <c r="I479" s="14">
        <v>45167</v>
      </c>
      <c r="J479" s="12" t="s">
        <v>1250</v>
      </c>
    </row>
    <row r="480" spans="1:10" s="15" customFormat="1" x14ac:dyDescent="0.15">
      <c r="A480" s="11">
        <v>45168</v>
      </c>
      <c r="B480" s="12" t="s">
        <v>13</v>
      </c>
      <c r="C480" s="12" t="s">
        <v>13</v>
      </c>
      <c r="D480" s="13" t="str">
        <f>HYPERLINK("https://www.marklines.com/en/global/10688","Blue Energy Commercial Vehicles Private Limited, Chakan Plant")</f>
        <v>Blue Energy Commercial Vehicles Private Limited, Chakan Plant</v>
      </c>
      <c r="E480" s="12" t="s">
        <v>1251</v>
      </c>
      <c r="F480" s="12" t="s">
        <v>25</v>
      </c>
      <c r="G480" s="12" t="s">
        <v>26</v>
      </c>
      <c r="H480" s="12" t="s">
        <v>736</v>
      </c>
      <c r="I480" s="14">
        <v>45167</v>
      </c>
      <c r="J480" s="12" t="s">
        <v>1252</v>
      </c>
    </row>
    <row r="481" spans="1:10" s="15" customFormat="1" x14ac:dyDescent="0.15">
      <c r="A481" s="11">
        <v>45168</v>
      </c>
      <c r="B481" s="12" t="s">
        <v>62</v>
      </c>
      <c r="C481" s="12" t="s">
        <v>62</v>
      </c>
      <c r="D481" s="13" t="str">
        <f>HYPERLINK("https://www.marklines.com/en/global/2861","CAOA Chery Brazil, Anapolis Plant (Former Hyundai Caoa do Brasil Ltda.)")</f>
        <v>CAOA Chery Brazil, Anapolis Plant (Former Hyundai Caoa do Brasil Ltda.)</v>
      </c>
      <c r="E481" s="12" t="s">
        <v>1253</v>
      </c>
      <c r="F481" s="12" t="s">
        <v>74</v>
      </c>
      <c r="G481" s="12" t="s">
        <v>75</v>
      </c>
      <c r="H481" s="12"/>
      <c r="I481" s="14">
        <v>45167</v>
      </c>
      <c r="J481" s="12" t="s">
        <v>1254</v>
      </c>
    </row>
    <row r="482" spans="1:10" s="15" customFormat="1" x14ac:dyDescent="0.15">
      <c r="A482" s="11">
        <v>45168</v>
      </c>
      <c r="B482" s="12" t="s">
        <v>65</v>
      </c>
      <c r="C482" s="12" t="s">
        <v>66</v>
      </c>
      <c r="D482" s="13" t="str">
        <f>HYPERLINK("https://www.marklines.com/en/global/2443","Kia, Hwaseong Plant (AutoLand  Hwaseong)")</f>
        <v>Kia, Hwaseong Plant (AutoLand  Hwaseong)</v>
      </c>
      <c r="E482" s="12" t="s">
        <v>1255</v>
      </c>
      <c r="F482" s="12" t="s">
        <v>20</v>
      </c>
      <c r="G482" s="12" t="s">
        <v>341</v>
      </c>
      <c r="H482" s="12"/>
      <c r="I482" s="14">
        <v>45167</v>
      </c>
      <c r="J482" s="12" t="s">
        <v>1256</v>
      </c>
    </row>
    <row r="483" spans="1:10" s="15" customFormat="1" x14ac:dyDescent="0.15">
      <c r="A483" s="11">
        <v>45168</v>
      </c>
      <c r="B483" s="12" t="s">
        <v>93</v>
      </c>
      <c r="C483" s="12" t="s">
        <v>93</v>
      </c>
      <c r="D483" s="13" t="str">
        <f>HYPERLINK("https://www.marklines.com/en/global/171","Renault S.A., Flins Plant - Refactory")</f>
        <v>Renault S.A., Flins Plant - Refactory</v>
      </c>
      <c r="E483" s="12" t="s">
        <v>1257</v>
      </c>
      <c r="F483" s="12" t="s">
        <v>17</v>
      </c>
      <c r="G483" s="12" t="s">
        <v>40</v>
      </c>
      <c r="H483" s="12"/>
      <c r="I483" s="14">
        <v>45166</v>
      </c>
      <c r="J483" s="12" t="s">
        <v>1258</v>
      </c>
    </row>
    <row r="484" spans="1:10" s="15" customFormat="1" x14ac:dyDescent="0.15">
      <c r="A484" s="11">
        <v>45168</v>
      </c>
      <c r="B484" s="12" t="s">
        <v>43</v>
      </c>
      <c r="C484" s="12" t="s">
        <v>67</v>
      </c>
      <c r="D484" s="13" t="str">
        <f>HYPERLINK("https://www.marklines.com/en/global/911","Volkswagen Mexico, Puebla Plant")</f>
        <v>Volkswagen Mexico, Puebla Plant</v>
      </c>
      <c r="E484" s="12" t="s">
        <v>1101</v>
      </c>
      <c r="F484" s="12" t="s">
        <v>16</v>
      </c>
      <c r="G484" s="12" t="s">
        <v>430</v>
      </c>
      <c r="H484" s="12"/>
      <c r="I484" s="14">
        <v>45166</v>
      </c>
      <c r="J484" s="12" t="s">
        <v>1259</v>
      </c>
    </row>
    <row r="485" spans="1:10" s="15" customFormat="1" x14ac:dyDescent="0.15">
      <c r="A485" s="11">
        <v>45168</v>
      </c>
      <c r="B485" s="12" t="s">
        <v>65</v>
      </c>
      <c r="C485" s="12" t="s">
        <v>66</v>
      </c>
      <c r="D485" s="13" t="str">
        <f>HYPERLINK("https://www.marklines.com/en/global/4311","Jiangsu Yueda Kia Motors Co., Ltd. (Third Plant) (formerly Kia Motors Co., Ltd. (Third Plant))")</f>
        <v>Jiangsu Yueda Kia Motors Co., Ltd. (Third Plant) (formerly Kia Motors Co., Ltd. (Third Plant))</v>
      </c>
      <c r="E485" s="12" t="s">
        <v>121</v>
      </c>
      <c r="F485" s="12" t="s">
        <v>20</v>
      </c>
      <c r="G485" s="12" t="s">
        <v>27</v>
      </c>
      <c r="H485" s="12" t="s">
        <v>52</v>
      </c>
      <c r="I485" s="14">
        <v>45163</v>
      </c>
      <c r="J485" s="12" t="s">
        <v>1260</v>
      </c>
    </row>
    <row r="486" spans="1:10" s="15" customFormat="1" x14ac:dyDescent="0.15">
      <c r="A486" s="11">
        <v>45168</v>
      </c>
      <c r="B486" s="12" t="s">
        <v>437</v>
      </c>
      <c r="C486" s="12" t="s">
        <v>437</v>
      </c>
      <c r="D486" s="13" t="str">
        <f>HYPERLINK("https://www.marklines.com/en/global/10504","Dongfeng Motor Group Co., Ltd. Mengshi Automobile Technology Company (formerly Dongfeng Motor Group Co., Ltd. High-end EV Off-road Vehicle Plant)")</f>
        <v>Dongfeng Motor Group Co., Ltd. Mengshi Automobile Technology Company (formerly Dongfeng Motor Group Co., Ltd. High-end EV Off-road Vehicle Plant)</v>
      </c>
      <c r="E486" s="12" t="s">
        <v>1127</v>
      </c>
      <c r="F486" s="12" t="s">
        <v>20</v>
      </c>
      <c r="G486" s="12" t="s">
        <v>27</v>
      </c>
      <c r="H486" s="12" t="s">
        <v>46</v>
      </c>
      <c r="I486" s="14">
        <v>45163</v>
      </c>
      <c r="J486" s="12" t="s">
        <v>1261</v>
      </c>
    </row>
    <row r="487" spans="1:10" s="15" customFormat="1" x14ac:dyDescent="0.15">
      <c r="A487" s="11">
        <v>45168</v>
      </c>
      <c r="B487" s="12" t="s">
        <v>1231</v>
      </c>
      <c r="C487" s="12" t="s">
        <v>1232</v>
      </c>
      <c r="D487" s="13" t="str">
        <f>HYPERLINK("https://www.marklines.com/en/global/997","Proton, Tanjung Malim Plant")</f>
        <v>Proton, Tanjung Malim Plant</v>
      </c>
      <c r="E487" s="12" t="s">
        <v>1262</v>
      </c>
      <c r="F487" s="12" t="s">
        <v>49</v>
      </c>
      <c r="G487" s="12" t="s">
        <v>1164</v>
      </c>
      <c r="H487" s="12"/>
      <c r="I487" s="14">
        <v>45162</v>
      </c>
      <c r="J487" s="12" t="s">
        <v>1263</v>
      </c>
    </row>
    <row r="488" spans="1:10" s="15" customFormat="1" x14ac:dyDescent="0.15">
      <c r="A488" s="11">
        <v>45168</v>
      </c>
      <c r="B488" s="12" t="s">
        <v>990</v>
      </c>
      <c r="C488" s="12" t="s">
        <v>990</v>
      </c>
      <c r="D488" s="13" t="str">
        <f>HYPERLINK("https://www.marklines.com/en/global/3433","Beijing Li Auto Co., Ltd. (formerly Beijing Hyundai Motor Co., Ltd., First Plant)")</f>
        <v>Beijing Li Auto Co., Ltd. (formerly Beijing Hyundai Motor Co., Ltd., First Plant)</v>
      </c>
      <c r="E488" s="12" t="s">
        <v>1264</v>
      </c>
      <c r="F488" s="12" t="s">
        <v>20</v>
      </c>
      <c r="G488" s="12" t="s">
        <v>27</v>
      </c>
      <c r="H488" s="12" t="s">
        <v>37</v>
      </c>
      <c r="I488" s="14">
        <v>45162</v>
      </c>
      <c r="J488" s="12" t="s">
        <v>1265</v>
      </c>
    </row>
    <row r="489" spans="1:10" s="15" customFormat="1" x14ac:dyDescent="0.15">
      <c r="A489" s="11">
        <v>45168</v>
      </c>
      <c r="B489" s="12" t="s">
        <v>12</v>
      </c>
      <c r="C489" s="12" t="s">
        <v>579</v>
      </c>
      <c r="D489" s="13" t="str">
        <f>HYPERLINK("https://www.marklines.com/en/global/3697","SAIC-GM Dong Yue Motors Co., Ltd.")</f>
        <v>SAIC-GM Dong Yue Motors Co., Ltd.</v>
      </c>
      <c r="E489" s="12" t="s">
        <v>468</v>
      </c>
      <c r="F489" s="12" t="s">
        <v>20</v>
      </c>
      <c r="G489" s="12" t="s">
        <v>27</v>
      </c>
      <c r="H489" s="12" t="s">
        <v>469</v>
      </c>
      <c r="I489" s="14">
        <v>45161</v>
      </c>
      <c r="J489" s="12" t="s">
        <v>1266</v>
      </c>
    </row>
    <row r="490" spans="1:10" s="15" customFormat="1" x14ac:dyDescent="0.15">
      <c r="A490" s="11">
        <v>45168</v>
      </c>
      <c r="B490" s="12" t="s">
        <v>100</v>
      </c>
      <c r="C490" s="12" t="s">
        <v>100</v>
      </c>
      <c r="D490" s="13" t="str">
        <f>HYPERLINK("https://www.marklines.com/en/global/635","Nissan South Africa (Pty) Ltd., Rosslyn Plant")</f>
        <v>Nissan South Africa (Pty) Ltd., Rosslyn Plant</v>
      </c>
      <c r="E490" s="12" t="s">
        <v>1267</v>
      </c>
      <c r="F490" s="12" t="s">
        <v>164</v>
      </c>
      <c r="G490" s="12" t="s">
        <v>165</v>
      </c>
      <c r="H490" s="12"/>
      <c r="I490" s="14">
        <v>45141</v>
      </c>
      <c r="J490" s="12" t="s">
        <v>1268</v>
      </c>
    </row>
    <row r="491" spans="1:10" s="15" customFormat="1" x14ac:dyDescent="0.15">
      <c r="A491" s="11">
        <v>45167</v>
      </c>
      <c r="B491" s="12" t="s">
        <v>174</v>
      </c>
      <c r="C491" s="12" t="s">
        <v>174</v>
      </c>
      <c r="D491" s="13" t="str">
        <f>HYPERLINK("https://www.marklines.com/en/global/737","Kamaz, Naberezhnye Chelny Plant")</f>
        <v>Kamaz, Naberezhnye Chelny Plant</v>
      </c>
      <c r="E491" s="12" t="s">
        <v>593</v>
      </c>
      <c r="F491" s="12" t="s">
        <v>18</v>
      </c>
      <c r="G491" s="12" t="s">
        <v>14</v>
      </c>
      <c r="H491" s="12"/>
      <c r="I491" s="14">
        <v>45167</v>
      </c>
      <c r="J491" s="12" t="s">
        <v>1269</v>
      </c>
    </row>
    <row r="492" spans="1:10" s="15" customFormat="1" x14ac:dyDescent="0.15">
      <c r="A492" s="11">
        <v>45167</v>
      </c>
      <c r="B492" s="12" t="s">
        <v>90</v>
      </c>
      <c r="C492" s="12" t="s">
        <v>91</v>
      </c>
      <c r="D492" s="13" t="str">
        <f>HYPERLINK("https://www.marklines.com/en/global/675","AvtoVAZ, Togliatti Plant")</f>
        <v>AvtoVAZ, Togliatti Plant</v>
      </c>
      <c r="E492" s="12" t="s">
        <v>92</v>
      </c>
      <c r="F492" s="12" t="s">
        <v>18</v>
      </c>
      <c r="G492" s="12" t="s">
        <v>14</v>
      </c>
      <c r="H492" s="12"/>
      <c r="I492" s="14">
        <v>45167</v>
      </c>
      <c r="J492" s="12" t="s">
        <v>1270</v>
      </c>
    </row>
    <row r="493" spans="1:10" s="15" customFormat="1" x14ac:dyDescent="0.15">
      <c r="A493" s="11">
        <v>45167</v>
      </c>
      <c r="B493" s="12" t="s">
        <v>90</v>
      </c>
      <c r="C493" s="12" t="s">
        <v>91</v>
      </c>
      <c r="D493" s="13" t="str">
        <f>HYPERLINK("https://www.marklines.com/en/global/729","LLC ""LADA Izhevsk"", LADA Izhevsk Automotive Plant (formerly OJSC Izh-Avto, Izhevsk Automobilny Zavod) ")</f>
        <v xml:space="preserve">LLC "LADA Izhevsk", LADA Izhevsk Automotive Plant (formerly OJSC Izh-Avto, Izhevsk Automobilny Zavod) </v>
      </c>
      <c r="E493" s="12" t="s">
        <v>613</v>
      </c>
      <c r="F493" s="12" t="s">
        <v>18</v>
      </c>
      <c r="G493" s="12" t="s">
        <v>14</v>
      </c>
      <c r="H493" s="12"/>
      <c r="I493" s="14">
        <v>45167</v>
      </c>
      <c r="J493" s="12" t="s">
        <v>1270</v>
      </c>
    </row>
    <row r="494" spans="1:10" s="15" customFormat="1" x14ac:dyDescent="0.15">
      <c r="A494" s="11">
        <v>45167</v>
      </c>
      <c r="B494" s="12" t="s">
        <v>28</v>
      </c>
      <c r="C494" s="12" t="s">
        <v>488</v>
      </c>
      <c r="D494" s="13" t="str">
        <f>HYPERLINK("https://www.marklines.com/en/global/2243","Daimler Truck AG, Wörth Plant")</f>
        <v>Daimler Truck AG, Wörth Plant</v>
      </c>
      <c r="E494" s="12" t="s">
        <v>489</v>
      </c>
      <c r="F494" s="12" t="s">
        <v>17</v>
      </c>
      <c r="G494" s="12" t="s">
        <v>21</v>
      </c>
      <c r="H494" s="12"/>
      <c r="I494" s="14">
        <v>45166</v>
      </c>
      <c r="J494" s="12" t="s">
        <v>1271</v>
      </c>
    </row>
    <row r="495" spans="1:10" s="15" customFormat="1" x14ac:dyDescent="0.15">
      <c r="A495" s="11">
        <v>45167</v>
      </c>
      <c r="B495" s="12" t="s">
        <v>50</v>
      </c>
      <c r="C495" s="12" t="s">
        <v>50</v>
      </c>
      <c r="D495" s="13" t="str">
        <f>HYPERLINK("https://www.marklines.com/en/global/495","Suzuki Motor, Kosai Plant")</f>
        <v>Suzuki Motor, Kosai Plant</v>
      </c>
      <c r="E495" s="12" t="s">
        <v>1272</v>
      </c>
      <c r="F495" s="12" t="s">
        <v>20</v>
      </c>
      <c r="G495" s="12" t="s">
        <v>23</v>
      </c>
      <c r="H495" s="12" t="s">
        <v>827</v>
      </c>
      <c r="I495" s="14">
        <v>45166</v>
      </c>
      <c r="J495" s="12" t="s">
        <v>1273</v>
      </c>
    </row>
    <row r="496" spans="1:10" s="15" customFormat="1" x14ac:dyDescent="0.15">
      <c r="A496" s="11">
        <v>45167</v>
      </c>
      <c r="B496" s="12" t="s">
        <v>50</v>
      </c>
      <c r="C496" s="12" t="s">
        <v>50</v>
      </c>
      <c r="D496" s="13" t="str">
        <f>HYPERLINK("https://www.marklines.com/en/global/1253","Maruti Suzuki India Ltd. (MSIL), Gurgaon Plant")</f>
        <v>Maruti Suzuki India Ltd. (MSIL), Gurgaon Plant</v>
      </c>
      <c r="E496" s="12" t="s">
        <v>738</v>
      </c>
      <c r="F496" s="12" t="s">
        <v>25</v>
      </c>
      <c r="G496" s="12" t="s">
        <v>26</v>
      </c>
      <c r="H496" s="12" t="s">
        <v>739</v>
      </c>
      <c r="I496" s="14">
        <v>45166</v>
      </c>
      <c r="J496" s="12" t="s">
        <v>1273</v>
      </c>
    </row>
    <row r="497" spans="1:10" s="15" customFormat="1" x14ac:dyDescent="0.15">
      <c r="A497" s="11">
        <v>45167</v>
      </c>
      <c r="B497" s="12" t="s">
        <v>93</v>
      </c>
      <c r="C497" s="12" t="s">
        <v>93</v>
      </c>
      <c r="D497" s="13" t="str">
        <f>HYPERLINK("https://www.marklines.com/en/global/2907","Renault do Brasil S.A., Curitiba/Sao Jose dos Pinhais Plant")</f>
        <v>Renault do Brasil S.A., Curitiba/Sao Jose dos Pinhais Plant</v>
      </c>
      <c r="E497" s="12" t="s">
        <v>878</v>
      </c>
      <c r="F497" s="12" t="s">
        <v>74</v>
      </c>
      <c r="G497" s="12" t="s">
        <v>75</v>
      </c>
      <c r="H497" s="12"/>
      <c r="I497" s="14">
        <v>45166</v>
      </c>
      <c r="J497" s="12" t="s">
        <v>1274</v>
      </c>
    </row>
    <row r="498" spans="1:10" s="15" customFormat="1" x14ac:dyDescent="0.15">
      <c r="A498" s="11">
        <v>45167</v>
      </c>
      <c r="B498" s="12" t="s">
        <v>43</v>
      </c>
      <c r="C498" s="12" t="s">
        <v>67</v>
      </c>
      <c r="D498" s="13" t="str">
        <f>HYPERLINK("https://www.marklines.com/en/global/1965","Volkswagen Navarra, S.A., Pamplona (Landaben) Plant")</f>
        <v>Volkswagen Navarra, S.A., Pamplona (Landaben) Plant</v>
      </c>
      <c r="E498" s="12" t="s">
        <v>1275</v>
      </c>
      <c r="F498" s="12" t="s">
        <v>17</v>
      </c>
      <c r="G498" s="12" t="s">
        <v>114</v>
      </c>
      <c r="H498" s="12"/>
      <c r="I498" s="14">
        <v>45163</v>
      </c>
      <c r="J498" s="12" t="s">
        <v>1276</v>
      </c>
    </row>
    <row r="499" spans="1:10" s="15" customFormat="1" x14ac:dyDescent="0.15">
      <c r="A499" s="11">
        <v>45167</v>
      </c>
      <c r="B499" s="12" t="s">
        <v>43</v>
      </c>
      <c r="C499" s="12" t="s">
        <v>347</v>
      </c>
      <c r="D499" s="13" t="str">
        <f>HYPERLINK("https://www.marklines.com/en/global/1965","Volkswagen Navarra, S.A., Pamplona (Landaben) Plant")</f>
        <v>Volkswagen Navarra, S.A., Pamplona (Landaben) Plant</v>
      </c>
      <c r="E499" s="12" t="s">
        <v>1275</v>
      </c>
      <c r="F499" s="12" t="s">
        <v>17</v>
      </c>
      <c r="G499" s="12" t="s">
        <v>114</v>
      </c>
      <c r="H499" s="12"/>
      <c r="I499" s="14">
        <v>45163</v>
      </c>
      <c r="J499" s="12" t="s">
        <v>1276</v>
      </c>
    </row>
    <row r="500" spans="1:10" s="15" customFormat="1" x14ac:dyDescent="0.15">
      <c r="A500" s="11">
        <v>45167</v>
      </c>
      <c r="B500" s="12" t="s">
        <v>24</v>
      </c>
      <c r="C500" s="12" t="s">
        <v>24</v>
      </c>
      <c r="D500" s="13" t="str">
        <f>HYPERLINK("https://www.marklines.com/en/global/10376","Ford Motor, Rouge Electric Vehicle Center")</f>
        <v>Ford Motor, Rouge Electric Vehicle Center</v>
      </c>
      <c r="E500" s="12" t="s">
        <v>605</v>
      </c>
      <c r="F500" s="12" t="s">
        <v>16</v>
      </c>
      <c r="G500" s="12" t="s">
        <v>11</v>
      </c>
      <c r="H500" s="12" t="s">
        <v>59</v>
      </c>
      <c r="I500" s="14">
        <v>45163</v>
      </c>
      <c r="J500" s="12" t="s">
        <v>1277</v>
      </c>
    </row>
    <row r="501" spans="1:10" s="15" customFormat="1" x14ac:dyDescent="0.15">
      <c r="A501" s="11">
        <v>45167</v>
      </c>
      <c r="B501" s="12" t="s">
        <v>24</v>
      </c>
      <c r="C501" s="12" t="s">
        <v>24</v>
      </c>
      <c r="D501" s="13" t="str">
        <f>HYPERLINK("https://www.marklines.com/en/global/2599","Ford Motor, Kansas City Assembly Plant")</f>
        <v>Ford Motor, Kansas City Assembly Plant</v>
      </c>
      <c r="E501" s="12" t="s">
        <v>1278</v>
      </c>
      <c r="F501" s="12" t="s">
        <v>16</v>
      </c>
      <c r="G501" s="12" t="s">
        <v>11</v>
      </c>
      <c r="H501" s="12" t="s">
        <v>406</v>
      </c>
      <c r="I501" s="14">
        <v>45163</v>
      </c>
      <c r="J501" s="12" t="s">
        <v>1277</v>
      </c>
    </row>
    <row r="502" spans="1:10" s="15" customFormat="1" x14ac:dyDescent="0.15">
      <c r="A502" s="11">
        <v>45167</v>
      </c>
      <c r="B502" s="12" t="s">
        <v>24</v>
      </c>
      <c r="C502" s="12" t="s">
        <v>24</v>
      </c>
      <c r="D502" s="13" t="str">
        <f>HYPERLINK("https://www.marklines.com/en/global/857","Ford Motor Mexico, Cuautitlan Stamping and Assembly Plant")</f>
        <v>Ford Motor Mexico, Cuautitlan Stamping and Assembly Plant</v>
      </c>
      <c r="E502" s="12" t="s">
        <v>588</v>
      </c>
      <c r="F502" s="12" t="s">
        <v>16</v>
      </c>
      <c r="G502" s="12" t="s">
        <v>430</v>
      </c>
      <c r="H502" s="12"/>
      <c r="I502" s="14">
        <v>45163</v>
      </c>
      <c r="J502" s="12" t="s">
        <v>1277</v>
      </c>
    </row>
    <row r="503" spans="1:10" s="15" customFormat="1" x14ac:dyDescent="0.15">
      <c r="A503" s="11">
        <v>45167</v>
      </c>
      <c r="B503" s="12" t="s">
        <v>109</v>
      </c>
      <c r="C503" s="12" t="s">
        <v>109</v>
      </c>
      <c r="D503" s="13" t="str">
        <f>HYPERLINK("https://www.marklines.com/en/global/9201","BYD Motors Inc., Lancaster Plant")</f>
        <v>BYD Motors Inc., Lancaster Plant</v>
      </c>
      <c r="E503" s="12" t="s">
        <v>1279</v>
      </c>
      <c r="F503" s="12" t="s">
        <v>16</v>
      </c>
      <c r="G503" s="12" t="s">
        <v>11</v>
      </c>
      <c r="H503" s="12" t="s">
        <v>38</v>
      </c>
      <c r="I503" s="14">
        <v>45163</v>
      </c>
      <c r="J503" s="12" t="s">
        <v>1280</v>
      </c>
    </row>
    <row r="504" spans="1:10" s="15" customFormat="1" x14ac:dyDescent="0.15">
      <c r="A504" s="11">
        <v>45167</v>
      </c>
      <c r="B504" s="12" t="s">
        <v>43</v>
      </c>
      <c r="C504" s="12" t="s">
        <v>67</v>
      </c>
      <c r="D504" s="13" t="str">
        <f>HYPERLINK("https://www.marklines.com/en/global/2931","Volkswagen Brazil, Anchieta (Sao Bernardo do Campo) Plant")</f>
        <v>Volkswagen Brazil, Anchieta (Sao Bernardo do Campo) Plant</v>
      </c>
      <c r="E504" s="12" t="s">
        <v>396</v>
      </c>
      <c r="F504" s="12" t="s">
        <v>74</v>
      </c>
      <c r="G504" s="12" t="s">
        <v>75</v>
      </c>
      <c r="H504" s="12"/>
      <c r="I504" s="14">
        <v>45163</v>
      </c>
      <c r="J504" s="12" t="s">
        <v>1281</v>
      </c>
    </row>
    <row r="505" spans="1:10" s="15" customFormat="1" x14ac:dyDescent="0.15">
      <c r="A505" s="11">
        <v>45167</v>
      </c>
      <c r="B505" s="12" t="s">
        <v>109</v>
      </c>
      <c r="C505" s="12" t="s">
        <v>109</v>
      </c>
      <c r="D505" s="13" t="str">
        <f>HYPERLINK("https://www.marklines.com/en/global/2837","former Ford Motor Brazil, Camacari Plant")</f>
        <v>former Ford Motor Brazil, Camacari Plant</v>
      </c>
      <c r="E505" s="12" t="s">
        <v>194</v>
      </c>
      <c r="F505" s="12" t="s">
        <v>74</v>
      </c>
      <c r="G505" s="12" t="s">
        <v>75</v>
      </c>
      <c r="H505" s="12"/>
      <c r="I505" s="14">
        <v>45163</v>
      </c>
      <c r="J505" s="12" t="s">
        <v>1282</v>
      </c>
    </row>
    <row r="506" spans="1:10" s="15" customFormat="1" x14ac:dyDescent="0.15">
      <c r="A506" s="11">
        <v>45167</v>
      </c>
      <c r="B506" s="12" t="s">
        <v>43</v>
      </c>
      <c r="C506" s="12" t="s">
        <v>393</v>
      </c>
      <c r="D506" s="13" t="str">
        <f>HYPERLINK("https://www.marklines.com/en/global/10365","Northvolt Ett, Skellefteå Gigafactory")</f>
        <v>Northvolt Ett, Skellefteå Gigafactory</v>
      </c>
      <c r="E506" s="12" t="s">
        <v>981</v>
      </c>
      <c r="F506" s="12" t="s">
        <v>17</v>
      </c>
      <c r="G506" s="12" t="s">
        <v>80</v>
      </c>
      <c r="H506" s="12"/>
      <c r="I506" s="14">
        <v>45162</v>
      </c>
      <c r="J506" s="12" t="s">
        <v>1283</v>
      </c>
    </row>
    <row r="507" spans="1:10" s="15" customFormat="1" x14ac:dyDescent="0.15">
      <c r="A507" s="11">
        <v>45167</v>
      </c>
      <c r="B507" s="12" t="s">
        <v>13</v>
      </c>
      <c r="C507" s="12" t="s">
        <v>1284</v>
      </c>
      <c r="D507" s="13" t="str">
        <f>HYPERLINK("https://www.marklines.com/en/global/9532","WM Motor Technology Group Co., Ltd.")</f>
        <v>WM Motor Technology Group Co., Ltd.</v>
      </c>
      <c r="E507" s="12" t="s">
        <v>1285</v>
      </c>
      <c r="F507" s="12" t="s">
        <v>20</v>
      </c>
      <c r="G507" s="12" t="s">
        <v>27</v>
      </c>
      <c r="H507" s="12" t="s">
        <v>106</v>
      </c>
      <c r="I507" s="14">
        <v>45162</v>
      </c>
      <c r="J507" s="12" t="s">
        <v>1286</v>
      </c>
    </row>
    <row r="508" spans="1:10" s="15" customFormat="1" x14ac:dyDescent="0.15">
      <c r="A508" s="11">
        <v>45167</v>
      </c>
      <c r="B508" s="12" t="s">
        <v>13</v>
      </c>
      <c r="C508" s="12" t="s">
        <v>1284</v>
      </c>
      <c r="D508" s="13" t="str">
        <f>HYPERLINK("https://www.marklines.com/en/global/9556","WM Motor Manufacturing Wenzhou Co., Ltd.")</f>
        <v>WM Motor Manufacturing Wenzhou Co., Ltd.</v>
      </c>
      <c r="E508" s="12" t="s">
        <v>1287</v>
      </c>
      <c r="F508" s="12" t="s">
        <v>20</v>
      </c>
      <c r="G508" s="12" t="s">
        <v>27</v>
      </c>
      <c r="H508" s="12" t="s">
        <v>51</v>
      </c>
      <c r="I508" s="14">
        <v>45162</v>
      </c>
      <c r="J508" s="12" t="s">
        <v>1286</v>
      </c>
    </row>
    <row r="509" spans="1:10" s="15" customFormat="1" x14ac:dyDescent="0.15">
      <c r="A509" s="11">
        <v>45167</v>
      </c>
      <c r="B509" s="12" t="s">
        <v>13</v>
      </c>
      <c r="C509" s="12" t="s">
        <v>1284</v>
      </c>
      <c r="D509" s="13" t="str">
        <f>HYPERLINK("https://www.marklines.com/en/global/9576","Hubei Xinghui New Energy Intelligent Vehicle Co., Ltd.")</f>
        <v>Hubei Xinghui New Energy Intelligent Vehicle Co., Ltd.</v>
      </c>
      <c r="E509" s="12" t="s">
        <v>1288</v>
      </c>
      <c r="F509" s="12" t="s">
        <v>20</v>
      </c>
      <c r="G509" s="12" t="s">
        <v>27</v>
      </c>
      <c r="H509" s="12" t="s">
        <v>46</v>
      </c>
      <c r="I509" s="14">
        <v>45162</v>
      </c>
      <c r="J509" s="12" t="s">
        <v>1286</v>
      </c>
    </row>
    <row r="510" spans="1:10" s="15" customFormat="1" x14ac:dyDescent="0.15">
      <c r="A510" s="11">
        <v>45167</v>
      </c>
      <c r="B510" s="12" t="s">
        <v>41</v>
      </c>
      <c r="C510" s="12" t="s">
        <v>41</v>
      </c>
      <c r="D510" s="13" t="str">
        <f>HYPERLINK("https://www.marklines.com/en/global/3735","Nanjing Automobile(Group)Corporation")</f>
        <v>Nanjing Automobile(Group)Corporation</v>
      </c>
      <c r="E510" s="12" t="s">
        <v>1225</v>
      </c>
      <c r="F510" s="12" t="s">
        <v>20</v>
      </c>
      <c r="G510" s="12" t="s">
        <v>27</v>
      </c>
      <c r="H510" s="12" t="s">
        <v>52</v>
      </c>
      <c r="I510" s="14">
        <v>45162</v>
      </c>
      <c r="J510" s="12" t="s">
        <v>1289</v>
      </c>
    </row>
    <row r="511" spans="1:10" s="15" customFormat="1" x14ac:dyDescent="0.15">
      <c r="A511" s="11">
        <v>45167</v>
      </c>
      <c r="B511" s="12" t="s">
        <v>41</v>
      </c>
      <c r="C511" s="12" t="s">
        <v>41</v>
      </c>
      <c r="D511" s="13" t="str">
        <f>HYPERLINK("https://www.marklines.com/en/global/9481","SAIC Motor Corporation Limited Passenger Vehicle Zhengzhou Branch")</f>
        <v>SAIC Motor Corporation Limited Passenger Vehicle Zhengzhou Branch</v>
      </c>
      <c r="E511" s="12" t="s">
        <v>84</v>
      </c>
      <c r="F511" s="12" t="s">
        <v>20</v>
      </c>
      <c r="G511" s="12" t="s">
        <v>27</v>
      </c>
      <c r="H511" s="12" t="s">
        <v>47</v>
      </c>
      <c r="I511" s="14">
        <v>45162</v>
      </c>
      <c r="J511" s="12" t="s">
        <v>1289</v>
      </c>
    </row>
    <row r="512" spans="1:10" s="15" customFormat="1" x14ac:dyDescent="0.15">
      <c r="A512" s="11">
        <v>45167</v>
      </c>
      <c r="B512" s="12" t="s">
        <v>41</v>
      </c>
      <c r="C512" s="12" t="s">
        <v>41</v>
      </c>
      <c r="D512" s="13" t="str">
        <f>HYPERLINK("https://www.marklines.com/en/global/3611","SAIC Motor Passenger Vehicle Co., Ltd. Lingang Plant")</f>
        <v>SAIC Motor Passenger Vehicle Co., Ltd. Lingang Plant</v>
      </c>
      <c r="E512" s="12" t="s">
        <v>875</v>
      </c>
      <c r="F512" s="12" t="s">
        <v>20</v>
      </c>
      <c r="G512" s="12" t="s">
        <v>27</v>
      </c>
      <c r="H512" s="12" t="s">
        <v>106</v>
      </c>
      <c r="I512" s="14">
        <v>45162</v>
      </c>
      <c r="J512" s="12" t="s">
        <v>1289</v>
      </c>
    </row>
    <row r="513" spans="1:10" s="15" customFormat="1" x14ac:dyDescent="0.15">
      <c r="A513" s="11">
        <v>45167</v>
      </c>
      <c r="B513" s="12" t="s">
        <v>41</v>
      </c>
      <c r="C513" s="12" t="s">
        <v>41</v>
      </c>
      <c r="D513" s="13" t="str">
        <f>HYPERLINK("https://www.marklines.com/en/global/9814","SAIC Motor Corporation Limited Passenger Vehicle Fujian Branch")</f>
        <v>SAIC Motor Corporation Limited Passenger Vehicle Fujian Branch</v>
      </c>
      <c r="E513" s="12" t="s">
        <v>1290</v>
      </c>
      <c r="F513" s="12" t="s">
        <v>20</v>
      </c>
      <c r="G513" s="12" t="s">
        <v>27</v>
      </c>
      <c r="H513" s="12" t="s">
        <v>123</v>
      </c>
      <c r="I513" s="14">
        <v>45162</v>
      </c>
      <c r="J513" s="12" t="s">
        <v>1289</v>
      </c>
    </row>
    <row r="514" spans="1:10" s="15" customFormat="1" x14ac:dyDescent="0.15">
      <c r="A514" s="11">
        <v>45167</v>
      </c>
      <c r="B514" s="12" t="s">
        <v>41</v>
      </c>
      <c r="C514" s="12" t="s">
        <v>42</v>
      </c>
      <c r="D514" s="13" t="str">
        <f>HYPERLINK("https://www.marklines.com/en/global/3735","Nanjing Automobile(Group)Corporation")</f>
        <v>Nanjing Automobile(Group)Corporation</v>
      </c>
      <c r="E514" s="12" t="s">
        <v>1225</v>
      </c>
      <c r="F514" s="12" t="s">
        <v>20</v>
      </c>
      <c r="G514" s="12" t="s">
        <v>27</v>
      </c>
      <c r="H514" s="12" t="s">
        <v>52</v>
      </c>
      <c r="I514" s="14">
        <v>45162</v>
      </c>
      <c r="J514" s="12" t="s">
        <v>1289</v>
      </c>
    </row>
    <row r="515" spans="1:10" s="15" customFormat="1" x14ac:dyDescent="0.15">
      <c r="A515" s="11">
        <v>45167</v>
      </c>
      <c r="B515" s="12" t="s">
        <v>41</v>
      </c>
      <c r="C515" s="12" t="s">
        <v>42</v>
      </c>
      <c r="D515" s="13" t="str">
        <f>HYPERLINK("https://www.marklines.com/en/global/9481","SAIC Motor Corporation Limited Passenger Vehicle Zhengzhou Branch")</f>
        <v>SAIC Motor Corporation Limited Passenger Vehicle Zhengzhou Branch</v>
      </c>
      <c r="E515" s="12" t="s">
        <v>84</v>
      </c>
      <c r="F515" s="12" t="s">
        <v>20</v>
      </c>
      <c r="G515" s="12" t="s">
        <v>27</v>
      </c>
      <c r="H515" s="12" t="s">
        <v>47</v>
      </c>
      <c r="I515" s="14">
        <v>45162</v>
      </c>
      <c r="J515" s="12" t="s">
        <v>1289</v>
      </c>
    </row>
    <row r="516" spans="1:10" s="15" customFormat="1" x14ac:dyDescent="0.15">
      <c r="A516" s="11">
        <v>45167</v>
      </c>
      <c r="B516" s="12" t="s">
        <v>41</v>
      </c>
      <c r="C516" s="12" t="s">
        <v>42</v>
      </c>
      <c r="D516" s="13" t="str">
        <f>HYPERLINK("https://www.marklines.com/en/global/3611","SAIC Motor Passenger Vehicle Co., Ltd. Lingang Plant")</f>
        <v>SAIC Motor Passenger Vehicle Co., Ltd. Lingang Plant</v>
      </c>
      <c r="E516" s="12" t="s">
        <v>875</v>
      </c>
      <c r="F516" s="12" t="s">
        <v>20</v>
      </c>
      <c r="G516" s="12" t="s">
        <v>27</v>
      </c>
      <c r="H516" s="12" t="s">
        <v>106</v>
      </c>
      <c r="I516" s="14">
        <v>45162</v>
      </c>
      <c r="J516" s="12" t="s">
        <v>1289</v>
      </c>
    </row>
    <row r="517" spans="1:10" s="15" customFormat="1" x14ac:dyDescent="0.15">
      <c r="A517" s="11">
        <v>45167</v>
      </c>
      <c r="B517" s="12" t="s">
        <v>41</v>
      </c>
      <c r="C517" s="12" t="s">
        <v>42</v>
      </c>
      <c r="D517" s="13" t="str">
        <f>HYPERLINK("https://www.marklines.com/en/global/9814","SAIC Motor Corporation Limited Passenger Vehicle Fujian Branch")</f>
        <v>SAIC Motor Corporation Limited Passenger Vehicle Fujian Branch</v>
      </c>
      <c r="E517" s="12" t="s">
        <v>1290</v>
      </c>
      <c r="F517" s="12" t="s">
        <v>20</v>
      </c>
      <c r="G517" s="12" t="s">
        <v>27</v>
      </c>
      <c r="H517" s="12" t="s">
        <v>123</v>
      </c>
      <c r="I517" s="14">
        <v>45162</v>
      </c>
      <c r="J517" s="12" t="s">
        <v>1289</v>
      </c>
    </row>
    <row r="518" spans="1:10" s="15" customFormat="1" x14ac:dyDescent="0.15">
      <c r="A518" s="11">
        <v>45167</v>
      </c>
      <c r="B518" s="12" t="s">
        <v>437</v>
      </c>
      <c r="C518" s="12" t="s">
        <v>814</v>
      </c>
      <c r="D518" s="13" t="str">
        <f>HYPERLINK("https://www.marklines.com/en/global/10725","Dongfeng Automobile Nammi Technology (Xiangyang) Co., Ltd. (formerly Dongfeng Automobile Nano Technology (Xiangyang) Co., Ltd.) ")</f>
        <v xml:space="preserve">Dongfeng Automobile Nammi Technology (Xiangyang) Co., Ltd. (formerly Dongfeng Automobile Nano Technology (Xiangyang) Co., Ltd.) </v>
      </c>
      <c r="E518" s="12" t="s">
        <v>815</v>
      </c>
      <c r="F518" s="12" t="s">
        <v>20</v>
      </c>
      <c r="G518" s="12" t="s">
        <v>27</v>
      </c>
      <c r="H518" s="12" t="s">
        <v>46</v>
      </c>
      <c r="I518" s="14">
        <v>45161</v>
      </c>
      <c r="J518" s="12" t="s">
        <v>1291</v>
      </c>
    </row>
    <row r="519" spans="1:10" s="15" customFormat="1" x14ac:dyDescent="0.15">
      <c r="A519" s="11">
        <v>45167</v>
      </c>
      <c r="B519" s="12" t="s">
        <v>65</v>
      </c>
      <c r="C519" s="12" t="s">
        <v>65</v>
      </c>
      <c r="D519" s="13" t="str">
        <f>HYPERLINK("https://www.marklines.com/en/global/3437","Beijing Hyundai Motor Co., Ltd. Beijing Branch Yangzhen Plant (formerly Beijing Hyundai Motor Co., Ltd., Third Plant)")</f>
        <v>Beijing Hyundai Motor Co., Ltd. Beijing Branch Yangzhen Plant (formerly Beijing Hyundai Motor Co., Ltd., Third Plant)</v>
      </c>
      <c r="E519" s="12" t="s">
        <v>1292</v>
      </c>
      <c r="F519" s="12" t="s">
        <v>20</v>
      </c>
      <c r="G519" s="12" t="s">
        <v>27</v>
      </c>
      <c r="H519" s="12" t="s">
        <v>37</v>
      </c>
      <c r="I519" s="14">
        <v>45161</v>
      </c>
      <c r="J519" s="12" t="s">
        <v>1293</v>
      </c>
    </row>
    <row r="520" spans="1:10" s="15" customFormat="1" x14ac:dyDescent="0.15">
      <c r="A520" s="11">
        <v>45167</v>
      </c>
      <c r="B520" s="12" t="s">
        <v>68</v>
      </c>
      <c r="C520" s="12" t="s">
        <v>887</v>
      </c>
      <c r="D520" s="13" t="str">
        <f>HYPERLINK("https://www.marklines.com/en/global/1931","Stellantis, Opel Espana de Automoviles, S.A., Zaragoza (Figueruelas) Plant")</f>
        <v>Stellantis, Opel Espana de Automoviles, S.A., Zaragoza (Figueruelas) Plant</v>
      </c>
      <c r="E520" s="12" t="s">
        <v>157</v>
      </c>
      <c r="F520" s="12" t="s">
        <v>17</v>
      </c>
      <c r="G520" s="12" t="s">
        <v>114</v>
      </c>
      <c r="H520" s="12"/>
      <c r="I520" s="14">
        <v>45160</v>
      </c>
      <c r="J520" s="12" t="s">
        <v>1294</v>
      </c>
    </row>
    <row r="521" spans="1:10" s="15" customFormat="1" x14ac:dyDescent="0.15">
      <c r="A521" s="11">
        <v>45167</v>
      </c>
      <c r="B521" s="12" t="s">
        <v>725</v>
      </c>
      <c r="C521" s="12" t="s">
        <v>726</v>
      </c>
      <c r="D521" s="13" t="str">
        <f>HYPERLINK("https://www.marklines.com/en/global/10712","Neta Zhihe New Energy Vehicle Technology (Shanghai) Co., Ltd.")</f>
        <v>Neta Zhihe New Energy Vehicle Technology (Shanghai) Co., Ltd.</v>
      </c>
      <c r="E521" s="12" t="s">
        <v>727</v>
      </c>
      <c r="F521" s="12" t="s">
        <v>20</v>
      </c>
      <c r="G521" s="12" t="s">
        <v>27</v>
      </c>
      <c r="H521" s="12" t="s">
        <v>106</v>
      </c>
      <c r="I521" s="14">
        <v>45159</v>
      </c>
      <c r="J521" s="12" t="s">
        <v>1295</v>
      </c>
    </row>
    <row r="522" spans="1:10" s="15" customFormat="1" x14ac:dyDescent="0.15">
      <c r="A522" s="11">
        <v>45166</v>
      </c>
      <c r="B522" s="12" t="s">
        <v>39</v>
      </c>
      <c r="C522" s="12" t="s">
        <v>39</v>
      </c>
      <c r="D522" s="13" t="str">
        <f>HYPERLINK("https://www.marklines.com/en/global/2215","BMW AG, Leipzig Plant")</f>
        <v>BMW AG, Leipzig Plant</v>
      </c>
      <c r="E522" s="12" t="s">
        <v>1070</v>
      </c>
      <c r="F522" s="12" t="s">
        <v>17</v>
      </c>
      <c r="G522" s="12" t="s">
        <v>21</v>
      </c>
      <c r="H522" s="12"/>
      <c r="I522" s="14">
        <v>45163</v>
      </c>
      <c r="J522" s="12" t="s">
        <v>1071</v>
      </c>
    </row>
    <row r="523" spans="1:10" s="15" customFormat="1" x14ac:dyDescent="0.15">
      <c r="A523" s="11">
        <v>45166</v>
      </c>
      <c r="B523" s="12" t="s">
        <v>13</v>
      </c>
      <c r="C523" s="12" t="s">
        <v>13</v>
      </c>
      <c r="D523" s="13" t="str">
        <f>HYPERLINK("https://www.marklines.com/en/global/757","JSC Moscow Automobile Plant Moskvich, Moscow Plant (former CJSC Renault Russia)")</f>
        <v>JSC Moscow Automobile Plant Moskvich, Moscow Plant (former CJSC Renault Russia)</v>
      </c>
      <c r="E523" s="12" t="s">
        <v>597</v>
      </c>
      <c r="F523" s="12" t="s">
        <v>18</v>
      </c>
      <c r="G523" s="12" t="s">
        <v>14</v>
      </c>
      <c r="H523" s="12"/>
      <c r="I523" s="14">
        <v>45163</v>
      </c>
      <c r="J523" s="12" t="s">
        <v>1072</v>
      </c>
    </row>
    <row r="524" spans="1:10" s="15" customFormat="1" x14ac:dyDescent="0.15">
      <c r="A524" s="11">
        <v>45166</v>
      </c>
      <c r="B524" s="12" t="s">
        <v>29</v>
      </c>
      <c r="C524" s="12" t="s">
        <v>1073</v>
      </c>
      <c r="D524" s="13" t="str">
        <f>HYPERLINK("https://www.marklines.com/en/global/10480","Chongqing Livan Automobile Manufacturing Co., Ltd. Beibei Branch (formerly Chongqing Lifan Passenger Vehicle Co., Ltd. Beibei Branch)")</f>
        <v>Chongqing Livan Automobile Manufacturing Co., Ltd. Beibei Branch (formerly Chongqing Lifan Passenger Vehicle Co., Ltd. Beibei Branch)</v>
      </c>
      <c r="E524" s="12" t="s">
        <v>1074</v>
      </c>
      <c r="F524" s="12" t="s">
        <v>20</v>
      </c>
      <c r="G524" s="12" t="s">
        <v>27</v>
      </c>
      <c r="H524" s="12" t="s">
        <v>30</v>
      </c>
      <c r="I524" s="14">
        <v>45160</v>
      </c>
      <c r="J524" s="12" t="s">
        <v>1075</v>
      </c>
    </row>
    <row r="525" spans="1:10" s="15" customFormat="1" x14ac:dyDescent="0.15">
      <c r="A525" s="11">
        <v>45166</v>
      </c>
      <c r="B525" s="12" t="s">
        <v>65</v>
      </c>
      <c r="C525" s="12" t="s">
        <v>66</v>
      </c>
      <c r="D525" s="13" t="str">
        <f>HYPERLINK("https://www.marklines.com/en/global/3765","Jiangsu Yueda Kia Motors Co., Ltd. (formerly Kia Motors Co., Ltd.)")</f>
        <v>Jiangsu Yueda Kia Motors Co., Ltd. (formerly Kia Motors Co., Ltd.)</v>
      </c>
      <c r="E525" s="12" t="s">
        <v>122</v>
      </c>
      <c r="F525" s="12" t="s">
        <v>20</v>
      </c>
      <c r="G525" s="12" t="s">
        <v>27</v>
      </c>
      <c r="H525" s="12" t="s">
        <v>52</v>
      </c>
      <c r="I525" s="14">
        <v>45160</v>
      </c>
      <c r="J525" s="12" t="s">
        <v>1076</v>
      </c>
    </row>
    <row r="526" spans="1:10" s="15" customFormat="1" x14ac:dyDescent="0.15">
      <c r="A526" s="11">
        <v>45166</v>
      </c>
      <c r="B526" s="12" t="s">
        <v>65</v>
      </c>
      <c r="C526" s="12" t="s">
        <v>66</v>
      </c>
      <c r="D526" s="13" t="str">
        <f>HYPERLINK("https://www.marklines.com/en/global/4311","Jiangsu Yueda Kia Motors Co., Ltd. (Third Plant) (formerly Kia Motors Co., Ltd. (Third Plant))")</f>
        <v>Jiangsu Yueda Kia Motors Co., Ltd. (Third Plant) (formerly Kia Motors Co., Ltd. (Third Plant))</v>
      </c>
      <c r="E526" s="12" t="s">
        <v>121</v>
      </c>
      <c r="F526" s="12" t="s">
        <v>20</v>
      </c>
      <c r="G526" s="12" t="s">
        <v>27</v>
      </c>
      <c r="H526" s="12" t="s">
        <v>52</v>
      </c>
      <c r="I526" s="14">
        <v>45160</v>
      </c>
      <c r="J526" s="12" t="s">
        <v>1076</v>
      </c>
    </row>
    <row r="527" spans="1:10" s="15" customFormat="1" x14ac:dyDescent="0.15">
      <c r="A527" s="11">
        <v>45166</v>
      </c>
      <c r="B527" s="12" t="s">
        <v>13</v>
      </c>
      <c r="C527" s="12" t="s">
        <v>667</v>
      </c>
      <c r="D527" s="13" t="str">
        <f>HYPERLINK("https://www.marklines.com/en/global/10447","Beijing Automobile Works (Qingdao) Co., Ltd.")</f>
        <v>Beijing Automobile Works (Qingdao) Co., Ltd.</v>
      </c>
      <c r="E527" s="12" t="s">
        <v>670</v>
      </c>
      <c r="F527" s="12" t="s">
        <v>20</v>
      </c>
      <c r="G527" s="12" t="s">
        <v>27</v>
      </c>
      <c r="H527" s="12" t="s">
        <v>469</v>
      </c>
      <c r="I527" s="14">
        <v>45160</v>
      </c>
      <c r="J527" s="12" t="s">
        <v>1077</v>
      </c>
    </row>
    <row r="528" spans="1:10" s="15" customFormat="1" x14ac:dyDescent="0.15">
      <c r="A528" s="11">
        <v>45166</v>
      </c>
      <c r="B528" s="12" t="s">
        <v>53</v>
      </c>
      <c r="C528" s="12" t="s">
        <v>53</v>
      </c>
      <c r="D528" s="13" t="str">
        <f>HYPERLINK("https://www.marklines.com/en/global/3533","Great Wall Motor Company Limited (GWM)")</f>
        <v>Great Wall Motor Company Limited (GWM)</v>
      </c>
      <c r="E528" s="12" t="s">
        <v>556</v>
      </c>
      <c r="F528" s="12" t="s">
        <v>20</v>
      </c>
      <c r="G528" s="12" t="s">
        <v>27</v>
      </c>
      <c r="H528" s="12" t="s">
        <v>557</v>
      </c>
      <c r="I528" s="14">
        <v>45160</v>
      </c>
      <c r="J528" s="12" t="s">
        <v>1078</v>
      </c>
    </row>
    <row r="529" spans="1:10" s="15" customFormat="1" x14ac:dyDescent="0.15">
      <c r="A529" s="11">
        <v>45166</v>
      </c>
      <c r="B529" s="12" t="s">
        <v>53</v>
      </c>
      <c r="C529" s="12" t="s">
        <v>53</v>
      </c>
      <c r="D529" s="13" t="str">
        <f>HYPERLINK("https://www.marklines.com/en/global/9837","Great Wall Motor Co., Ltd. Taizhou Branch")</f>
        <v>Great Wall Motor Co., Ltd. Taizhou Branch</v>
      </c>
      <c r="E529" s="12" t="s">
        <v>1079</v>
      </c>
      <c r="F529" s="12" t="s">
        <v>20</v>
      </c>
      <c r="G529" s="12" t="s">
        <v>27</v>
      </c>
      <c r="H529" s="12" t="s">
        <v>52</v>
      </c>
      <c r="I529" s="14">
        <v>45160</v>
      </c>
      <c r="J529" s="12" t="s">
        <v>1078</v>
      </c>
    </row>
    <row r="530" spans="1:10" s="15" customFormat="1" x14ac:dyDescent="0.15">
      <c r="A530" s="11">
        <v>45166</v>
      </c>
      <c r="B530" s="12" t="s">
        <v>53</v>
      </c>
      <c r="C530" s="12" t="s">
        <v>53</v>
      </c>
      <c r="D530" s="13" t="str">
        <f>HYPERLINK("https://www.marklines.com/en/global/9570","Great Wall Motor Company Limited Chongqing Branch")</f>
        <v>Great Wall Motor Company Limited Chongqing Branch</v>
      </c>
      <c r="E530" s="12" t="s">
        <v>1080</v>
      </c>
      <c r="F530" s="12" t="s">
        <v>20</v>
      </c>
      <c r="G530" s="12" t="s">
        <v>27</v>
      </c>
      <c r="H530" s="12" t="s">
        <v>30</v>
      </c>
      <c r="I530" s="14">
        <v>45160</v>
      </c>
      <c r="J530" s="12" t="s">
        <v>1078</v>
      </c>
    </row>
    <row r="531" spans="1:10" s="15" customFormat="1" x14ac:dyDescent="0.15">
      <c r="A531" s="11">
        <v>45166</v>
      </c>
      <c r="B531" s="12" t="s">
        <v>53</v>
      </c>
      <c r="C531" s="12" t="s">
        <v>53</v>
      </c>
      <c r="D531" s="13" t="str">
        <f>HYPERLINK("https://www.marklines.com/en/global/10420","Great Wall Motor Co., Ltd. Jingmen Branch")</f>
        <v>Great Wall Motor Co., Ltd. Jingmen Branch</v>
      </c>
      <c r="E531" s="12" t="s">
        <v>149</v>
      </c>
      <c r="F531" s="12" t="s">
        <v>20</v>
      </c>
      <c r="G531" s="12" t="s">
        <v>27</v>
      </c>
      <c r="H531" s="12" t="s">
        <v>46</v>
      </c>
      <c r="I531" s="14">
        <v>45160</v>
      </c>
      <c r="J531" s="12" t="s">
        <v>1078</v>
      </c>
    </row>
    <row r="532" spans="1:10" s="15" customFormat="1" x14ac:dyDescent="0.15">
      <c r="A532" s="11">
        <v>45166</v>
      </c>
      <c r="B532" s="12" t="s">
        <v>62</v>
      </c>
      <c r="C532" s="12" t="s">
        <v>62</v>
      </c>
      <c r="D532" s="13" t="str">
        <f>HYPERLINK("https://www.marklines.com/en/global/3883","Chery Commercial Vehicle (Anhui) Co., Ltd.")</f>
        <v>Chery Commercial Vehicle (Anhui) Co., Ltd.</v>
      </c>
      <c r="E532" s="12" t="s">
        <v>1081</v>
      </c>
      <c r="F532" s="12" t="s">
        <v>20</v>
      </c>
      <c r="G532" s="12" t="s">
        <v>27</v>
      </c>
      <c r="H532" s="12" t="s">
        <v>326</v>
      </c>
      <c r="I532" s="14">
        <v>45160</v>
      </c>
      <c r="J532" s="12" t="s">
        <v>1082</v>
      </c>
    </row>
    <row r="533" spans="1:10" s="15" customFormat="1" x14ac:dyDescent="0.15">
      <c r="A533" s="11">
        <v>45166</v>
      </c>
      <c r="B533" s="12" t="s">
        <v>62</v>
      </c>
      <c r="C533" s="12" t="s">
        <v>62</v>
      </c>
      <c r="D533" s="13" t="str">
        <f>HYPERLINK("https://www.marklines.com/en/global/10481","Chery Automobile Co., Ltd. Qingdao Branch")</f>
        <v>Chery Automobile Co., Ltd. Qingdao Branch</v>
      </c>
      <c r="E533" s="12" t="s">
        <v>1083</v>
      </c>
      <c r="F533" s="12" t="s">
        <v>20</v>
      </c>
      <c r="G533" s="12" t="s">
        <v>27</v>
      </c>
      <c r="H533" s="12" t="s">
        <v>469</v>
      </c>
      <c r="I533" s="14">
        <v>45160</v>
      </c>
      <c r="J533" s="12" t="s">
        <v>1082</v>
      </c>
    </row>
    <row r="534" spans="1:10" s="15" customFormat="1" x14ac:dyDescent="0.15">
      <c r="A534" s="11">
        <v>45166</v>
      </c>
      <c r="B534" s="12" t="s">
        <v>62</v>
      </c>
      <c r="C534" s="12" t="s">
        <v>62</v>
      </c>
      <c r="D534" s="13" t="str">
        <f>HYPERLINK("https://www.marklines.com/en/global/9390","Chery New Energy Automotive Co., Ltd. (Formerly Chery New Energy Technology Automotive Co., Ltd.)")</f>
        <v>Chery New Energy Automotive Co., Ltd. (Formerly Chery New Energy Technology Automotive Co., Ltd.)</v>
      </c>
      <c r="E534" s="12" t="s">
        <v>325</v>
      </c>
      <c r="F534" s="12" t="s">
        <v>20</v>
      </c>
      <c r="G534" s="12" t="s">
        <v>27</v>
      </c>
      <c r="H534" s="12" t="s">
        <v>326</v>
      </c>
      <c r="I534" s="14">
        <v>45160</v>
      </c>
      <c r="J534" s="12" t="s">
        <v>1082</v>
      </c>
    </row>
    <row r="535" spans="1:10" s="15" customFormat="1" x14ac:dyDescent="0.15">
      <c r="A535" s="11">
        <v>45166</v>
      </c>
      <c r="B535" s="12" t="s">
        <v>62</v>
      </c>
      <c r="C535" s="12" t="s">
        <v>62</v>
      </c>
      <c r="D535" s="13" t="str">
        <f>HYPERLINK("https://www.marklines.com/en/global/9872","Chery Holding Group Co., Ltd. (formerly Chery Holding Co., Ltd.)")</f>
        <v>Chery Holding Group Co., Ltd. (formerly Chery Holding Co., Ltd.)</v>
      </c>
      <c r="E535" s="12" t="s">
        <v>401</v>
      </c>
      <c r="F535" s="12" t="s">
        <v>20</v>
      </c>
      <c r="G535" s="12" t="s">
        <v>27</v>
      </c>
      <c r="H535" s="12" t="s">
        <v>326</v>
      </c>
      <c r="I535" s="14">
        <v>45160</v>
      </c>
      <c r="J535" s="12" t="s">
        <v>1082</v>
      </c>
    </row>
    <row r="536" spans="1:10" s="15" customFormat="1" x14ac:dyDescent="0.15">
      <c r="A536" s="11">
        <v>45166</v>
      </c>
      <c r="B536" s="12" t="s">
        <v>62</v>
      </c>
      <c r="C536" s="12" t="s">
        <v>62</v>
      </c>
      <c r="D536" s="13" t="str">
        <f>HYPERLINK("https://www.marklines.com/en/global/3879","Chery Automobile Co., Ltd. ")</f>
        <v xml:space="preserve">Chery Automobile Co., Ltd. </v>
      </c>
      <c r="E536" s="12" t="s">
        <v>773</v>
      </c>
      <c r="F536" s="12" t="s">
        <v>20</v>
      </c>
      <c r="G536" s="12" t="s">
        <v>27</v>
      </c>
      <c r="H536" s="12" t="s">
        <v>326</v>
      </c>
      <c r="I536" s="14">
        <v>45160</v>
      </c>
      <c r="J536" s="12" t="s">
        <v>1082</v>
      </c>
    </row>
    <row r="537" spans="1:10" s="15" customFormat="1" x14ac:dyDescent="0.15">
      <c r="A537" s="11">
        <v>45166</v>
      </c>
      <c r="B537" s="12" t="s">
        <v>13</v>
      </c>
      <c r="C537" s="12" t="s">
        <v>667</v>
      </c>
      <c r="D537" s="13" t="str">
        <f>HYPERLINK("https://www.marklines.com/en/global/10447","Beijing Automobile Works (Qingdao) Co., Ltd.")</f>
        <v>Beijing Automobile Works (Qingdao) Co., Ltd.</v>
      </c>
      <c r="E537" s="12" t="s">
        <v>670</v>
      </c>
      <c r="F537" s="12" t="s">
        <v>20</v>
      </c>
      <c r="G537" s="12" t="s">
        <v>27</v>
      </c>
      <c r="H537" s="12" t="s">
        <v>469</v>
      </c>
      <c r="I537" s="14">
        <v>45156</v>
      </c>
      <c r="J537" s="12" t="s">
        <v>1084</v>
      </c>
    </row>
    <row r="538" spans="1:10" s="15" customFormat="1" x14ac:dyDescent="0.15">
      <c r="A538" s="11">
        <v>45166</v>
      </c>
      <c r="B538" s="12" t="s">
        <v>13</v>
      </c>
      <c r="C538" s="12" t="s">
        <v>1085</v>
      </c>
      <c r="D538" s="13" t="str">
        <f>HYPERLINK("https://www.marklines.com/en/global/10416","Togg Otomobil Fabrikası, Gemlik Plant")</f>
        <v>Togg Otomobil Fabrikası, Gemlik Plant</v>
      </c>
      <c r="E538" s="12" t="s">
        <v>1086</v>
      </c>
      <c r="F538" s="12" t="s">
        <v>687</v>
      </c>
      <c r="G538" s="12" t="s">
        <v>688</v>
      </c>
      <c r="H538" s="12"/>
      <c r="I538" s="14">
        <v>45156</v>
      </c>
      <c r="J538" s="12" t="s">
        <v>1087</v>
      </c>
    </row>
    <row r="539" spans="1:10" s="15" customFormat="1" x14ac:dyDescent="0.15">
      <c r="A539" s="11">
        <v>45164</v>
      </c>
      <c r="B539" s="12" t="s">
        <v>12</v>
      </c>
      <c r="C539" s="12" t="s">
        <v>12</v>
      </c>
      <c r="D539" s="13" t="str">
        <f>HYPERLINK("https://www.marklines.com/en/global/9976","Ultium Cells LLC, Warren Plant ")</f>
        <v xml:space="preserve">Ultium Cells LLC, Warren Plant </v>
      </c>
      <c r="E539" s="12" t="s">
        <v>586</v>
      </c>
      <c r="F539" s="12" t="s">
        <v>16</v>
      </c>
      <c r="G539" s="12" t="s">
        <v>11</v>
      </c>
      <c r="H539" s="12" t="s">
        <v>587</v>
      </c>
      <c r="I539" s="14">
        <v>45162</v>
      </c>
      <c r="J539" s="12" t="s">
        <v>1088</v>
      </c>
    </row>
    <row r="540" spans="1:10" s="15" customFormat="1" x14ac:dyDescent="0.15">
      <c r="A540" s="11">
        <v>45164</v>
      </c>
      <c r="B540" s="12" t="s">
        <v>12</v>
      </c>
      <c r="C540" s="12" t="s">
        <v>19</v>
      </c>
      <c r="D540" s="13" t="str">
        <f>HYPERLINK("https://www.marklines.com/en/global/2517","General Motors, Wentzville Assembly Plant")</f>
        <v>General Motors, Wentzville Assembly Plant</v>
      </c>
      <c r="E540" s="12" t="s">
        <v>405</v>
      </c>
      <c r="F540" s="12" t="s">
        <v>16</v>
      </c>
      <c r="G540" s="12" t="s">
        <v>11</v>
      </c>
      <c r="H540" s="12" t="s">
        <v>406</v>
      </c>
      <c r="I540" s="14">
        <v>45162</v>
      </c>
      <c r="J540" s="12" t="s">
        <v>1089</v>
      </c>
    </row>
    <row r="541" spans="1:10" s="15" customFormat="1" x14ac:dyDescent="0.15">
      <c r="A541" s="11">
        <v>45164</v>
      </c>
      <c r="B541" s="12" t="s">
        <v>12</v>
      </c>
      <c r="C541" s="12" t="s">
        <v>351</v>
      </c>
      <c r="D541" s="13" t="str">
        <f>HYPERLINK("https://www.marklines.com/en/global/2517","General Motors, Wentzville Assembly Plant")</f>
        <v>General Motors, Wentzville Assembly Plant</v>
      </c>
      <c r="E541" s="12" t="s">
        <v>405</v>
      </c>
      <c r="F541" s="12" t="s">
        <v>16</v>
      </c>
      <c r="G541" s="12" t="s">
        <v>11</v>
      </c>
      <c r="H541" s="12" t="s">
        <v>406</v>
      </c>
      <c r="I541" s="14">
        <v>45162</v>
      </c>
      <c r="J541" s="12" t="s">
        <v>1089</v>
      </c>
    </row>
    <row r="542" spans="1:10" s="15" customFormat="1" x14ac:dyDescent="0.15">
      <c r="A542" s="11">
        <v>45164</v>
      </c>
      <c r="B542" s="12" t="s">
        <v>28</v>
      </c>
      <c r="C542" s="12" t="s">
        <v>488</v>
      </c>
      <c r="D542" s="13" t="str">
        <f>HYPERLINK("https://www.marklines.com/en/global/2829","Daimler Truck, São Bernardo do Campo Plant, Mercedes-Benz do Brasil Ltda. ")</f>
        <v xml:space="preserve">Daimler Truck, São Bernardo do Campo Plant, Mercedes-Benz do Brasil Ltda. </v>
      </c>
      <c r="E542" s="12" t="s">
        <v>494</v>
      </c>
      <c r="F542" s="12" t="s">
        <v>74</v>
      </c>
      <c r="G542" s="12" t="s">
        <v>75</v>
      </c>
      <c r="H542" s="12"/>
      <c r="I542" s="14">
        <v>45162</v>
      </c>
      <c r="J542" s="12" t="s">
        <v>1090</v>
      </c>
    </row>
    <row r="543" spans="1:10" s="15" customFormat="1" x14ac:dyDescent="0.15">
      <c r="A543" s="11">
        <v>45164</v>
      </c>
      <c r="B543" s="12" t="s">
        <v>12</v>
      </c>
      <c r="C543" s="12" t="s">
        <v>19</v>
      </c>
      <c r="D543" s="13" t="str">
        <f>HYPERLINK("https://www.marklines.com/en/global/2845","General Motors Brazil, Sao Caetano do Sul Plant")</f>
        <v>General Motors Brazil, Sao Caetano do Sul Plant</v>
      </c>
      <c r="E543" s="12" t="s">
        <v>1091</v>
      </c>
      <c r="F543" s="12" t="s">
        <v>74</v>
      </c>
      <c r="G543" s="12" t="s">
        <v>75</v>
      </c>
      <c r="H543" s="12"/>
      <c r="I543" s="14">
        <v>45160</v>
      </c>
      <c r="J543" s="12" t="s">
        <v>1092</v>
      </c>
    </row>
    <row r="544" spans="1:10" s="15" customFormat="1" x14ac:dyDescent="0.15">
      <c r="A544" s="11">
        <v>45163</v>
      </c>
      <c r="B544" s="12" t="s">
        <v>13</v>
      </c>
      <c r="C544" s="12" t="s">
        <v>444</v>
      </c>
      <c r="D544" s="13" t="str">
        <f>HYPERLINK("https://www.marklines.com/en/global/799","OAO UAZ (Ulyanovsky Avtomobilny Zavod), Ulyanovsk Plant")</f>
        <v>OAO UAZ (Ulyanovsky Avtomobilny Zavod), Ulyanovsk Plant</v>
      </c>
      <c r="E544" s="12" t="s">
        <v>477</v>
      </c>
      <c r="F544" s="12" t="s">
        <v>18</v>
      </c>
      <c r="G544" s="12" t="s">
        <v>14</v>
      </c>
      <c r="H544" s="12"/>
      <c r="I544" s="14">
        <v>45163</v>
      </c>
      <c r="J544" s="12" t="s">
        <v>1093</v>
      </c>
    </row>
    <row r="545" spans="1:10" s="15" customFormat="1" x14ac:dyDescent="0.15">
      <c r="A545" s="11">
        <v>45163</v>
      </c>
      <c r="B545" s="12" t="s">
        <v>13</v>
      </c>
      <c r="C545" s="12" t="s">
        <v>444</v>
      </c>
      <c r="D545" s="13" t="str">
        <f>HYPERLINK("https://www.marklines.com/en/global/687","Sollers-Yelabuga OOO, Yelabuga Plant")</f>
        <v>Sollers-Yelabuga OOO, Yelabuga Plant</v>
      </c>
      <c r="E545" s="12" t="s">
        <v>445</v>
      </c>
      <c r="F545" s="12" t="s">
        <v>18</v>
      </c>
      <c r="G545" s="12" t="s">
        <v>14</v>
      </c>
      <c r="H545" s="12"/>
      <c r="I545" s="14">
        <v>45163</v>
      </c>
      <c r="J545" s="12" t="s">
        <v>1093</v>
      </c>
    </row>
    <row r="546" spans="1:10" s="15" customFormat="1" x14ac:dyDescent="0.15">
      <c r="A546" s="11">
        <v>45163</v>
      </c>
      <c r="B546" s="12" t="s">
        <v>13</v>
      </c>
      <c r="C546" s="12" t="s">
        <v>444</v>
      </c>
      <c r="D546" s="13" t="str">
        <f>HYPERLINK("https://www.marklines.com/en/global/10409","Zavolzhsky Motor Plant (ZMZ), Sollers Group")</f>
        <v>Zavolzhsky Motor Plant (ZMZ), Sollers Group</v>
      </c>
      <c r="E546" s="12" t="s">
        <v>1094</v>
      </c>
      <c r="F546" s="12" t="s">
        <v>18</v>
      </c>
      <c r="G546" s="12" t="s">
        <v>14</v>
      </c>
      <c r="H546" s="12"/>
      <c r="I546" s="14">
        <v>45163</v>
      </c>
      <c r="J546" s="12" t="s">
        <v>1093</v>
      </c>
    </row>
    <row r="547" spans="1:10" s="15" customFormat="1" x14ac:dyDescent="0.15">
      <c r="A547" s="11">
        <v>45163</v>
      </c>
      <c r="B547" s="12" t="s">
        <v>22</v>
      </c>
      <c r="C547" s="12" t="s">
        <v>22</v>
      </c>
      <c r="D547" s="13" t="str">
        <f>HYPERLINK("https://www.marklines.com/en/global/1065","Indus Motor Company Ltd. (IMC), Karachi Plant")</f>
        <v>Indus Motor Company Ltd. (IMC), Karachi Plant</v>
      </c>
      <c r="E547" s="12" t="s">
        <v>365</v>
      </c>
      <c r="F547" s="12" t="s">
        <v>25</v>
      </c>
      <c r="G547" s="12" t="s">
        <v>366</v>
      </c>
      <c r="H547" s="12"/>
      <c r="I547" s="14">
        <v>45162</v>
      </c>
      <c r="J547" s="12" t="s">
        <v>1095</v>
      </c>
    </row>
    <row r="548" spans="1:10" s="15" customFormat="1" x14ac:dyDescent="0.15">
      <c r="A548" s="11">
        <v>45163</v>
      </c>
      <c r="B548" s="12" t="s">
        <v>13</v>
      </c>
      <c r="C548" s="12" t="s">
        <v>13</v>
      </c>
      <c r="D548" s="13" t="str">
        <f>HYPERLINK("https://www.marklines.com/en/global/757","JSC Moscow Automobile Plant Moskvich, Moscow Plant (former CJSC Renault Russia)")</f>
        <v>JSC Moscow Automobile Plant Moskvich, Moscow Plant (former CJSC Renault Russia)</v>
      </c>
      <c r="E548" s="12" t="s">
        <v>597</v>
      </c>
      <c r="F548" s="12" t="s">
        <v>18</v>
      </c>
      <c r="G548" s="12" t="s">
        <v>14</v>
      </c>
      <c r="H548" s="12"/>
      <c r="I548" s="14">
        <v>45161</v>
      </c>
      <c r="J548" s="12" t="s">
        <v>1096</v>
      </c>
    </row>
    <row r="549" spans="1:10" s="15" customFormat="1" x14ac:dyDescent="0.15">
      <c r="A549" s="11">
        <v>45163</v>
      </c>
      <c r="B549" s="12" t="s">
        <v>1097</v>
      </c>
      <c r="C549" s="12" t="s">
        <v>1098</v>
      </c>
      <c r="D549" s="13" t="str">
        <f>HYPERLINK("https://www.marklines.com/en/global/2367","Leyland Trucks Ltd, Leyland Plant")</f>
        <v>Leyland Trucks Ltd, Leyland Plant</v>
      </c>
      <c r="E549" s="12" t="s">
        <v>1099</v>
      </c>
      <c r="F549" s="12" t="s">
        <v>17</v>
      </c>
      <c r="G549" s="12" t="s">
        <v>73</v>
      </c>
      <c r="H549" s="12"/>
      <c r="I549" s="14">
        <v>45161</v>
      </c>
      <c r="J549" s="12" t="s">
        <v>1100</v>
      </c>
    </row>
    <row r="550" spans="1:10" s="15" customFormat="1" x14ac:dyDescent="0.15">
      <c r="A550" s="11">
        <v>45163</v>
      </c>
      <c r="B550" s="12" t="s">
        <v>43</v>
      </c>
      <c r="C550" s="12" t="s">
        <v>67</v>
      </c>
      <c r="D550" s="13" t="str">
        <f>HYPERLINK("https://www.marklines.com/en/global/911","Volkswagen Mexico, Puebla Plant")</f>
        <v>Volkswagen Mexico, Puebla Plant</v>
      </c>
      <c r="E550" s="12" t="s">
        <v>1101</v>
      </c>
      <c r="F550" s="12" t="s">
        <v>16</v>
      </c>
      <c r="G550" s="12" t="s">
        <v>430</v>
      </c>
      <c r="H550" s="12"/>
      <c r="I550" s="14">
        <v>45161</v>
      </c>
      <c r="J550" s="12" t="s">
        <v>1102</v>
      </c>
    </row>
    <row r="551" spans="1:10" s="15" customFormat="1" x14ac:dyDescent="0.15">
      <c r="A551" s="11">
        <v>45163</v>
      </c>
      <c r="B551" s="12" t="s">
        <v>53</v>
      </c>
      <c r="C551" s="12" t="s">
        <v>154</v>
      </c>
      <c r="D551" s="13" t="str">
        <f>HYPERLINK("https://www.marklines.com/en/global/9570","Great Wall Motor Company Limited Chongqing Branch")</f>
        <v>Great Wall Motor Company Limited Chongqing Branch</v>
      </c>
      <c r="E551" s="12" t="s">
        <v>1080</v>
      </c>
      <c r="F551" s="12" t="s">
        <v>20</v>
      </c>
      <c r="G551" s="12" t="s">
        <v>27</v>
      </c>
      <c r="H551" s="12" t="s">
        <v>30</v>
      </c>
      <c r="I551" s="14">
        <v>45159</v>
      </c>
      <c r="J551" s="12" t="s">
        <v>1103</v>
      </c>
    </row>
    <row r="552" spans="1:10" s="15" customFormat="1" x14ac:dyDescent="0.15">
      <c r="A552" s="11">
        <v>45163</v>
      </c>
      <c r="B552" s="12" t="s">
        <v>53</v>
      </c>
      <c r="C552" s="12" t="s">
        <v>154</v>
      </c>
      <c r="D552" s="13" t="str">
        <f>HYPERLINK("https://www.marklines.com/en/global/10420","Great Wall Motor Co., Ltd. Jingmen Branch")</f>
        <v>Great Wall Motor Co., Ltd. Jingmen Branch</v>
      </c>
      <c r="E552" s="12" t="s">
        <v>149</v>
      </c>
      <c r="F552" s="12" t="s">
        <v>20</v>
      </c>
      <c r="G552" s="12" t="s">
        <v>27</v>
      </c>
      <c r="H552" s="12" t="s">
        <v>46</v>
      </c>
      <c r="I552" s="14">
        <v>45159</v>
      </c>
      <c r="J552" s="12" t="s">
        <v>1103</v>
      </c>
    </row>
    <row r="553" spans="1:10" s="15" customFormat="1" x14ac:dyDescent="0.15">
      <c r="A553" s="11">
        <v>45163</v>
      </c>
      <c r="B553" s="12" t="s">
        <v>368</v>
      </c>
      <c r="C553" s="12" t="s">
        <v>368</v>
      </c>
      <c r="D553" s="13" t="str">
        <f>HYPERLINK("https://www.marklines.com/en/global/3909","Jiangling Motors Co., Ltd. Xiaolan Branch")</f>
        <v>Jiangling Motors Co., Ltd. Xiaolan Branch</v>
      </c>
      <c r="E553" s="12" t="s">
        <v>1104</v>
      </c>
      <c r="F553" s="12" t="s">
        <v>20</v>
      </c>
      <c r="G553" s="12" t="s">
        <v>27</v>
      </c>
      <c r="H553" s="12" t="s">
        <v>370</v>
      </c>
      <c r="I553" s="14">
        <v>45159</v>
      </c>
      <c r="J553" s="12" t="s">
        <v>1105</v>
      </c>
    </row>
    <row r="554" spans="1:10" s="15" customFormat="1" x14ac:dyDescent="0.15">
      <c r="A554" s="11">
        <v>45163</v>
      </c>
      <c r="B554" s="12" t="s">
        <v>53</v>
      </c>
      <c r="C554" s="12" t="s">
        <v>135</v>
      </c>
      <c r="D554" s="13" t="str">
        <f>HYPERLINK("https://www.marklines.com/en/global/10420","Great Wall Motor Co., Ltd. Jingmen Branch")</f>
        <v>Great Wall Motor Co., Ltd. Jingmen Branch</v>
      </c>
      <c r="E554" s="12" t="s">
        <v>149</v>
      </c>
      <c r="F554" s="12" t="s">
        <v>20</v>
      </c>
      <c r="G554" s="12" t="s">
        <v>27</v>
      </c>
      <c r="H554" s="12" t="s">
        <v>46</v>
      </c>
      <c r="I554" s="14">
        <v>45159</v>
      </c>
      <c r="J554" s="12" t="s">
        <v>1106</v>
      </c>
    </row>
    <row r="555" spans="1:10" s="15" customFormat="1" x14ac:dyDescent="0.15">
      <c r="A555" s="11">
        <v>45163</v>
      </c>
      <c r="B555" s="12" t="s">
        <v>44</v>
      </c>
      <c r="C555" s="12" t="s">
        <v>54</v>
      </c>
      <c r="D555" s="13" t="str">
        <f>HYPERLINK("https://www.marklines.com/en/global/9824","GAC Aion New Energy Automobile Co., Ltd.")</f>
        <v>GAC Aion New Energy Automobile Co., Ltd.</v>
      </c>
      <c r="E555" s="12" t="s">
        <v>55</v>
      </c>
      <c r="F555" s="12" t="s">
        <v>20</v>
      </c>
      <c r="G555" s="12" t="s">
        <v>27</v>
      </c>
      <c r="H555" s="12" t="s">
        <v>31</v>
      </c>
      <c r="I555" s="14">
        <v>45159</v>
      </c>
      <c r="J555" s="12" t="s">
        <v>1107</v>
      </c>
    </row>
    <row r="556" spans="1:10" s="15" customFormat="1" x14ac:dyDescent="0.15">
      <c r="A556" s="11">
        <v>45163</v>
      </c>
      <c r="B556" s="12" t="s">
        <v>1108</v>
      </c>
      <c r="C556" s="12" t="s">
        <v>1108</v>
      </c>
      <c r="D556" s="13" t="str">
        <f>HYPERLINK("https://www.marklines.com/en/global/10703","Mullen, Advanced Manufacturing Engineering Center (AMEC)")</f>
        <v>Mullen, Advanced Manufacturing Engineering Center (AMEC)</v>
      </c>
      <c r="E556" s="12" t="s">
        <v>1109</v>
      </c>
      <c r="F556" s="12" t="s">
        <v>16</v>
      </c>
      <c r="G556" s="12" t="s">
        <v>11</v>
      </c>
      <c r="H556" s="12" t="s">
        <v>520</v>
      </c>
      <c r="I556" s="14">
        <v>45159</v>
      </c>
      <c r="J556" s="12" t="s">
        <v>1110</v>
      </c>
    </row>
    <row r="557" spans="1:10" s="15" customFormat="1" x14ac:dyDescent="0.15">
      <c r="A557" s="11">
        <v>45163</v>
      </c>
      <c r="B557" s="12" t="s">
        <v>470</v>
      </c>
      <c r="C557" s="12" t="s">
        <v>470</v>
      </c>
      <c r="D557" s="13" t="str">
        <f>HYPERLINK("https://www.marklines.com/en/global/9503","Shanghai NIO Automobile Co., Ltd.")</f>
        <v>Shanghai NIO Automobile Co., Ltd.</v>
      </c>
      <c r="E557" s="12" t="s">
        <v>471</v>
      </c>
      <c r="F557" s="12" t="s">
        <v>20</v>
      </c>
      <c r="G557" s="12" t="s">
        <v>27</v>
      </c>
      <c r="H557" s="12" t="s">
        <v>106</v>
      </c>
      <c r="I557" s="14">
        <v>45158</v>
      </c>
      <c r="J557" s="12" t="s">
        <v>1111</v>
      </c>
    </row>
    <row r="558" spans="1:10" s="15" customFormat="1" x14ac:dyDescent="0.15">
      <c r="A558" s="11">
        <v>45162</v>
      </c>
      <c r="B558" s="12" t="s">
        <v>29</v>
      </c>
      <c r="C558" s="12" t="s">
        <v>1112</v>
      </c>
      <c r="D558" s="13" t="str">
        <f>HYPERLINK("https://www.marklines.com/en/global/9867","Asia-Europe Automobile Manufacturing (Taizhou) Co., Ltd.")</f>
        <v>Asia-Europe Automobile Manufacturing (Taizhou) Co., Ltd.</v>
      </c>
      <c r="E558" s="12" t="s">
        <v>1113</v>
      </c>
      <c r="F558" s="12" t="s">
        <v>20</v>
      </c>
      <c r="G558" s="12" t="s">
        <v>27</v>
      </c>
      <c r="H558" s="12" t="s">
        <v>51</v>
      </c>
      <c r="I558" s="14">
        <v>45162</v>
      </c>
      <c r="J558" s="12" t="s">
        <v>1114</v>
      </c>
    </row>
    <row r="559" spans="1:10" s="15" customFormat="1" x14ac:dyDescent="0.15">
      <c r="A559" s="11">
        <v>45162</v>
      </c>
      <c r="B559" s="12" t="s">
        <v>13</v>
      </c>
      <c r="C559" s="12" t="s">
        <v>13</v>
      </c>
      <c r="D559" s="13" t="str">
        <f>HYPERLINK("https://www.marklines.com/en/global/671","ZAO AvtoTOR, Kaliningrad Plant")</f>
        <v>ZAO AvtoTOR, Kaliningrad Plant</v>
      </c>
      <c r="E559" s="12" t="s">
        <v>33</v>
      </c>
      <c r="F559" s="12" t="s">
        <v>18</v>
      </c>
      <c r="G559" s="12" t="s">
        <v>14</v>
      </c>
      <c r="H559" s="12"/>
      <c r="I559" s="14">
        <v>45162</v>
      </c>
      <c r="J559" s="12" t="s">
        <v>1115</v>
      </c>
    </row>
    <row r="560" spans="1:10" s="15" customFormat="1" x14ac:dyDescent="0.15">
      <c r="A560" s="11">
        <v>45162</v>
      </c>
      <c r="B560" s="12" t="s">
        <v>100</v>
      </c>
      <c r="C560" s="12" t="s">
        <v>100</v>
      </c>
      <c r="D560" s="13" t="str">
        <f>HYPERLINK("https://www.marklines.com/en/global/893","Nissan Mexico, Aguascalientes Plant 1")</f>
        <v>Nissan Mexico, Aguascalientes Plant 1</v>
      </c>
      <c r="E560" s="12" t="s">
        <v>1116</v>
      </c>
      <c r="F560" s="12" t="s">
        <v>16</v>
      </c>
      <c r="G560" s="12" t="s">
        <v>430</v>
      </c>
      <c r="H560" s="12"/>
      <c r="I560" s="14">
        <v>45161</v>
      </c>
      <c r="J560" s="12" t="s">
        <v>1117</v>
      </c>
    </row>
    <row r="561" spans="1:10" s="15" customFormat="1" x14ac:dyDescent="0.15">
      <c r="A561" s="11">
        <v>45162</v>
      </c>
      <c r="B561" s="12" t="s">
        <v>22</v>
      </c>
      <c r="C561" s="12" t="s">
        <v>22</v>
      </c>
      <c r="D561" s="13" t="str">
        <f t="shared" ref="D561:D566" si="0">HYPERLINK("https://www.marklines.com/en/global/1939","Stellantis, Peugeot Citroen Automoviles Espana S.A., Vigo Plant")</f>
        <v>Stellantis, Peugeot Citroen Automoviles Espana S.A., Vigo Plant</v>
      </c>
      <c r="E561" s="12" t="s">
        <v>158</v>
      </c>
      <c r="F561" s="12" t="s">
        <v>17</v>
      </c>
      <c r="G561" s="12" t="s">
        <v>114</v>
      </c>
      <c r="H561" s="12"/>
      <c r="I561" s="14">
        <v>45160</v>
      </c>
      <c r="J561" s="12" t="s">
        <v>1118</v>
      </c>
    </row>
    <row r="562" spans="1:10" s="15" customFormat="1" x14ac:dyDescent="0.15">
      <c r="A562" s="11">
        <v>45162</v>
      </c>
      <c r="B562" s="12" t="s">
        <v>68</v>
      </c>
      <c r="C562" s="12" t="s">
        <v>887</v>
      </c>
      <c r="D562" s="13" t="str">
        <f t="shared" si="0"/>
        <v>Stellantis, Peugeot Citroen Automoviles Espana S.A., Vigo Plant</v>
      </c>
      <c r="E562" s="12" t="s">
        <v>158</v>
      </c>
      <c r="F562" s="12" t="s">
        <v>17</v>
      </c>
      <c r="G562" s="12" t="s">
        <v>114</v>
      </c>
      <c r="H562" s="12"/>
      <c r="I562" s="14">
        <v>45160</v>
      </c>
      <c r="J562" s="12" t="s">
        <v>1118</v>
      </c>
    </row>
    <row r="563" spans="1:10" s="15" customFormat="1" x14ac:dyDescent="0.15">
      <c r="A563" s="11">
        <v>45162</v>
      </c>
      <c r="B563" s="12" t="s">
        <v>68</v>
      </c>
      <c r="C563" s="12" t="s">
        <v>1119</v>
      </c>
      <c r="D563" s="13" t="str">
        <f t="shared" si="0"/>
        <v>Stellantis, Peugeot Citroen Automoviles Espana S.A., Vigo Plant</v>
      </c>
      <c r="E563" s="12" t="s">
        <v>158</v>
      </c>
      <c r="F563" s="12" t="s">
        <v>17</v>
      </c>
      <c r="G563" s="12" t="s">
        <v>114</v>
      </c>
      <c r="H563" s="12"/>
      <c r="I563" s="14">
        <v>45160</v>
      </c>
      <c r="J563" s="12" t="s">
        <v>1118</v>
      </c>
    </row>
    <row r="564" spans="1:10" s="15" customFormat="1" x14ac:dyDescent="0.15">
      <c r="A564" s="11">
        <v>45162</v>
      </c>
      <c r="B564" s="12" t="s">
        <v>68</v>
      </c>
      <c r="C564" s="12" t="s">
        <v>72</v>
      </c>
      <c r="D564" s="13" t="str">
        <f t="shared" si="0"/>
        <v>Stellantis, Peugeot Citroen Automoviles Espana S.A., Vigo Plant</v>
      </c>
      <c r="E564" s="12" t="s">
        <v>158</v>
      </c>
      <c r="F564" s="12" t="s">
        <v>17</v>
      </c>
      <c r="G564" s="12" t="s">
        <v>114</v>
      </c>
      <c r="H564" s="12"/>
      <c r="I564" s="14">
        <v>45160</v>
      </c>
      <c r="J564" s="12" t="s">
        <v>1118</v>
      </c>
    </row>
    <row r="565" spans="1:10" s="15" customFormat="1" x14ac:dyDescent="0.15">
      <c r="A565" s="11">
        <v>45162</v>
      </c>
      <c r="B565" s="12" t="s">
        <v>68</v>
      </c>
      <c r="C565" s="12" t="s">
        <v>935</v>
      </c>
      <c r="D565" s="13" t="str">
        <f t="shared" si="0"/>
        <v>Stellantis, Peugeot Citroen Automoviles Espana S.A., Vigo Plant</v>
      </c>
      <c r="E565" s="12" t="s">
        <v>158</v>
      </c>
      <c r="F565" s="12" t="s">
        <v>17</v>
      </c>
      <c r="G565" s="12" t="s">
        <v>114</v>
      </c>
      <c r="H565" s="12"/>
      <c r="I565" s="14">
        <v>45160</v>
      </c>
      <c r="J565" s="12" t="s">
        <v>1118</v>
      </c>
    </row>
    <row r="566" spans="1:10" s="15" customFormat="1" x14ac:dyDescent="0.15">
      <c r="A566" s="11">
        <v>45162</v>
      </c>
      <c r="B566" s="12" t="s">
        <v>68</v>
      </c>
      <c r="C566" s="12" t="s">
        <v>79</v>
      </c>
      <c r="D566" s="13" t="str">
        <f t="shared" si="0"/>
        <v>Stellantis, Peugeot Citroen Automoviles Espana S.A., Vigo Plant</v>
      </c>
      <c r="E566" s="12" t="s">
        <v>158</v>
      </c>
      <c r="F566" s="12" t="s">
        <v>17</v>
      </c>
      <c r="G566" s="12" t="s">
        <v>114</v>
      </c>
      <c r="H566" s="12"/>
      <c r="I566" s="14">
        <v>45160</v>
      </c>
      <c r="J566" s="12" t="s">
        <v>1118</v>
      </c>
    </row>
    <row r="567" spans="1:10" s="15" customFormat="1" x14ac:dyDescent="0.15">
      <c r="A567" s="11">
        <v>45162</v>
      </c>
      <c r="B567" s="12" t="s">
        <v>12</v>
      </c>
      <c r="C567" s="12" t="s">
        <v>19</v>
      </c>
      <c r="D567" s="13" t="str">
        <f>HYPERLINK("https://www.marklines.com/en/global/869","General Motors Mexico, Silao Plant")</f>
        <v>General Motors Mexico, Silao Plant</v>
      </c>
      <c r="E567" s="12" t="s">
        <v>1120</v>
      </c>
      <c r="F567" s="12" t="s">
        <v>16</v>
      </c>
      <c r="G567" s="12" t="s">
        <v>430</v>
      </c>
      <c r="H567" s="12"/>
      <c r="I567" s="14">
        <v>45160</v>
      </c>
      <c r="J567" s="12" t="s">
        <v>1121</v>
      </c>
    </row>
    <row r="568" spans="1:10" s="15" customFormat="1" x14ac:dyDescent="0.15">
      <c r="A568" s="11">
        <v>45162</v>
      </c>
      <c r="B568" s="12" t="s">
        <v>12</v>
      </c>
      <c r="C568" s="12" t="s">
        <v>19</v>
      </c>
      <c r="D568" s="13" t="str">
        <f>HYPERLINK("https://www.marklines.com/en/global/2509","General Motors, Fort Wayne Plant")</f>
        <v>General Motors, Fort Wayne Plant</v>
      </c>
      <c r="E568" s="12" t="s">
        <v>1122</v>
      </c>
      <c r="F568" s="12" t="s">
        <v>16</v>
      </c>
      <c r="G568" s="12" t="s">
        <v>11</v>
      </c>
      <c r="H568" s="12" t="s">
        <v>744</v>
      </c>
      <c r="I568" s="14">
        <v>45160</v>
      </c>
      <c r="J568" s="12" t="s">
        <v>1121</v>
      </c>
    </row>
    <row r="569" spans="1:10" s="15" customFormat="1" x14ac:dyDescent="0.15">
      <c r="A569" s="11">
        <v>45162</v>
      </c>
      <c r="B569" s="12" t="s">
        <v>12</v>
      </c>
      <c r="C569" s="12" t="s">
        <v>19</v>
      </c>
      <c r="D569" s="13" t="str">
        <f>HYPERLINK("https://www.marklines.com/en/global/2543","General Motors Canada, Oshawa Car Assembly Plant")</f>
        <v>General Motors Canada, Oshawa Car Assembly Plant</v>
      </c>
      <c r="E569" s="12" t="s">
        <v>1123</v>
      </c>
      <c r="F569" s="12" t="s">
        <v>16</v>
      </c>
      <c r="G569" s="12" t="s">
        <v>82</v>
      </c>
      <c r="H569" s="12"/>
      <c r="I569" s="14">
        <v>45160</v>
      </c>
      <c r="J569" s="12" t="s">
        <v>1121</v>
      </c>
    </row>
    <row r="570" spans="1:10" s="15" customFormat="1" x14ac:dyDescent="0.15">
      <c r="A570" s="11">
        <v>45162</v>
      </c>
      <c r="B570" s="12" t="s">
        <v>12</v>
      </c>
      <c r="C570" s="12" t="s">
        <v>351</v>
      </c>
      <c r="D570" s="13" t="str">
        <f>HYPERLINK("https://www.marklines.com/en/global/869","General Motors Mexico, Silao Plant")</f>
        <v>General Motors Mexico, Silao Plant</v>
      </c>
      <c r="E570" s="12" t="s">
        <v>1120</v>
      </c>
      <c r="F570" s="12" t="s">
        <v>16</v>
      </c>
      <c r="G570" s="12" t="s">
        <v>430</v>
      </c>
      <c r="H570" s="12"/>
      <c r="I570" s="14">
        <v>45160</v>
      </c>
      <c r="J570" s="12" t="s">
        <v>1121</v>
      </c>
    </row>
    <row r="571" spans="1:10" s="15" customFormat="1" x14ac:dyDescent="0.15">
      <c r="A571" s="11">
        <v>45162</v>
      </c>
      <c r="B571" s="12" t="s">
        <v>12</v>
      </c>
      <c r="C571" s="12" t="s">
        <v>351</v>
      </c>
      <c r="D571" s="13" t="str">
        <f>HYPERLINK("https://www.marklines.com/en/global/2509","General Motors, Fort Wayne Plant")</f>
        <v>General Motors, Fort Wayne Plant</v>
      </c>
      <c r="E571" s="12" t="s">
        <v>1122</v>
      </c>
      <c r="F571" s="12" t="s">
        <v>16</v>
      </c>
      <c r="G571" s="12" t="s">
        <v>11</v>
      </c>
      <c r="H571" s="12" t="s">
        <v>744</v>
      </c>
      <c r="I571" s="14">
        <v>45160</v>
      </c>
      <c r="J571" s="12" t="s">
        <v>1121</v>
      </c>
    </row>
    <row r="572" spans="1:10" s="15" customFormat="1" x14ac:dyDescent="0.15">
      <c r="A572" s="11">
        <v>45162</v>
      </c>
      <c r="B572" s="12" t="s">
        <v>68</v>
      </c>
      <c r="C572" s="12" t="s">
        <v>79</v>
      </c>
      <c r="D572" s="13" t="str">
        <f>HYPERLINK("https://www.marklines.com/en/global/2833","Stellantis, FCA Brazil, Betim Plant")</f>
        <v>Stellantis, FCA Brazil, Betim Plant</v>
      </c>
      <c r="E572" s="12" t="s">
        <v>336</v>
      </c>
      <c r="F572" s="12" t="s">
        <v>74</v>
      </c>
      <c r="G572" s="12" t="s">
        <v>75</v>
      </c>
      <c r="H572" s="12"/>
      <c r="I572" s="14">
        <v>45159</v>
      </c>
      <c r="J572" s="12" t="s">
        <v>1124</v>
      </c>
    </row>
    <row r="573" spans="1:10" s="15" customFormat="1" x14ac:dyDescent="0.15">
      <c r="A573" s="11">
        <v>45162</v>
      </c>
      <c r="B573" s="12" t="s">
        <v>62</v>
      </c>
      <c r="C573" s="12" t="s">
        <v>62</v>
      </c>
      <c r="D573" s="13" t="str">
        <f>HYPERLINK("https://www.marklines.com/en/global/3407","Chery Automotive Co., Ltd., Dalian Branch ")</f>
        <v xml:space="preserve">Chery Automotive Co., Ltd., Dalian Branch </v>
      </c>
      <c r="E573" s="12" t="s">
        <v>1125</v>
      </c>
      <c r="F573" s="12" t="s">
        <v>20</v>
      </c>
      <c r="G573" s="12" t="s">
        <v>27</v>
      </c>
      <c r="H573" s="12" t="s">
        <v>714</v>
      </c>
      <c r="I573" s="14">
        <v>45158</v>
      </c>
      <c r="J573" s="12" t="s">
        <v>1126</v>
      </c>
    </row>
    <row r="574" spans="1:10" s="15" customFormat="1" x14ac:dyDescent="0.15">
      <c r="A574" s="11">
        <v>45162</v>
      </c>
      <c r="B574" s="12" t="s">
        <v>62</v>
      </c>
      <c r="C574" s="12" t="s">
        <v>62</v>
      </c>
      <c r="D574" s="13" t="str">
        <f>HYPERLINK("https://www.marklines.com/en/global/3879","Chery Automobile Co., Ltd. ")</f>
        <v xml:space="preserve">Chery Automobile Co., Ltd. </v>
      </c>
      <c r="E574" s="12" t="s">
        <v>773</v>
      </c>
      <c r="F574" s="12" t="s">
        <v>20</v>
      </c>
      <c r="G574" s="12" t="s">
        <v>27</v>
      </c>
      <c r="H574" s="12" t="s">
        <v>326</v>
      </c>
      <c r="I574" s="14">
        <v>45158</v>
      </c>
      <c r="J574" s="12" t="s">
        <v>1126</v>
      </c>
    </row>
    <row r="575" spans="1:10" s="15" customFormat="1" x14ac:dyDescent="0.15">
      <c r="A575" s="11">
        <v>45162</v>
      </c>
      <c r="B575" s="12" t="s">
        <v>437</v>
      </c>
      <c r="C575" s="12" t="s">
        <v>437</v>
      </c>
      <c r="D575" s="13" t="str">
        <f>HYPERLINK("https://www.marklines.com/en/global/10504","Dongfeng Motor Group Co., Ltd. Mengshi Automobile Technology Company (formerly Dongfeng Motor Group Co., Ltd. High-end EV Off-road Vehicle Plant)")</f>
        <v>Dongfeng Motor Group Co., Ltd. Mengshi Automobile Technology Company (formerly Dongfeng Motor Group Co., Ltd. High-end EV Off-road Vehicle Plant)</v>
      </c>
      <c r="E575" s="12" t="s">
        <v>1127</v>
      </c>
      <c r="F575" s="12" t="s">
        <v>20</v>
      </c>
      <c r="G575" s="12" t="s">
        <v>27</v>
      </c>
      <c r="H575" s="12" t="s">
        <v>46</v>
      </c>
      <c r="I575" s="14">
        <v>45157</v>
      </c>
      <c r="J575" s="12" t="s">
        <v>1128</v>
      </c>
    </row>
    <row r="576" spans="1:10" s="15" customFormat="1" x14ac:dyDescent="0.15">
      <c r="A576" s="11">
        <v>45162</v>
      </c>
      <c r="B576" s="12" t="s">
        <v>153</v>
      </c>
      <c r="C576" s="12" t="s">
        <v>153</v>
      </c>
      <c r="D576" s="13" t="str">
        <f>HYPERLINK("https://www.marklines.com/en/global/3449","China Changan Automobile Group Co., Ltd. ")</f>
        <v xml:space="preserve">China Changan Automobile Group Co., Ltd. </v>
      </c>
      <c r="E576" s="12" t="s">
        <v>372</v>
      </c>
      <c r="F576" s="12" t="s">
        <v>20</v>
      </c>
      <c r="G576" s="12" t="s">
        <v>27</v>
      </c>
      <c r="H576" s="12" t="s">
        <v>37</v>
      </c>
      <c r="I576" s="14">
        <v>45157</v>
      </c>
      <c r="J576" s="12" t="s">
        <v>1129</v>
      </c>
    </row>
    <row r="577" spans="1:10" s="15" customFormat="1" x14ac:dyDescent="0.15">
      <c r="A577" s="11">
        <v>45162</v>
      </c>
      <c r="B577" s="12" t="s">
        <v>437</v>
      </c>
      <c r="C577" s="12" t="s">
        <v>437</v>
      </c>
      <c r="D577" s="13" t="str">
        <f>HYPERLINK("https://www.marklines.com/en/global/4011","Dongfeng Commercial Vehicle Co., Ltd.")</f>
        <v>Dongfeng Commercial Vehicle Co., Ltd.</v>
      </c>
      <c r="E577" s="12" t="s">
        <v>1130</v>
      </c>
      <c r="F577" s="12" t="s">
        <v>20</v>
      </c>
      <c r="G577" s="12" t="s">
        <v>27</v>
      </c>
      <c r="H577" s="12" t="s">
        <v>46</v>
      </c>
      <c r="I577" s="14">
        <v>45156</v>
      </c>
      <c r="J577" s="12" t="s">
        <v>1131</v>
      </c>
    </row>
    <row r="578" spans="1:10" s="15" customFormat="1" x14ac:dyDescent="0.15">
      <c r="A578" s="11">
        <v>45162</v>
      </c>
      <c r="B578" s="12" t="s">
        <v>29</v>
      </c>
      <c r="C578" s="12" t="s">
        <v>29</v>
      </c>
      <c r="D578" s="13" t="str">
        <f>HYPERLINK("https://www.marklines.com/en/global/3807","Zhejiang Geely Holding Group Co., Ltd.")</f>
        <v>Zhejiang Geely Holding Group Co., Ltd.</v>
      </c>
      <c r="E578" s="12" t="s">
        <v>76</v>
      </c>
      <c r="F578" s="12" t="s">
        <v>20</v>
      </c>
      <c r="G578" s="12" t="s">
        <v>27</v>
      </c>
      <c r="H578" s="12" t="s">
        <v>51</v>
      </c>
      <c r="I578" s="14">
        <v>45156</v>
      </c>
      <c r="J578" s="12" t="s">
        <v>1132</v>
      </c>
    </row>
    <row r="579" spans="1:10" s="15" customFormat="1" x14ac:dyDescent="0.15">
      <c r="A579" s="11">
        <v>45162</v>
      </c>
      <c r="B579" s="12" t="s">
        <v>29</v>
      </c>
      <c r="C579" s="12" t="s">
        <v>929</v>
      </c>
      <c r="D579" s="13" t="str">
        <f>HYPERLINK("https://www.marklines.com/en/global/10387","Zeekr Automobile (Ningbo Hangzhou Bay New Zone) Co., Ltd. (formerly Ningbo Zeekr Intelligent Technology Co., Ltd.")</f>
        <v>Zeekr Automobile (Ningbo Hangzhou Bay New Zone) Co., Ltd. (formerly Ningbo Zeekr Intelligent Technology Co., Ltd.</v>
      </c>
      <c r="E579" s="12" t="s">
        <v>930</v>
      </c>
      <c r="F579" s="12" t="s">
        <v>20</v>
      </c>
      <c r="G579" s="12" t="s">
        <v>27</v>
      </c>
      <c r="H579" s="12" t="s">
        <v>51</v>
      </c>
      <c r="I579" s="14">
        <v>45154</v>
      </c>
      <c r="J579" s="12" t="s">
        <v>1133</v>
      </c>
    </row>
    <row r="580" spans="1:10" s="15" customFormat="1" x14ac:dyDescent="0.15">
      <c r="A580" s="11">
        <v>45162</v>
      </c>
      <c r="B580" s="12" t="s">
        <v>22</v>
      </c>
      <c r="C580" s="12" t="s">
        <v>22</v>
      </c>
      <c r="D580" s="13" t="str">
        <f>HYPERLINK("https://www.marklines.com/en/global/2811","Toyota Argentina S.A. (TASA), Zarate Plant")</f>
        <v>Toyota Argentina S.A. (TASA), Zarate Plant</v>
      </c>
      <c r="E580" s="12" t="s">
        <v>1134</v>
      </c>
      <c r="F580" s="12" t="s">
        <v>74</v>
      </c>
      <c r="G580" s="12" t="s">
        <v>501</v>
      </c>
      <c r="H580" s="12"/>
      <c r="I580" s="14">
        <v>45154</v>
      </c>
      <c r="J580" s="12" t="s">
        <v>1135</v>
      </c>
    </row>
    <row r="581" spans="1:10" s="15" customFormat="1" x14ac:dyDescent="0.15">
      <c r="A581" s="11">
        <v>45161</v>
      </c>
      <c r="B581" s="12" t="s">
        <v>65</v>
      </c>
      <c r="C581" s="12" t="s">
        <v>65</v>
      </c>
      <c r="D581" s="13" t="str">
        <f>HYPERLINK("https://www.marklines.com/en/global/1727","Hyundai Motor Manufacturing Czech, s.r.o. (HMMC), Nosovice Plant")</f>
        <v>Hyundai Motor Manufacturing Czech, s.r.o. (HMMC), Nosovice Plant</v>
      </c>
      <c r="E581" s="12" t="s">
        <v>1136</v>
      </c>
      <c r="F581" s="12" t="s">
        <v>18</v>
      </c>
      <c r="G581" s="12" t="s">
        <v>349</v>
      </c>
      <c r="H581" s="12"/>
      <c r="I581" s="14">
        <v>45161</v>
      </c>
      <c r="J581" s="12" t="s">
        <v>1137</v>
      </c>
    </row>
    <row r="582" spans="1:10" s="15" customFormat="1" x14ac:dyDescent="0.15">
      <c r="A582" s="11">
        <v>45161</v>
      </c>
      <c r="B582" s="12" t="s">
        <v>22</v>
      </c>
      <c r="C582" s="12" t="s">
        <v>22</v>
      </c>
      <c r="D582" s="13" t="str">
        <f>HYPERLINK("https://www.marklines.com/en/global/1445","Toyota Motor Manufacturing Turkey Inc. (TMMT), Sakarya (Adapazari) Plant")</f>
        <v>Toyota Motor Manufacturing Turkey Inc. (TMMT), Sakarya (Adapazari) Plant</v>
      </c>
      <c r="E582" s="12" t="s">
        <v>1138</v>
      </c>
      <c r="F582" s="12" t="s">
        <v>687</v>
      </c>
      <c r="G582" s="12" t="s">
        <v>688</v>
      </c>
      <c r="H582" s="12"/>
      <c r="I582" s="14">
        <v>45160</v>
      </c>
      <c r="J582" s="12" t="s">
        <v>1139</v>
      </c>
    </row>
    <row r="583" spans="1:10" s="15" customFormat="1" x14ac:dyDescent="0.15">
      <c r="A583" s="11">
        <v>45161</v>
      </c>
      <c r="B583" s="12" t="s">
        <v>22</v>
      </c>
      <c r="C583" s="12" t="s">
        <v>22</v>
      </c>
      <c r="D583" s="13" t="str">
        <f>HYPERLINK("https://www.marklines.com/en/global/127","Toyota Motor Manufacturing France S.A.S. (TMMF), Valenciennes Plant")</f>
        <v>Toyota Motor Manufacturing France S.A.S. (TMMF), Valenciennes Plant</v>
      </c>
      <c r="E583" s="12" t="s">
        <v>1140</v>
      </c>
      <c r="F583" s="12" t="s">
        <v>17</v>
      </c>
      <c r="G583" s="12" t="s">
        <v>40</v>
      </c>
      <c r="H583" s="12"/>
      <c r="I583" s="14">
        <v>45160</v>
      </c>
      <c r="J583" s="12" t="s">
        <v>1139</v>
      </c>
    </row>
    <row r="584" spans="1:10" s="15" customFormat="1" x14ac:dyDescent="0.15">
      <c r="A584" s="11">
        <v>45161</v>
      </c>
      <c r="B584" s="12" t="s">
        <v>22</v>
      </c>
      <c r="C584" s="12" t="s">
        <v>22</v>
      </c>
      <c r="D584" s="13" t="str">
        <f>HYPERLINK("https://www.marklines.com/en/global/1396","Toyota Caetano Portugal, S.A. (TCAP), Ovar Plant")</f>
        <v>Toyota Caetano Portugal, S.A. (TCAP), Ovar Plant</v>
      </c>
      <c r="E584" s="12" t="s">
        <v>1141</v>
      </c>
      <c r="F584" s="12" t="s">
        <v>17</v>
      </c>
      <c r="G584" s="12" t="s">
        <v>1142</v>
      </c>
      <c r="H584" s="12"/>
      <c r="I584" s="14">
        <v>45160</v>
      </c>
      <c r="J584" s="12" t="s">
        <v>1139</v>
      </c>
    </row>
    <row r="585" spans="1:10" s="15" customFormat="1" x14ac:dyDescent="0.15">
      <c r="A585" s="11">
        <v>45161</v>
      </c>
      <c r="B585" s="12" t="s">
        <v>22</v>
      </c>
      <c r="C585" s="12" t="s">
        <v>22</v>
      </c>
      <c r="D585" s="13" t="str">
        <f>HYPERLINK("https://www.marklines.com/en/global/1699","Toyota Motor Manufacturing Poland Sp. zo.o. (TMMP), Walbrzych Plant")</f>
        <v>Toyota Motor Manufacturing Poland Sp. zo.o. (TMMP), Walbrzych Plant</v>
      </c>
      <c r="E585" s="12" t="s">
        <v>1143</v>
      </c>
      <c r="F585" s="12" t="s">
        <v>18</v>
      </c>
      <c r="G585" s="12" t="s">
        <v>32</v>
      </c>
      <c r="H585" s="12"/>
      <c r="I585" s="14">
        <v>45160</v>
      </c>
      <c r="J585" s="12" t="s">
        <v>1139</v>
      </c>
    </row>
    <row r="586" spans="1:10" s="15" customFormat="1" x14ac:dyDescent="0.15">
      <c r="A586" s="11">
        <v>45161</v>
      </c>
      <c r="B586" s="12" t="s">
        <v>22</v>
      </c>
      <c r="C586" s="12" t="s">
        <v>22</v>
      </c>
      <c r="D586" s="13" t="str">
        <f>HYPERLINK("https://www.marklines.com/en/global/1703","Toyota Motor Manufacturing Poland Sp. zo.o. (TMMP), Jelcz-Laskowice Plant")</f>
        <v>Toyota Motor Manufacturing Poland Sp. zo.o. (TMMP), Jelcz-Laskowice Plant</v>
      </c>
      <c r="E586" s="12" t="s">
        <v>1144</v>
      </c>
      <c r="F586" s="12" t="s">
        <v>18</v>
      </c>
      <c r="G586" s="12" t="s">
        <v>32</v>
      </c>
      <c r="H586" s="12"/>
      <c r="I586" s="14">
        <v>45160</v>
      </c>
      <c r="J586" s="12" t="s">
        <v>1139</v>
      </c>
    </row>
    <row r="587" spans="1:10" s="15" customFormat="1" x14ac:dyDescent="0.15">
      <c r="A587" s="11">
        <v>45161</v>
      </c>
      <c r="B587" s="12" t="s">
        <v>22</v>
      </c>
      <c r="C587" s="12" t="s">
        <v>22</v>
      </c>
      <c r="D587" s="13" t="str">
        <f>HYPERLINK("https://www.marklines.com/en/global/2379","Toyota Motor Manufacturing (UK)Ltd. (TMUK), Burnaston Plant")</f>
        <v>Toyota Motor Manufacturing (UK)Ltd. (TMUK), Burnaston Plant</v>
      </c>
      <c r="E587" s="12" t="s">
        <v>1145</v>
      </c>
      <c r="F587" s="12" t="s">
        <v>17</v>
      </c>
      <c r="G587" s="12" t="s">
        <v>73</v>
      </c>
      <c r="H587" s="12"/>
      <c r="I587" s="14">
        <v>45160</v>
      </c>
      <c r="J587" s="12" t="s">
        <v>1139</v>
      </c>
    </row>
    <row r="588" spans="1:10" s="15" customFormat="1" x14ac:dyDescent="0.15">
      <c r="A588" s="11">
        <v>45161</v>
      </c>
      <c r="B588" s="12" t="s">
        <v>22</v>
      </c>
      <c r="C588" s="12" t="s">
        <v>22</v>
      </c>
      <c r="D588" s="13" t="str">
        <f>HYPERLINK("https://www.marklines.com/en/global/2381","Toyota Motor Manufacturing (UK)Ltd. (TMUK), Deeside Plant")</f>
        <v>Toyota Motor Manufacturing (UK)Ltd. (TMUK), Deeside Plant</v>
      </c>
      <c r="E588" s="12" t="s">
        <v>1146</v>
      </c>
      <c r="F588" s="12" t="s">
        <v>17</v>
      </c>
      <c r="G588" s="12" t="s">
        <v>73</v>
      </c>
      <c r="H588" s="12"/>
      <c r="I588" s="14">
        <v>45160</v>
      </c>
      <c r="J588" s="12" t="s">
        <v>1139</v>
      </c>
    </row>
    <row r="589" spans="1:10" s="15" customFormat="1" x14ac:dyDescent="0.15">
      <c r="A589" s="11">
        <v>45161</v>
      </c>
      <c r="B589" s="12" t="s">
        <v>22</v>
      </c>
      <c r="C589" s="12" t="s">
        <v>22</v>
      </c>
      <c r="D589" s="13" t="str">
        <f>HYPERLINK("https://www.marklines.com/en/global/1735","Toyota Motor Manufacturing Czech Republic (TMMCZ), Kolin Plant (formerly Toyota Peugeot Citroen Automobile Czech, s.r.o. (TPCA))")</f>
        <v>Toyota Motor Manufacturing Czech Republic (TMMCZ), Kolin Plant (formerly Toyota Peugeot Citroen Automobile Czech, s.r.o. (TPCA))</v>
      </c>
      <c r="E589" s="12" t="s">
        <v>1147</v>
      </c>
      <c r="F589" s="12" t="s">
        <v>18</v>
      </c>
      <c r="G589" s="12" t="s">
        <v>349</v>
      </c>
      <c r="H589" s="12"/>
      <c r="I589" s="14">
        <v>45160</v>
      </c>
      <c r="J589" s="12" t="s">
        <v>1139</v>
      </c>
    </row>
    <row r="590" spans="1:10" s="15" customFormat="1" x14ac:dyDescent="0.15">
      <c r="A590" s="11">
        <v>45161</v>
      </c>
      <c r="B590" s="12" t="s">
        <v>90</v>
      </c>
      <c r="C590" s="12" t="s">
        <v>91</v>
      </c>
      <c r="D590" s="13" t="str">
        <f>HYPERLINK("https://www.marklines.com/en/global/675","AvtoVAZ, Togliatti Plant")</f>
        <v>AvtoVAZ, Togliatti Plant</v>
      </c>
      <c r="E590" s="12" t="s">
        <v>92</v>
      </c>
      <c r="F590" s="12" t="s">
        <v>18</v>
      </c>
      <c r="G590" s="12" t="s">
        <v>14</v>
      </c>
      <c r="H590" s="12"/>
      <c r="I590" s="14">
        <v>45160</v>
      </c>
      <c r="J590" s="12" t="s">
        <v>1148</v>
      </c>
    </row>
    <row r="591" spans="1:10" s="15" customFormat="1" x14ac:dyDescent="0.15">
      <c r="A591" s="11">
        <v>45161</v>
      </c>
      <c r="B591" s="12" t="s">
        <v>65</v>
      </c>
      <c r="C591" s="12" t="s">
        <v>66</v>
      </c>
      <c r="D591" s="13" t="str">
        <f>HYPERLINK("https://www.marklines.com/en/global/3145","Kia Georgia, Inc. (KMMG), West Point Plant")</f>
        <v>Kia Georgia, Inc. (KMMG), West Point Plant</v>
      </c>
      <c r="E591" s="12" t="s">
        <v>380</v>
      </c>
      <c r="F591" s="12" t="s">
        <v>16</v>
      </c>
      <c r="G591" s="12" t="s">
        <v>11</v>
      </c>
      <c r="H591" s="12" t="s">
        <v>381</v>
      </c>
      <c r="I591" s="14">
        <v>45160</v>
      </c>
      <c r="J591" s="12" t="s">
        <v>1149</v>
      </c>
    </row>
    <row r="592" spans="1:10" s="15" customFormat="1" x14ac:dyDescent="0.15">
      <c r="A592" s="11">
        <v>45161</v>
      </c>
      <c r="B592" s="12" t="s">
        <v>22</v>
      </c>
      <c r="C592" s="12" t="s">
        <v>22</v>
      </c>
      <c r="D592" s="13" t="str">
        <f>HYPERLINK("https://www.marklines.com/en/global/249","Toyota Motor Philippines (TMP), Santa Rosa, Laguna Plant")</f>
        <v>Toyota Motor Philippines (TMP), Santa Rosa, Laguna Plant</v>
      </c>
      <c r="E592" s="12" t="s">
        <v>1150</v>
      </c>
      <c r="F592" s="12" t="s">
        <v>49</v>
      </c>
      <c r="G592" s="12" t="s">
        <v>1151</v>
      </c>
      <c r="H592" s="12"/>
      <c r="I592" s="14">
        <v>45160</v>
      </c>
      <c r="J592" s="12" t="s">
        <v>1152</v>
      </c>
    </row>
    <row r="593" spans="1:10" s="15" customFormat="1" x14ac:dyDescent="0.15">
      <c r="A593" s="11">
        <v>45161</v>
      </c>
      <c r="B593" s="12" t="s">
        <v>43</v>
      </c>
      <c r="C593" s="12" t="s">
        <v>67</v>
      </c>
      <c r="D593" s="13" t="str">
        <f>HYPERLINK("https://www.marklines.com/en/global/2267","Volkswagen AG, Emden Plant")</f>
        <v>Volkswagen AG, Emden Plant</v>
      </c>
      <c r="E593" s="12" t="s">
        <v>71</v>
      </c>
      <c r="F593" s="12" t="s">
        <v>17</v>
      </c>
      <c r="G593" s="12" t="s">
        <v>21</v>
      </c>
      <c r="H593" s="12"/>
      <c r="I593" s="14">
        <v>45159</v>
      </c>
      <c r="J593" s="12" t="s">
        <v>1153</v>
      </c>
    </row>
    <row r="594" spans="1:10" s="15" customFormat="1" x14ac:dyDescent="0.15">
      <c r="A594" s="11">
        <v>45161</v>
      </c>
      <c r="B594" s="12" t="s">
        <v>12</v>
      </c>
      <c r="C594" s="12" t="s">
        <v>12</v>
      </c>
      <c r="D594" s="13" t="str">
        <f>HYPERLINK("https://www.marklines.com/en/global/9976","Ultium Cells LLC, Warren Plant ")</f>
        <v xml:space="preserve">Ultium Cells LLC, Warren Plant </v>
      </c>
      <c r="E594" s="12" t="s">
        <v>586</v>
      </c>
      <c r="F594" s="12" t="s">
        <v>16</v>
      </c>
      <c r="G594" s="12" t="s">
        <v>11</v>
      </c>
      <c r="H594" s="12" t="s">
        <v>587</v>
      </c>
      <c r="I594" s="14">
        <v>45159</v>
      </c>
      <c r="J594" s="12" t="s">
        <v>1154</v>
      </c>
    </row>
    <row r="595" spans="1:10" s="15" customFormat="1" x14ac:dyDescent="0.15">
      <c r="A595" s="11">
        <v>45161</v>
      </c>
      <c r="B595" s="12" t="s">
        <v>321</v>
      </c>
      <c r="C595" s="12" t="s">
        <v>322</v>
      </c>
      <c r="D595" s="13" t="str">
        <f>HYPERLINK("https://www.marklines.com/en/global/2033","Mitsubishi Motors (Thailand) Co., Ltd. (MMTh), Laemchabang Plant")</f>
        <v>Mitsubishi Motors (Thailand) Co., Ltd. (MMTh), Laemchabang Plant</v>
      </c>
      <c r="E595" s="12" t="s">
        <v>644</v>
      </c>
      <c r="F595" s="12" t="s">
        <v>49</v>
      </c>
      <c r="G595" s="12" t="s">
        <v>170</v>
      </c>
      <c r="H595" s="12" t="s">
        <v>560</v>
      </c>
      <c r="I595" s="14">
        <v>45159</v>
      </c>
      <c r="J595" s="12" t="s">
        <v>1155</v>
      </c>
    </row>
    <row r="596" spans="1:10" s="15" customFormat="1" x14ac:dyDescent="0.15">
      <c r="A596" s="11">
        <v>45161</v>
      </c>
      <c r="B596" s="12" t="s">
        <v>62</v>
      </c>
      <c r="C596" s="12" t="s">
        <v>1156</v>
      </c>
      <c r="D596" s="13" t="str">
        <f>HYPERLINK("https://www.marklines.com/en/global/3879","Chery Automobile Co., Ltd. ")</f>
        <v xml:space="preserve">Chery Automobile Co., Ltd. </v>
      </c>
      <c r="E596" s="12" t="s">
        <v>773</v>
      </c>
      <c r="F596" s="12" t="s">
        <v>20</v>
      </c>
      <c r="G596" s="12" t="s">
        <v>27</v>
      </c>
      <c r="H596" s="12" t="s">
        <v>326</v>
      </c>
      <c r="I596" s="14">
        <v>45155</v>
      </c>
      <c r="J596" s="12" t="s">
        <v>1157</v>
      </c>
    </row>
    <row r="597" spans="1:10" s="15" customFormat="1" x14ac:dyDescent="0.15">
      <c r="A597" s="11">
        <v>45161</v>
      </c>
      <c r="B597" s="12" t="s">
        <v>13</v>
      </c>
      <c r="C597" s="12" t="s">
        <v>718</v>
      </c>
      <c r="D597" s="13" t="str">
        <f>HYPERLINK("https://www.marklines.com/en/global/10638","Tangshan Sky-well New Energy Automobile Co., Ltd.")</f>
        <v>Tangshan Sky-well New Energy Automobile Co., Ltd.</v>
      </c>
      <c r="E597" s="12" t="s">
        <v>1158</v>
      </c>
      <c r="F597" s="12" t="s">
        <v>20</v>
      </c>
      <c r="G597" s="12" t="s">
        <v>27</v>
      </c>
      <c r="H597" s="12" t="s">
        <v>557</v>
      </c>
      <c r="I597" s="14">
        <v>45155</v>
      </c>
      <c r="J597" s="12" t="s">
        <v>1159</v>
      </c>
    </row>
    <row r="598" spans="1:10" s="15" customFormat="1" x14ac:dyDescent="0.15">
      <c r="A598" s="11">
        <v>45161</v>
      </c>
      <c r="B598" s="12" t="s">
        <v>13</v>
      </c>
      <c r="C598" s="12" t="s">
        <v>718</v>
      </c>
      <c r="D598" s="13" t="str">
        <f>HYPERLINK("https://www.marklines.com/en/global/10327","Jiangsu Skywell Automobile Co., Ltd.")</f>
        <v>Jiangsu Skywell Automobile Co., Ltd.</v>
      </c>
      <c r="E598" s="12" t="s">
        <v>719</v>
      </c>
      <c r="F598" s="12" t="s">
        <v>20</v>
      </c>
      <c r="G598" s="12" t="s">
        <v>27</v>
      </c>
      <c r="H598" s="12" t="s">
        <v>52</v>
      </c>
      <c r="I598" s="14">
        <v>45155</v>
      </c>
      <c r="J598" s="12" t="s">
        <v>1159</v>
      </c>
    </row>
    <row r="599" spans="1:10" s="15" customFormat="1" x14ac:dyDescent="0.15">
      <c r="A599" s="11">
        <v>45161</v>
      </c>
      <c r="B599" s="12" t="s">
        <v>13</v>
      </c>
      <c r="C599" s="12" t="s">
        <v>718</v>
      </c>
      <c r="D599" s="13" t="str">
        <f>HYPERLINK("https://www.marklines.com/en/global/3749","Nanjing Golden Dragon Bus Co., Ltd.")</f>
        <v>Nanjing Golden Dragon Bus Co., Ltd.</v>
      </c>
      <c r="E599" s="12" t="s">
        <v>721</v>
      </c>
      <c r="F599" s="12" t="s">
        <v>20</v>
      </c>
      <c r="G599" s="12" t="s">
        <v>27</v>
      </c>
      <c r="H599" s="12" t="s">
        <v>52</v>
      </c>
      <c r="I599" s="14">
        <v>45155</v>
      </c>
      <c r="J599" s="12" t="s">
        <v>1159</v>
      </c>
    </row>
    <row r="600" spans="1:10" s="15" customFormat="1" x14ac:dyDescent="0.15">
      <c r="A600" s="11">
        <v>45161</v>
      </c>
      <c r="B600" s="12" t="s">
        <v>153</v>
      </c>
      <c r="C600" s="12" t="s">
        <v>255</v>
      </c>
      <c r="D600" s="13" t="str">
        <f>HYPERLINK("https://www.marklines.com/en/global/9875","Deepal Technology Co., Ltd. (formerly Chongqing Changan New Energy Vehicle Technology Co., Ltd.)")</f>
        <v>Deepal Technology Co., Ltd. (formerly Chongqing Changan New Energy Vehicle Technology Co., Ltd.)</v>
      </c>
      <c r="E600" s="12" t="s">
        <v>256</v>
      </c>
      <c r="F600" s="12" t="s">
        <v>20</v>
      </c>
      <c r="G600" s="12" t="s">
        <v>27</v>
      </c>
      <c r="H600" s="12" t="s">
        <v>30</v>
      </c>
      <c r="I600" s="14">
        <v>45155</v>
      </c>
      <c r="J600" s="12" t="s">
        <v>1160</v>
      </c>
    </row>
    <row r="601" spans="1:10" s="15" customFormat="1" x14ac:dyDescent="0.15">
      <c r="A601" s="11">
        <v>45161</v>
      </c>
      <c r="B601" s="12" t="s">
        <v>153</v>
      </c>
      <c r="C601" s="12" t="s">
        <v>153</v>
      </c>
      <c r="D601" s="13" t="str">
        <f>HYPERLINK("https://www.marklines.com/en/global/3449","China Changan Automobile Group Co., Ltd. ")</f>
        <v xml:space="preserve">China Changan Automobile Group Co., Ltd. </v>
      </c>
      <c r="E601" s="12" t="s">
        <v>372</v>
      </c>
      <c r="F601" s="12" t="s">
        <v>20</v>
      </c>
      <c r="G601" s="12" t="s">
        <v>27</v>
      </c>
      <c r="H601" s="12" t="s">
        <v>37</v>
      </c>
      <c r="I601" s="14">
        <v>45154</v>
      </c>
      <c r="J601" s="12" t="s">
        <v>1161</v>
      </c>
    </row>
    <row r="602" spans="1:10" s="15" customFormat="1" x14ac:dyDescent="0.15">
      <c r="A602" s="11">
        <v>45161</v>
      </c>
      <c r="B602" s="12" t="s">
        <v>109</v>
      </c>
      <c r="C602" s="12" t="s">
        <v>109</v>
      </c>
      <c r="D602" s="13" t="str">
        <f>HYPERLINK("https://www.marklines.com/en/global/9500","BYD Co., Ltd.")</f>
        <v>BYD Co., Ltd.</v>
      </c>
      <c r="E602" s="12" t="s">
        <v>812</v>
      </c>
      <c r="F602" s="12" t="s">
        <v>20</v>
      </c>
      <c r="G602" s="12" t="s">
        <v>27</v>
      </c>
      <c r="H602" s="12" t="s">
        <v>31</v>
      </c>
      <c r="I602" s="14">
        <v>45154</v>
      </c>
      <c r="J602" s="12" t="s">
        <v>1162</v>
      </c>
    </row>
    <row r="603" spans="1:10" s="15" customFormat="1" x14ac:dyDescent="0.15">
      <c r="A603" s="11">
        <v>45161</v>
      </c>
      <c r="B603" s="12" t="s">
        <v>15</v>
      </c>
      <c r="C603" s="12" t="s">
        <v>15</v>
      </c>
      <c r="D603" s="13" t="str">
        <f>HYPERLINK("https://www.marklines.com/en/global/961","Honda Malaysia Sdn. Bhd., Pegoh Plant")</f>
        <v>Honda Malaysia Sdn. Bhd., Pegoh Plant</v>
      </c>
      <c r="E603" s="12" t="s">
        <v>1163</v>
      </c>
      <c r="F603" s="12" t="s">
        <v>49</v>
      </c>
      <c r="G603" s="12" t="s">
        <v>1164</v>
      </c>
      <c r="H603" s="12"/>
      <c r="I603" s="14">
        <v>45149</v>
      </c>
      <c r="J603" s="12" t="s">
        <v>1165</v>
      </c>
    </row>
    <row r="604" spans="1:10" s="15" customFormat="1" x14ac:dyDescent="0.15">
      <c r="A604" s="11">
        <v>45161</v>
      </c>
      <c r="B604" s="12" t="s">
        <v>733</v>
      </c>
      <c r="C604" s="12" t="s">
        <v>734</v>
      </c>
      <c r="D604" s="13" t="str">
        <f>HYPERLINK("https://www.marklines.com/en/global/1259","Tata Motors Ltd.")</f>
        <v>Tata Motors Ltd.</v>
      </c>
      <c r="E604" s="12" t="s">
        <v>1166</v>
      </c>
      <c r="F604" s="12" t="s">
        <v>25</v>
      </c>
      <c r="G604" s="12" t="s">
        <v>26</v>
      </c>
      <c r="H604" s="12" t="s">
        <v>736</v>
      </c>
      <c r="I604" s="14">
        <v>45126</v>
      </c>
      <c r="J604" s="12" t="s">
        <v>1167</v>
      </c>
    </row>
    <row r="605" spans="1:10" s="15" customFormat="1" x14ac:dyDescent="0.15">
      <c r="A605" s="11">
        <v>45161</v>
      </c>
      <c r="B605" s="12" t="s">
        <v>733</v>
      </c>
      <c r="C605" s="12" t="s">
        <v>734</v>
      </c>
      <c r="D605" s="13" t="str">
        <f>HYPERLINK("https://www.marklines.com/en/global/10753","Tata Group Battery Gigafactory, Sommerset Plant (tentative name）")</f>
        <v>Tata Group Battery Gigafactory, Sommerset Plant (tentative name）</v>
      </c>
      <c r="E605" s="12" t="s">
        <v>1168</v>
      </c>
      <c r="F605" s="12" t="s">
        <v>17</v>
      </c>
      <c r="G605" s="12" t="s">
        <v>73</v>
      </c>
      <c r="H605" s="12"/>
      <c r="I605" s="14">
        <v>45126</v>
      </c>
      <c r="J605" s="12" t="s">
        <v>1167</v>
      </c>
    </row>
    <row r="606" spans="1:10" s="15" customFormat="1" x14ac:dyDescent="0.15">
      <c r="A606" s="11">
        <v>45161</v>
      </c>
      <c r="B606" s="12" t="s">
        <v>733</v>
      </c>
      <c r="C606" s="12" t="s">
        <v>1169</v>
      </c>
      <c r="D606" s="13" t="str">
        <f>HYPERLINK("https://www.marklines.com/en/global/2325","Jaguar Land Rover Automotive Plc")</f>
        <v>Jaguar Land Rover Automotive Plc</v>
      </c>
      <c r="E606" s="12" t="s">
        <v>987</v>
      </c>
      <c r="F606" s="12" t="s">
        <v>17</v>
      </c>
      <c r="G606" s="12" t="s">
        <v>73</v>
      </c>
      <c r="H606" s="12"/>
      <c r="I606" s="14">
        <v>45126</v>
      </c>
      <c r="J606" s="12" t="s">
        <v>1167</v>
      </c>
    </row>
    <row r="607" spans="1:10" s="15" customFormat="1" x14ac:dyDescent="0.15">
      <c r="A607" s="11">
        <v>45161</v>
      </c>
      <c r="B607" s="12" t="s">
        <v>733</v>
      </c>
      <c r="C607" s="12" t="s">
        <v>983</v>
      </c>
      <c r="D607" s="13" t="str">
        <f>HYPERLINK("https://www.marklines.com/en/global/2325","Jaguar Land Rover Automotive Plc")</f>
        <v>Jaguar Land Rover Automotive Plc</v>
      </c>
      <c r="E607" s="12" t="s">
        <v>987</v>
      </c>
      <c r="F607" s="12" t="s">
        <v>17</v>
      </c>
      <c r="G607" s="12" t="s">
        <v>73</v>
      </c>
      <c r="H607" s="12"/>
      <c r="I607" s="14">
        <v>45126</v>
      </c>
      <c r="J607" s="12" t="s">
        <v>1167</v>
      </c>
    </row>
    <row r="608" spans="1:10" s="15" customFormat="1" x14ac:dyDescent="0.15">
      <c r="A608" s="11">
        <v>45160</v>
      </c>
      <c r="B608" s="12" t="s">
        <v>22</v>
      </c>
      <c r="C608" s="12" t="s">
        <v>22</v>
      </c>
      <c r="D608" s="13" t="str">
        <f>HYPERLINK("https://www.marklines.com/en/global/1735","Toyota Motor Manufacturing Czech Republic (TMMCZ), Kolin Plant (formerly Toyota Peugeot Citroen Automobile Czech, s.r.o. (TPCA))")</f>
        <v>Toyota Motor Manufacturing Czech Republic (TMMCZ), Kolin Plant (formerly Toyota Peugeot Citroen Automobile Czech, s.r.o. (TPCA))</v>
      </c>
      <c r="E608" s="12" t="s">
        <v>1147</v>
      </c>
      <c r="F608" s="12" t="s">
        <v>18</v>
      </c>
      <c r="G608" s="12" t="s">
        <v>349</v>
      </c>
      <c r="H608" s="12"/>
      <c r="I608" s="14">
        <v>45160</v>
      </c>
      <c r="J608" s="12" t="s">
        <v>1170</v>
      </c>
    </row>
    <row r="609" spans="1:10" s="15" customFormat="1" x14ac:dyDescent="0.15">
      <c r="A609" s="11">
        <v>45160</v>
      </c>
      <c r="B609" s="12" t="s">
        <v>733</v>
      </c>
      <c r="C609" s="12" t="s">
        <v>734</v>
      </c>
      <c r="D609" s="13" t="str">
        <f>HYPERLINK("https://www.marklines.com/en/global/1265","Tata Motors, Pantnagar Plant")</f>
        <v>Tata Motors, Pantnagar Plant</v>
      </c>
      <c r="E609" s="12" t="s">
        <v>1171</v>
      </c>
      <c r="F609" s="12" t="s">
        <v>25</v>
      </c>
      <c r="G609" s="12" t="s">
        <v>26</v>
      </c>
      <c r="H609" s="12" t="s">
        <v>1172</v>
      </c>
      <c r="I609" s="14">
        <v>45159</v>
      </c>
      <c r="J609" s="12" t="s">
        <v>1173</v>
      </c>
    </row>
    <row r="610" spans="1:10" s="15" customFormat="1" x14ac:dyDescent="0.15">
      <c r="A610" s="11">
        <v>45160</v>
      </c>
      <c r="B610" s="12" t="s">
        <v>60</v>
      </c>
      <c r="C610" s="12" t="s">
        <v>61</v>
      </c>
      <c r="D610" s="13" t="str">
        <f>HYPERLINK("https://www.marklines.com/en/global/9820","Mercedes-AMG GmbH, AMG engine plant (Affalterbach plant)")</f>
        <v>Mercedes-AMG GmbH, AMG engine plant (Affalterbach plant)</v>
      </c>
      <c r="E610" s="12" t="s">
        <v>573</v>
      </c>
      <c r="F610" s="12" t="s">
        <v>17</v>
      </c>
      <c r="G610" s="12" t="s">
        <v>21</v>
      </c>
      <c r="H610" s="12"/>
      <c r="I610" s="14">
        <v>45157</v>
      </c>
      <c r="J610" s="12" t="s">
        <v>1174</v>
      </c>
    </row>
    <row r="611" spans="1:10" s="15" customFormat="1" x14ac:dyDescent="0.15">
      <c r="A611" s="11">
        <v>45160</v>
      </c>
      <c r="B611" s="12" t="s">
        <v>43</v>
      </c>
      <c r="C611" s="12" t="s">
        <v>615</v>
      </c>
      <c r="D611" s="13" t="str">
        <f>HYPERLINK("https://www.marklines.com/en/global/1357","Automobili Lamborghini S.p.A., Sant'Agata Bolognese Plant")</f>
        <v>Automobili Lamborghini S.p.A., Sant'Agata Bolognese Plant</v>
      </c>
      <c r="E611" s="12" t="s">
        <v>616</v>
      </c>
      <c r="F611" s="12" t="s">
        <v>17</v>
      </c>
      <c r="G611" s="12" t="s">
        <v>70</v>
      </c>
      <c r="H611" s="12"/>
      <c r="I611" s="14">
        <v>45156</v>
      </c>
      <c r="J611" s="12" t="s">
        <v>1175</v>
      </c>
    </row>
    <row r="612" spans="1:10" s="15" customFormat="1" x14ac:dyDescent="0.15">
      <c r="A612" s="11">
        <v>45160</v>
      </c>
      <c r="B612" s="12" t="s">
        <v>13</v>
      </c>
      <c r="C612" s="12" t="s">
        <v>444</v>
      </c>
      <c r="D612" s="13" t="str">
        <f>HYPERLINK("https://www.marklines.com/en/global/799","OAO UAZ (Ulyanovsky Avtomobilny Zavod), Ulyanovsk Plant")</f>
        <v>OAO UAZ (Ulyanovsky Avtomobilny Zavod), Ulyanovsk Plant</v>
      </c>
      <c r="E612" s="12" t="s">
        <v>477</v>
      </c>
      <c r="F612" s="12" t="s">
        <v>18</v>
      </c>
      <c r="G612" s="12" t="s">
        <v>14</v>
      </c>
      <c r="H612" s="12"/>
      <c r="I612" s="14">
        <v>45156</v>
      </c>
      <c r="J612" s="12" t="s">
        <v>1176</v>
      </c>
    </row>
    <row r="613" spans="1:10" s="15" customFormat="1" x14ac:dyDescent="0.15">
      <c r="A613" s="11">
        <v>45160</v>
      </c>
      <c r="B613" s="12" t="s">
        <v>13</v>
      </c>
      <c r="C613" s="12" t="s">
        <v>444</v>
      </c>
      <c r="D613" s="13" t="str">
        <f>HYPERLINK("https://www.marklines.com/en/global/687","Sollers-Yelabuga OOO, Yelabuga Plant")</f>
        <v>Sollers-Yelabuga OOO, Yelabuga Plant</v>
      </c>
      <c r="E613" s="12" t="s">
        <v>445</v>
      </c>
      <c r="F613" s="12" t="s">
        <v>18</v>
      </c>
      <c r="G613" s="12" t="s">
        <v>14</v>
      </c>
      <c r="H613" s="12"/>
      <c r="I613" s="14">
        <v>45156</v>
      </c>
      <c r="J613" s="12" t="s">
        <v>1176</v>
      </c>
    </row>
    <row r="614" spans="1:10" s="15" customFormat="1" x14ac:dyDescent="0.15">
      <c r="A614" s="11">
        <v>45160</v>
      </c>
      <c r="B614" s="12" t="s">
        <v>13</v>
      </c>
      <c r="C614" s="12" t="s">
        <v>444</v>
      </c>
      <c r="D614" s="13" t="str">
        <f>HYPERLINK("https://www.marklines.com/en/global/10409","Zavolzhsky Motor Plant (ZMZ), Sollers Group")</f>
        <v>Zavolzhsky Motor Plant (ZMZ), Sollers Group</v>
      </c>
      <c r="E614" s="12" t="s">
        <v>1094</v>
      </c>
      <c r="F614" s="12" t="s">
        <v>18</v>
      </c>
      <c r="G614" s="12" t="s">
        <v>14</v>
      </c>
      <c r="H614" s="12"/>
      <c r="I614" s="14">
        <v>45156</v>
      </c>
      <c r="J614" s="12" t="s">
        <v>1176</v>
      </c>
    </row>
    <row r="615" spans="1:10" s="15" customFormat="1" x14ac:dyDescent="0.15">
      <c r="A615" s="11">
        <v>45160</v>
      </c>
      <c r="B615" s="12" t="s">
        <v>43</v>
      </c>
      <c r="C615" s="12" t="s">
        <v>67</v>
      </c>
      <c r="D615" s="13" t="str">
        <f>HYPERLINK("https://www.marklines.com/en/global/1303","ŠKODA AUTO Volkswagen India Pvt. Ltd. (SAVWIPL), Pune (Chakan) Plant (formerly Volkswagen India, Pune (Chakan) Plant)")</f>
        <v>ŠKODA AUTO Volkswagen India Pvt. Ltd. (SAVWIPL), Pune (Chakan) Plant (formerly Volkswagen India, Pune (Chakan) Plant)</v>
      </c>
      <c r="E615" s="12" t="s">
        <v>1177</v>
      </c>
      <c r="F615" s="12" t="s">
        <v>25</v>
      </c>
      <c r="G615" s="12" t="s">
        <v>26</v>
      </c>
      <c r="H615" s="12" t="s">
        <v>736</v>
      </c>
      <c r="I615" s="14">
        <v>45155</v>
      </c>
      <c r="J615" s="12" t="s">
        <v>1178</v>
      </c>
    </row>
    <row r="616" spans="1:10" s="15" customFormat="1" x14ac:dyDescent="0.15">
      <c r="A616" s="11">
        <v>45160</v>
      </c>
      <c r="B616" s="12" t="s">
        <v>43</v>
      </c>
      <c r="C616" s="12" t="s">
        <v>347</v>
      </c>
      <c r="D616" s="13" t="str">
        <f>HYPERLINK("https://www.marklines.com/en/global/1303","ŠKODA AUTO Volkswagen India Pvt. Ltd. (SAVWIPL), Pune (Chakan) Plant (formerly Volkswagen India, Pune (Chakan) Plant)")</f>
        <v>ŠKODA AUTO Volkswagen India Pvt. Ltd. (SAVWIPL), Pune (Chakan) Plant (formerly Volkswagen India, Pune (Chakan) Plant)</v>
      </c>
      <c r="E616" s="12" t="s">
        <v>1177</v>
      </c>
      <c r="F616" s="12" t="s">
        <v>25</v>
      </c>
      <c r="G616" s="12" t="s">
        <v>26</v>
      </c>
      <c r="H616" s="12" t="s">
        <v>736</v>
      </c>
      <c r="I616" s="14">
        <v>45155</v>
      </c>
      <c r="J616" s="12" t="s">
        <v>1178</v>
      </c>
    </row>
    <row r="617" spans="1:10" s="15" customFormat="1" x14ac:dyDescent="0.15">
      <c r="A617" s="11">
        <v>45160</v>
      </c>
      <c r="B617" s="12" t="s">
        <v>133</v>
      </c>
      <c r="C617" s="12" t="s">
        <v>731</v>
      </c>
      <c r="D617" s="13" t="str">
        <f>HYPERLINK("https://www.marklines.com/en/global/2834","Stellantis, FCA Brazil, Pernambuco (Goiana) Plant")</f>
        <v>Stellantis, FCA Brazil, Pernambuco (Goiana) Plant</v>
      </c>
      <c r="E617" s="12" t="s">
        <v>729</v>
      </c>
      <c r="F617" s="12" t="s">
        <v>74</v>
      </c>
      <c r="G617" s="12" t="s">
        <v>75</v>
      </c>
      <c r="H617" s="12"/>
      <c r="I617" s="14">
        <v>45155</v>
      </c>
      <c r="J617" s="12" t="s">
        <v>1179</v>
      </c>
    </row>
    <row r="618" spans="1:10" s="15" customFormat="1" x14ac:dyDescent="0.15">
      <c r="A618" s="11">
        <v>45160</v>
      </c>
      <c r="B618" s="12" t="s">
        <v>69</v>
      </c>
      <c r="C618" s="12" t="s">
        <v>69</v>
      </c>
      <c r="D618" s="13" t="str">
        <f>HYPERLINK("https://www.marklines.com/en/global/2869","Iveco Latin America Ltda., Sete Lagoas Plant")</f>
        <v>Iveco Latin America Ltda., Sete Lagoas Plant</v>
      </c>
      <c r="E618" s="12" t="s">
        <v>1180</v>
      </c>
      <c r="F618" s="12" t="s">
        <v>74</v>
      </c>
      <c r="G618" s="12" t="s">
        <v>75</v>
      </c>
      <c r="H618" s="12"/>
      <c r="I618" s="14">
        <v>45155</v>
      </c>
      <c r="J618" s="12" t="s">
        <v>1181</v>
      </c>
    </row>
    <row r="619" spans="1:10" s="15" customFormat="1" x14ac:dyDescent="0.15">
      <c r="A619" s="11">
        <v>45160</v>
      </c>
      <c r="B619" s="12" t="s">
        <v>69</v>
      </c>
      <c r="C619" s="12" t="s">
        <v>69</v>
      </c>
      <c r="D619" s="13" t="str">
        <f>HYPERLINK("https://www.marklines.com/en/global/2789","Iveco Argentina S.A., Ferreyra (Córdoba) Plant")</f>
        <v>Iveco Argentina S.A., Ferreyra (Córdoba) Plant</v>
      </c>
      <c r="E619" s="12" t="s">
        <v>1182</v>
      </c>
      <c r="F619" s="12" t="s">
        <v>74</v>
      </c>
      <c r="G619" s="12" t="s">
        <v>501</v>
      </c>
      <c r="H619" s="12"/>
      <c r="I619" s="14">
        <v>45155</v>
      </c>
      <c r="J619" s="12" t="s">
        <v>1181</v>
      </c>
    </row>
    <row r="620" spans="1:10" s="15" customFormat="1" x14ac:dyDescent="0.15">
      <c r="A620" s="11">
        <v>45160</v>
      </c>
      <c r="B620" s="12" t="s">
        <v>100</v>
      </c>
      <c r="C620" s="12" t="s">
        <v>100</v>
      </c>
      <c r="D620" s="13" t="str">
        <f>HYPERLINK("https://www.marklines.com/en/global/8853","Dongfeng Motor Co., Ltd. Dongfeng Nissan Dalian Branch Company")</f>
        <v>Dongfeng Motor Co., Ltd. Dongfeng Nissan Dalian Branch Company</v>
      </c>
      <c r="E620" s="12" t="s">
        <v>1183</v>
      </c>
      <c r="F620" s="12" t="s">
        <v>20</v>
      </c>
      <c r="G620" s="12" t="s">
        <v>27</v>
      </c>
      <c r="H620" s="12" t="s">
        <v>714</v>
      </c>
      <c r="I620" s="14">
        <v>45154</v>
      </c>
      <c r="J620" s="12" t="s">
        <v>1184</v>
      </c>
    </row>
    <row r="621" spans="1:10" s="15" customFormat="1" x14ac:dyDescent="0.15">
      <c r="A621" s="11">
        <v>45160</v>
      </c>
      <c r="B621" s="12" t="s">
        <v>100</v>
      </c>
      <c r="C621" s="12" t="s">
        <v>100</v>
      </c>
      <c r="D621" s="13" t="str">
        <f>HYPERLINK("https://www.marklines.com/en/global/3793","Dongfeng Motor Co., Ltd. Changzhou Branch")</f>
        <v>Dongfeng Motor Co., Ltd. Changzhou Branch</v>
      </c>
      <c r="E621" s="12" t="s">
        <v>1185</v>
      </c>
      <c r="F621" s="12" t="s">
        <v>20</v>
      </c>
      <c r="G621" s="12" t="s">
        <v>27</v>
      </c>
      <c r="H621" s="12" t="s">
        <v>52</v>
      </c>
      <c r="I621" s="14">
        <v>45154</v>
      </c>
      <c r="J621" s="12" t="s">
        <v>1184</v>
      </c>
    </row>
    <row r="622" spans="1:10" s="15" customFormat="1" x14ac:dyDescent="0.15">
      <c r="A622" s="11">
        <v>45160</v>
      </c>
      <c r="B622" s="12" t="s">
        <v>44</v>
      </c>
      <c r="C622" s="12" t="s">
        <v>44</v>
      </c>
      <c r="D622" s="13" t="str">
        <f>HYPERLINK("https://www.marklines.com/en/global/4073","Guangzhou Automobile Group Co., Ltd. (GAC)")</f>
        <v>Guangzhou Automobile Group Co., Ltd. (GAC)</v>
      </c>
      <c r="E622" s="12" t="s">
        <v>45</v>
      </c>
      <c r="F622" s="12" t="s">
        <v>20</v>
      </c>
      <c r="G622" s="12" t="s">
        <v>27</v>
      </c>
      <c r="H622" s="12" t="s">
        <v>31</v>
      </c>
      <c r="I622" s="14">
        <v>45154</v>
      </c>
      <c r="J622" s="12" t="s">
        <v>1186</v>
      </c>
    </row>
    <row r="623" spans="1:10" s="15" customFormat="1" x14ac:dyDescent="0.15">
      <c r="A623" s="11">
        <v>45160</v>
      </c>
      <c r="B623" s="12" t="s">
        <v>437</v>
      </c>
      <c r="C623" s="12" t="s">
        <v>437</v>
      </c>
      <c r="D623" s="13" t="str">
        <f>HYPERLINK("https://www.marklines.com/en/global/3971","Dongfeng Motor Corporation ")</f>
        <v xml:space="preserve">Dongfeng Motor Corporation </v>
      </c>
      <c r="E623" s="12" t="s">
        <v>646</v>
      </c>
      <c r="F623" s="12" t="s">
        <v>20</v>
      </c>
      <c r="G623" s="12" t="s">
        <v>27</v>
      </c>
      <c r="H623" s="12" t="s">
        <v>46</v>
      </c>
      <c r="I623" s="14">
        <v>45154</v>
      </c>
      <c r="J623" s="12" t="s">
        <v>1187</v>
      </c>
    </row>
    <row r="624" spans="1:10" s="15" customFormat="1" x14ac:dyDescent="0.15">
      <c r="A624" s="11">
        <v>45160</v>
      </c>
      <c r="B624" s="12" t="s">
        <v>63</v>
      </c>
      <c r="C624" s="12" t="s">
        <v>63</v>
      </c>
      <c r="D624" s="13" t="str">
        <f>HYPERLINK("https://www.marklines.com/en/global/3469","Beijing Electric Vehicle Co., Ltd. (BAIC BJEV)")</f>
        <v>Beijing Electric Vehicle Co., Ltd. (BAIC BJEV)</v>
      </c>
      <c r="E624" s="12" t="s">
        <v>1188</v>
      </c>
      <c r="F624" s="12" t="s">
        <v>20</v>
      </c>
      <c r="G624" s="12" t="s">
        <v>27</v>
      </c>
      <c r="H624" s="12" t="s">
        <v>37</v>
      </c>
      <c r="I624" s="14">
        <v>45153</v>
      </c>
      <c r="J624" s="12" t="s">
        <v>1189</v>
      </c>
    </row>
    <row r="625" spans="1:10" s="15" customFormat="1" x14ac:dyDescent="0.15">
      <c r="A625" s="11">
        <v>45160</v>
      </c>
      <c r="B625" s="12" t="s">
        <v>63</v>
      </c>
      <c r="C625" s="12" t="s">
        <v>64</v>
      </c>
      <c r="D625" s="13" t="str">
        <f>HYPERLINK("https://www.marklines.com/en/global/3425","Beiqi Foton Motor Co., Ltd.")</f>
        <v>Beiqi Foton Motor Co., Ltd.</v>
      </c>
      <c r="E625" s="12" t="s">
        <v>505</v>
      </c>
      <c r="F625" s="12" t="s">
        <v>20</v>
      </c>
      <c r="G625" s="12" t="s">
        <v>27</v>
      </c>
      <c r="H625" s="12" t="s">
        <v>37</v>
      </c>
      <c r="I625" s="14">
        <v>45153</v>
      </c>
      <c r="J625" s="12" t="s">
        <v>1189</v>
      </c>
    </row>
    <row r="626" spans="1:10" s="15" customFormat="1" x14ac:dyDescent="0.15">
      <c r="A626" s="11">
        <v>45159</v>
      </c>
      <c r="B626" s="12" t="s">
        <v>29</v>
      </c>
      <c r="C626" s="12" t="s">
        <v>29</v>
      </c>
      <c r="D626" s="13" t="str">
        <f>HYPERLINK("https://www.marklines.com/en/global/3837","Zhejiang Haoqing Automotive Manufacturing Co.,Ltd.")</f>
        <v>Zhejiang Haoqing Automotive Manufacturing Co.,Ltd.</v>
      </c>
      <c r="E626" s="12" t="s">
        <v>757</v>
      </c>
      <c r="F626" s="12" t="s">
        <v>20</v>
      </c>
      <c r="G626" s="12" t="s">
        <v>27</v>
      </c>
      <c r="H626" s="12" t="s">
        <v>51</v>
      </c>
      <c r="I626" s="14">
        <v>45153</v>
      </c>
      <c r="J626" s="12" t="s">
        <v>936</v>
      </c>
    </row>
    <row r="627" spans="1:10" s="15" customFormat="1" x14ac:dyDescent="0.15">
      <c r="A627" s="11">
        <v>45159</v>
      </c>
      <c r="B627" s="12" t="s">
        <v>153</v>
      </c>
      <c r="C627" s="12" t="s">
        <v>937</v>
      </c>
      <c r="D627" s="13" t="str">
        <f>HYPERLINK("https://www.marklines.com/en/global/3539","Hebei Changan Automobile Co., Ltd. ")</f>
        <v xml:space="preserve">Hebei Changan Automobile Co., Ltd. </v>
      </c>
      <c r="E627" s="12" t="s">
        <v>938</v>
      </c>
      <c r="F627" s="12" t="s">
        <v>20</v>
      </c>
      <c r="G627" s="12" t="s">
        <v>27</v>
      </c>
      <c r="H627" s="12" t="s">
        <v>557</v>
      </c>
      <c r="I627" s="14">
        <v>45153</v>
      </c>
      <c r="J627" s="12" t="s">
        <v>939</v>
      </c>
    </row>
    <row r="628" spans="1:10" s="15" customFormat="1" x14ac:dyDescent="0.15">
      <c r="A628" s="11">
        <v>45159</v>
      </c>
      <c r="B628" s="12" t="s">
        <v>13</v>
      </c>
      <c r="C628" s="12" t="s">
        <v>414</v>
      </c>
      <c r="D628" s="13" t="str">
        <f>HYPERLINK("https://www.marklines.com/en/global/10641","NWTN (Zhejiang) Motor Co., Ltd.")</f>
        <v>NWTN (Zhejiang) Motor Co., Ltd.</v>
      </c>
      <c r="E628" s="12" t="s">
        <v>415</v>
      </c>
      <c r="F628" s="12" t="s">
        <v>20</v>
      </c>
      <c r="G628" s="12" t="s">
        <v>27</v>
      </c>
      <c r="H628" s="12" t="s">
        <v>51</v>
      </c>
      <c r="I628" s="14">
        <v>45152</v>
      </c>
      <c r="J628" s="12" t="s">
        <v>940</v>
      </c>
    </row>
    <row r="629" spans="1:10" s="15" customFormat="1" x14ac:dyDescent="0.15">
      <c r="A629" s="11">
        <v>45159</v>
      </c>
      <c r="B629" s="12" t="s">
        <v>13</v>
      </c>
      <c r="C629" s="12" t="s">
        <v>941</v>
      </c>
      <c r="D629" s="13" t="str">
        <f>HYPERLINK("https://www.marklines.com/en/global/9973","Evergrande New Energy Automobile Investment Holdings Group Co., Ltd.")</f>
        <v>Evergrande New Energy Automobile Investment Holdings Group Co., Ltd.</v>
      </c>
      <c r="E629" s="12" t="s">
        <v>942</v>
      </c>
      <c r="F629" s="12" t="s">
        <v>20</v>
      </c>
      <c r="G629" s="12" t="s">
        <v>27</v>
      </c>
      <c r="H629" s="12" t="s">
        <v>31</v>
      </c>
      <c r="I629" s="14">
        <v>45152</v>
      </c>
      <c r="J629" s="12" t="s">
        <v>940</v>
      </c>
    </row>
    <row r="630" spans="1:10" s="15" customFormat="1" x14ac:dyDescent="0.15">
      <c r="A630" s="11">
        <v>45159</v>
      </c>
      <c r="B630" s="12" t="s">
        <v>13</v>
      </c>
      <c r="C630" s="12" t="s">
        <v>941</v>
      </c>
      <c r="D630" s="13" t="str">
        <f>HYPERLINK("https://www.marklines.com/en/global/9336","Evergrande New Energy Automobile (Tianjin) Co., Ltd.")</f>
        <v>Evergrande New Energy Automobile (Tianjin) Co., Ltd.</v>
      </c>
      <c r="E630" s="12" t="s">
        <v>943</v>
      </c>
      <c r="F630" s="12" t="s">
        <v>20</v>
      </c>
      <c r="G630" s="12" t="s">
        <v>27</v>
      </c>
      <c r="H630" s="12" t="s">
        <v>805</v>
      </c>
      <c r="I630" s="14">
        <v>45152</v>
      </c>
      <c r="J630" s="12" t="s">
        <v>940</v>
      </c>
    </row>
    <row r="631" spans="1:10" s="15" customFormat="1" x14ac:dyDescent="0.15">
      <c r="A631" s="11">
        <v>45159</v>
      </c>
      <c r="B631" s="12" t="s">
        <v>437</v>
      </c>
      <c r="C631" s="12" t="s">
        <v>437</v>
      </c>
      <c r="D631" s="13" t="str">
        <f>HYPERLINK("https://www.marklines.com/en/global/3951","Zhengzhou Nissan Automobile Co., Ltd. ")</f>
        <v xml:space="preserve">Zhengzhou Nissan Automobile Co., Ltd. </v>
      </c>
      <c r="E631" s="12" t="s">
        <v>591</v>
      </c>
      <c r="F631" s="12" t="s">
        <v>20</v>
      </c>
      <c r="G631" s="12" t="s">
        <v>27</v>
      </c>
      <c r="H631" s="12" t="s">
        <v>47</v>
      </c>
      <c r="I631" s="14">
        <v>45152</v>
      </c>
      <c r="J631" s="12" t="s">
        <v>944</v>
      </c>
    </row>
    <row r="632" spans="1:10" s="15" customFormat="1" x14ac:dyDescent="0.15">
      <c r="A632" s="11">
        <v>45159</v>
      </c>
      <c r="B632" s="12" t="s">
        <v>29</v>
      </c>
      <c r="C632" s="12" t="s">
        <v>29</v>
      </c>
      <c r="D632" s="13" t="str">
        <f>HYPERLINK("https://www.marklines.com/en/global/3807","Zhejiang Geely Holding Group Co., Ltd.")</f>
        <v>Zhejiang Geely Holding Group Co., Ltd.</v>
      </c>
      <c r="E632" s="12" t="s">
        <v>76</v>
      </c>
      <c r="F632" s="12" t="s">
        <v>20</v>
      </c>
      <c r="G632" s="12" t="s">
        <v>27</v>
      </c>
      <c r="H632" s="12" t="s">
        <v>51</v>
      </c>
      <c r="I632" s="14">
        <v>45152</v>
      </c>
      <c r="J632" s="12" t="s">
        <v>945</v>
      </c>
    </row>
    <row r="633" spans="1:10" s="15" customFormat="1" x14ac:dyDescent="0.15">
      <c r="A633" s="11">
        <v>45159</v>
      </c>
      <c r="B633" s="12" t="s">
        <v>29</v>
      </c>
      <c r="C633" s="12" t="s">
        <v>29</v>
      </c>
      <c r="D633" s="13" t="str">
        <f>HYPERLINK("https://www.marklines.com/en/global/10391","Zhejiang Geely Automobile Co., Ltd. Meishan Plant")</f>
        <v>Zhejiang Geely Automobile Co., Ltd. Meishan Plant</v>
      </c>
      <c r="E633" s="12" t="s">
        <v>946</v>
      </c>
      <c r="F633" s="12" t="s">
        <v>20</v>
      </c>
      <c r="G633" s="12" t="s">
        <v>27</v>
      </c>
      <c r="H633" s="12" t="s">
        <v>51</v>
      </c>
      <c r="I633" s="14">
        <v>45152</v>
      </c>
      <c r="J633" s="12" t="s">
        <v>945</v>
      </c>
    </row>
    <row r="634" spans="1:10" s="15" customFormat="1" x14ac:dyDescent="0.15">
      <c r="A634" s="11">
        <v>45159</v>
      </c>
      <c r="B634" s="12" t="s">
        <v>41</v>
      </c>
      <c r="C634" s="12" t="s">
        <v>41</v>
      </c>
      <c r="D634" s="13" t="str">
        <f>HYPERLINK("https://www.marklines.com/en/global/9511","United Auto Battery System Co., Ltd.")</f>
        <v>United Auto Battery System Co., Ltd.</v>
      </c>
      <c r="E634" s="12" t="s">
        <v>947</v>
      </c>
      <c r="F634" s="12" t="s">
        <v>20</v>
      </c>
      <c r="G634" s="12" t="s">
        <v>27</v>
      </c>
      <c r="H634" s="12" t="s">
        <v>52</v>
      </c>
      <c r="I634" s="14">
        <v>45152</v>
      </c>
      <c r="J634" s="12" t="s">
        <v>948</v>
      </c>
    </row>
    <row r="635" spans="1:10" s="15" customFormat="1" x14ac:dyDescent="0.15">
      <c r="A635" s="11">
        <v>45159</v>
      </c>
      <c r="B635" s="12" t="s">
        <v>41</v>
      </c>
      <c r="C635" s="12" t="s">
        <v>41</v>
      </c>
      <c r="D635" s="13" t="str">
        <f>HYPERLINK("https://www.marklines.com/en/global/9510","United Auto Battery Co., Ltd.")</f>
        <v>United Auto Battery Co., Ltd.</v>
      </c>
      <c r="E635" s="12" t="s">
        <v>949</v>
      </c>
      <c r="F635" s="12" t="s">
        <v>20</v>
      </c>
      <c r="G635" s="12" t="s">
        <v>27</v>
      </c>
      <c r="H635" s="12" t="s">
        <v>52</v>
      </c>
      <c r="I635" s="14">
        <v>45152</v>
      </c>
      <c r="J635" s="12" t="s">
        <v>948</v>
      </c>
    </row>
    <row r="636" spans="1:10" s="15" customFormat="1" x14ac:dyDescent="0.15">
      <c r="A636" s="11">
        <v>45159</v>
      </c>
      <c r="B636" s="12" t="s">
        <v>41</v>
      </c>
      <c r="C636" s="12" t="s">
        <v>950</v>
      </c>
      <c r="D636" s="13" t="str">
        <f>HYPERLINK("https://www.marklines.com/en/global/10494","Feifan Automotive Technology Co., Ltd.")</f>
        <v>Feifan Automotive Technology Co., Ltd.</v>
      </c>
      <c r="E636" s="12" t="s">
        <v>951</v>
      </c>
      <c r="F636" s="12" t="s">
        <v>20</v>
      </c>
      <c r="G636" s="12" t="s">
        <v>27</v>
      </c>
      <c r="H636" s="12" t="s">
        <v>106</v>
      </c>
      <c r="I636" s="14">
        <v>45152</v>
      </c>
      <c r="J636" s="12" t="s">
        <v>948</v>
      </c>
    </row>
    <row r="637" spans="1:10" s="15" customFormat="1" x14ac:dyDescent="0.15">
      <c r="A637" s="11">
        <v>45159</v>
      </c>
      <c r="B637" s="12" t="s">
        <v>437</v>
      </c>
      <c r="C637" s="12" t="s">
        <v>437</v>
      </c>
      <c r="D637" s="13" t="str">
        <f>HYPERLINK("https://www.marklines.com/en/global/3977","Dongfeng Passenger Vehicle Company")</f>
        <v>Dongfeng Passenger Vehicle Company</v>
      </c>
      <c r="E637" s="12" t="s">
        <v>952</v>
      </c>
      <c r="F637" s="12" t="s">
        <v>20</v>
      </c>
      <c r="G637" s="12" t="s">
        <v>27</v>
      </c>
      <c r="H637" s="12" t="s">
        <v>46</v>
      </c>
      <c r="I637" s="14">
        <v>45150</v>
      </c>
      <c r="J637" s="12" t="s">
        <v>953</v>
      </c>
    </row>
    <row r="638" spans="1:10" s="15" customFormat="1" x14ac:dyDescent="0.15">
      <c r="A638" s="11">
        <v>45159</v>
      </c>
      <c r="B638" s="12" t="s">
        <v>533</v>
      </c>
      <c r="C638" s="12" t="s">
        <v>534</v>
      </c>
      <c r="D638" s="13" t="str">
        <f>HYPERLINK("https://www.marklines.com/en/global/9099","China FAW Corporation Limited Hongqi Branch")</f>
        <v>China FAW Corporation Limited Hongqi Branch</v>
      </c>
      <c r="E638" s="12" t="s">
        <v>954</v>
      </c>
      <c r="F638" s="12" t="s">
        <v>20</v>
      </c>
      <c r="G638" s="12" t="s">
        <v>27</v>
      </c>
      <c r="H638" s="12" t="s">
        <v>536</v>
      </c>
      <c r="I638" s="14">
        <v>45149</v>
      </c>
      <c r="J638" s="12" t="s">
        <v>955</v>
      </c>
    </row>
    <row r="639" spans="1:10" s="15" customFormat="1" x14ac:dyDescent="0.15">
      <c r="A639" s="11">
        <v>45159</v>
      </c>
      <c r="B639" s="12" t="s">
        <v>533</v>
      </c>
      <c r="C639" s="12" t="s">
        <v>534</v>
      </c>
      <c r="D639" s="13" t="str">
        <f>HYPERLINK("https://www.marklines.com/en/global/10437","FAW Hongqi New Energy Car Plant")</f>
        <v>FAW Hongqi New Energy Car Plant</v>
      </c>
      <c r="E639" s="12" t="s">
        <v>956</v>
      </c>
      <c r="F639" s="12" t="s">
        <v>20</v>
      </c>
      <c r="G639" s="12" t="s">
        <v>27</v>
      </c>
      <c r="H639" s="12" t="s">
        <v>536</v>
      </c>
      <c r="I639" s="14">
        <v>45149</v>
      </c>
      <c r="J639" s="12" t="s">
        <v>955</v>
      </c>
    </row>
    <row r="640" spans="1:10" s="15" customFormat="1" x14ac:dyDescent="0.15">
      <c r="A640" s="11">
        <v>45159</v>
      </c>
      <c r="B640" s="12" t="s">
        <v>679</v>
      </c>
      <c r="C640" s="12" t="s">
        <v>679</v>
      </c>
      <c r="D640" s="13" t="str">
        <f>HYPERLINK("https://www.marklines.com/en/global/3865","Anhui Jianghuai Automobile Group Corp., Ltd. (JAC)")</f>
        <v>Anhui Jianghuai Automobile Group Corp., Ltd. (JAC)</v>
      </c>
      <c r="E640" s="12" t="s">
        <v>680</v>
      </c>
      <c r="F640" s="12" t="s">
        <v>20</v>
      </c>
      <c r="G640" s="12" t="s">
        <v>27</v>
      </c>
      <c r="H640" s="12" t="s">
        <v>326</v>
      </c>
      <c r="I640" s="14">
        <v>45149</v>
      </c>
      <c r="J640" s="12" t="s">
        <v>957</v>
      </c>
    </row>
    <row r="641" spans="1:10" s="15" customFormat="1" x14ac:dyDescent="0.15">
      <c r="A641" s="11">
        <v>45159</v>
      </c>
      <c r="B641" s="12" t="s">
        <v>65</v>
      </c>
      <c r="C641" s="12" t="s">
        <v>65</v>
      </c>
      <c r="D641" s="13" t="str">
        <f>HYPERLINK("https://www.marklines.com/en/global/9303","Hyundai Thanh Cong Vietnam (HTC), Ninh Binh Plant")</f>
        <v>Hyundai Thanh Cong Vietnam (HTC), Ninh Binh Plant</v>
      </c>
      <c r="E641" s="12" t="s">
        <v>958</v>
      </c>
      <c r="F641" s="12" t="s">
        <v>49</v>
      </c>
      <c r="G641" s="12" t="s">
        <v>709</v>
      </c>
      <c r="H641" s="12"/>
      <c r="I641" s="14">
        <v>45138</v>
      </c>
      <c r="J641" s="12" t="s">
        <v>959</v>
      </c>
    </row>
    <row r="642" spans="1:10" s="15" customFormat="1" x14ac:dyDescent="0.15">
      <c r="A642" s="11">
        <v>45157</v>
      </c>
      <c r="B642" s="12" t="s">
        <v>43</v>
      </c>
      <c r="C642" s="12" t="s">
        <v>623</v>
      </c>
      <c r="D642" s="13" t="str">
        <f>HYPERLINK("https://www.marklines.com/en/global/1378","Bentley Motors Ltd., Crewe Plant")</f>
        <v>Bentley Motors Ltd., Crewe Plant</v>
      </c>
      <c r="E642" s="12" t="s">
        <v>624</v>
      </c>
      <c r="F642" s="12" t="s">
        <v>17</v>
      </c>
      <c r="G642" s="12" t="s">
        <v>73</v>
      </c>
      <c r="H642" s="12"/>
      <c r="I642" s="14">
        <v>45156</v>
      </c>
      <c r="J642" s="12" t="s">
        <v>960</v>
      </c>
    </row>
    <row r="643" spans="1:10" s="15" customFormat="1" x14ac:dyDescent="0.15">
      <c r="A643" s="11">
        <v>45157</v>
      </c>
      <c r="B643" s="12" t="s">
        <v>15</v>
      </c>
      <c r="C643" s="12" t="s">
        <v>961</v>
      </c>
      <c r="D643" s="13" t="str">
        <f>HYPERLINK("https://www.marklines.com/en/global/2523","General Motors, Spring Hill Manufacturing (formerly Spring Hill Assembly)")</f>
        <v>General Motors, Spring Hill Manufacturing (formerly Spring Hill Assembly)</v>
      </c>
      <c r="E643" s="12" t="s">
        <v>638</v>
      </c>
      <c r="F643" s="12" t="s">
        <v>16</v>
      </c>
      <c r="G643" s="12" t="s">
        <v>11</v>
      </c>
      <c r="H643" s="12" t="s">
        <v>498</v>
      </c>
      <c r="I643" s="14">
        <v>45155</v>
      </c>
      <c r="J643" s="12" t="s">
        <v>962</v>
      </c>
    </row>
    <row r="644" spans="1:10" s="15" customFormat="1" x14ac:dyDescent="0.15">
      <c r="A644" s="11">
        <v>45157</v>
      </c>
      <c r="B644" s="12" t="s">
        <v>24</v>
      </c>
      <c r="C644" s="12" t="s">
        <v>24</v>
      </c>
      <c r="D644" s="13" t="str">
        <f>HYPERLINK("https://www.marklines.com/en/global/3041","Ford Motor, Flat Rock Assembly Plant")</f>
        <v>Ford Motor, Flat Rock Assembly Plant</v>
      </c>
      <c r="E644" s="12" t="s">
        <v>963</v>
      </c>
      <c r="F644" s="12" t="s">
        <v>16</v>
      </c>
      <c r="G644" s="12" t="s">
        <v>11</v>
      </c>
      <c r="H644" s="12" t="s">
        <v>59</v>
      </c>
      <c r="I644" s="14">
        <v>45155</v>
      </c>
      <c r="J644" s="12" t="s">
        <v>964</v>
      </c>
    </row>
    <row r="645" spans="1:10" s="15" customFormat="1" x14ac:dyDescent="0.15">
      <c r="A645" s="11">
        <v>45157</v>
      </c>
      <c r="B645" s="12" t="s">
        <v>24</v>
      </c>
      <c r="C645" s="12" t="s">
        <v>965</v>
      </c>
      <c r="D645" s="13" t="str">
        <f>HYPERLINK("https://www.marklines.com/en/global/2617","Ford Motor Canada, Oakville Assembly Plant")</f>
        <v>Ford Motor Canada, Oakville Assembly Plant</v>
      </c>
      <c r="E645" s="12" t="s">
        <v>966</v>
      </c>
      <c r="F645" s="12" t="s">
        <v>16</v>
      </c>
      <c r="G645" s="12" t="s">
        <v>82</v>
      </c>
      <c r="H645" s="12"/>
      <c r="I645" s="14">
        <v>45154</v>
      </c>
      <c r="J645" s="12" t="s">
        <v>967</v>
      </c>
    </row>
    <row r="646" spans="1:10" s="15" customFormat="1" x14ac:dyDescent="0.15">
      <c r="A646" s="11">
        <v>45157</v>
      </c>
      <c r="B646" s="12" t="s">
        <v>24</v>
      </c>
      <c r="C646" s="12" t="s">
        <v>965</v>
      </c>
      <c r="D646" s="13" t="str">
        <f>HYPERLINK("https://www.marklines.com/en/global/8742","Changan Ford Automobile Co., Ltd. Hangzhou Branch")</f>
        <v>Changan Ford Automobile Co., Ltd. Hangzhou Branch</v>
      </c>
      <c r="E646" s="12" t="s">
        <v>968</v>
      </c>
      <c r="F646" s="12" t="s">
        <v>20</v>
      </c>
      <c r="G646" s="12" t="s">
        <v>27</v>
      </c>
      <c r="H646" s="12" t="s">
        <v>51</v>
      </c>
      <c r="I646" s="14">
        <v>45154</v>
      </c>
      <c r="J646" s="12" t="s">
        <v>967</v>
      </c>
    </row>
    <row r="647" spans="1:10" s="15" customFormat="1" x14ac:dyDescent="0.15">
      <c r="A647" s="11">
        <v>45157</v>
      </c>
      <c r="B647" s="12" t="s">
        <v>43</v>
      </c>
      <c r="C647" s="12" t="s">
        <v>67</v>
      </c>
      <c r="D647" s="13" t="str">
        <f>HYPERLINK("https://www.marklines.com/en/global/2933","Volkswagen Brazil, Sao Jose dos Pinhais Plant")</f>
        <v>Volkswagen Brazil, Sao Jose dos Pinhais Plant</v>
      </c>
      <c r="E647" s="12" t="s">
        <v>394</v>
      </c>
      <c r="F647" s="12" t="s">
        <v>74</v>
      </c>
      <c r="G647" s="12" t="s">
        <v>75</v>
      </c>
      <c r="H647" s="12"/>
      <c r="I647" s="14">
        <v>45154</v>
      </c>
      <c r="J647" s="12" t="s">
        <v>969</v>
      </c>
    </row>
    <row r="648" spans="1:10" s="15" customFormat="1" x14ac:dyDescent="0.15">
      <c r="A648" s="11">
        <v>45156</v>
      </c>
      <c r="B648" s="12" t="s">
        <v>679</v>
      </c>
      <c r="C648" s="12" t="s">
        <v>679</v>
      </c>
      <c r="D648" s="13" t="str">
        <f>HYPERLINK("https://www.marklines.com/en/global/9102","Yangzhou Jianghuai Light Vehicle Co., Ltd.")</f>
        <v>Yangzhou Jianghuai Light Vehicle Co., Ltd.</v>
      </c>
      <c r="E648" s="12" t="s">
        <v>970</v>
      </c>
      <c r="F648" s="12" t="s">
        <v>20</v>
      </c>
      <c r="G648" s="12" t="s">
        <v>27</v>
      </c>
      <c r="H648" s="12" t="s">
        <v>52</v>
      </c>
      <c r="I648" s="14">
        <v>45156</v>
      </c>
      <c r="J648" s="12" t="s">
        <v>971</v>
      </c>
    </row>
    <row r="649" spans="1:10" s="15" customFormat="1" x14ac:dyDescent="0.15">
      <c r="A649" s="11">
        <v>45156</v>
      </c>
      <c r="B649" s="12" t="s">
        <v>100</v>
      </c>
      <c r="C649" s="12" t="s">
        <v>100</v>
      </c>
      <c r="D649" s="13" t="str">
        <f>HYPERLINK("https://www.marklines.com/en/global/3187","Nissan North America, Canton Plant")</f>
        <v>Nissan North America, Canton Plant</v>
      </c>
      <c r="E649" s="12" t="s">
        <v>519</v>
      </c>
      <c r="F649" s="12" t="s">
        <v>16</v>
      </c>
      <c r="G649" s="12" t="s">
        <v>11</v>
      </c>
      <c r="H649" s="12" t="s">
        <v>520</v>
      </c>
      <c r="I649" s="14">
        <v>45155</v>
      </c>
      <c r="J649" s="12" t="s">
        <v>972</v>
      </c>
    </row>
    <row r="650" spans="1:10" s="15" customFormat="1" x14ac:dyDescent="0.15">
      <c r="A650" s="11">
        <v>45156</v>
      </c>
      <c r="B650" s="12" t="s">
        <v>65</v>
      </c>
      <c r="C650" s="12" t="s">
        <v>65</v>
      </c>
      <c r="D650" s="13" t="str">
        <f>HYPERLINK("https://www.marklines.com/en/global/3141","Hyundai Motor Manufacturing Alabama, LLC, Montgomery Plant")</f>
        <v>Hyundai Motor Manufacturing Alabama, LLC, Montgomery Plant</v>
      </c>
      <c r="E650" s="12" t="s">
        <v>973</v>
      </c>
      <c r="F650" s="12" t="s">
        <v>16</v>
      </c>
      <c r="G650" s="12" t="s">
        <v>11</v>
      </c>
      <c r="H650" s="12" t="s">
        <v>974</v>
      </c>
      <c r="I650" s="14">
        <v>45154</v>
      </c>
      <c r="J650" s="12" t="s">
        <v>975</v>
      </c>
    </row>
    <row r="651" spans="1:10" s="15" customFormat="1" x14ac:dyDescent="0.15">
      <c r="A651" s="11">
        <v>45156</v>
      </c>
      <c r="B651" s="12" t="s">
        <v>22</v>
      </c>
      <c r="C651" s="12" t="s">
        <v>22</v>
      </c>
      <c r="D651" s="13" t="str">
        <f>HYPERLINK("https://www.marklines.com/en/global/393","Toyota Motor Kyushu, Miyata Plant")</f>
        <v>Toyota Motor Kyushu, Miyata Plant</v>
      </c>
      <c r="E651" s="12" t="s">
        <v>421</v>
      </c>
      <c r="F651" s="12" t="s">
        <v>20</v>
      </c>
      <c r="G651" s="12" t="s">
        <v>23</v>
      </c>
      <c r="H651" s="12" t="s">
        <v>418</v>
      </c>
      <c r="I651" s="14">
        <v>45148</v>
      </c>
      <c r="J651" s="12" t="s">
        <v>976</v>
      </c>
    </row>
    <row r="652" spans="1:10" s="15" customFormat="1" x14ac:dyDescent="0.15">
      <c r="A652" s="11">
        <v>45156</v>
      </c>
      <c r="B652" s="12" t="s">
        <v>22</v>
      </c>
      <c r="C652" s="12" t="s">
        <v>554</v>
      </c>
      <c r="D652" s="13" t="str">
        <f>HYPERLINK("https://www.marklines.com/en/global/393","Toyota Motor Kyushu, Miyata Plant")</f>
        <v>Toyota Motor Kyushu, Miyata Plant</v>
      </c>
      <c r="E652" s="12" t="s">
        <v>421</v>
      </c>
      <c r="F652" s="12" t="s">
        <v>20</v>
      </c>
      <c r="G652" s="12" t="s">
        <v>23</v>
      </c>
      <c r="H652" s="12" t="s">
        <v>418</v>
      </c>
      <c r="I652" s="14">
        <v>45148</v>
      </c>
      <c r="J652" s="12" t="s">
        <v>976</v>
      </c>
    </row>
    <row r="653" spans="1:10" s="15" customFormat="1" x14ac:dyDescent="0.15">
      <c r="A653" s="11">
        <v>45156</v>
      </c>
      <c r="B653" s="12" t="s">
        <v>15</v>
      </c>
      <c r="C653" s="12" t="s">
        <v>15</v>
      </c>
      <c r="D653" s="13" t="str">
        <f>HYPERLINK("https://www.marklines.com/en/global/27","Honda Taiwan Motor, Pingtung Plant")</f>
        <v>Honda Taiwan Motor, Pingtung Plant</v>
      </c>
      <c r="E653" s="12" t="s">
        <v>786</v>
      </c>
      <c r="F653" s="12" t="s">
        <v>20</v>
      </c>
      <c r="G653" s="12" t="s">
        <v>787</v>
      </c>
      <c r="H653" s="12"/>
      <c r="I653" s="14">
        <v>45142</v>
      </c>
      <c r="J653" s="12" t="s">
        <v>977</v>
      </c>
    </row>
    <row r="654" spans="1:10" s="15" customFormat="1" x14ac:dyDescent="0.15">
      <c r="A654" s="11">
        <v>45156</v>
      </c>
      <c r="B654" s="12" t="s">
        <v>100</v>
      </c>
      <c r="C654" s="12" t="s">
        <v>100</v>
      </c>
      <c r="D654" s="13" t="str">
        <f>HYPERLINK("https://www.marklines.com/en/global/55","Yulon Motor, Sanyi Plant")</f>
        <v>Yulon Motor, Sanyi Plant</v>
      </c>
      <c r="E654" s="12" t="s">
        <v>978</v>
      </c>
      <c r="F654" s="12" t="s">
        <v>20</v>
      </c>
      <c r="G654" s="12" t="s">
        <v>787</v>
      </c>
      <c r="H654" s="12"/>
      <c r="I654" s="14">
        <v>45140</v>
      </c>
      <c r="J654" s="12" t="s">
        <v>979</v>
      </c>
    </row>
    <row r="655" spans="1:10" s="15" customFormat="1" x14ac:dyDescent="0.15">
      <c r="A655" s="11">
        <v>45156</v>
      </c>
      <c r="B655" s="12" t="s">
        <v>459</v>
      </c>
      <c r="C655" s="12" t="s">
        <v>459</v>
      </c>
      <c r="D655" s="13" t="str">
        <f>HYPERLINK("https://www.marklines.com/en/global/53","Yulon Motor Co., Ltd.")</f>
        <v>Yulon Motor Co., Ltd.</v>
      </c>
      <c r="E655" s="12" t="s">
        <v>980</v>
      </c>
      <c r="F655" s="12" t="s">
        <v>20</v>
      </c>
      <c r="G655" s="12" t="s">
        <v>787</v>
      </c>
      <c r="H655" s="12"/>
      <c r="I655" s="14">
        <v>45140</v>
      </c>
      <c r="J655" s="12" t="s">
        <v>979</v>
      </c>
    </row>
    <row r="656" spans="1:10" s="15" customFormat="1" x14ac:dyDescent="0.15">
      <c r="A656" s="11">
        <v>45155</v>
      </c>
      <c r="B656" s="12" t="s">
        <v>43</v>
      </c>
      <c r="C656" s="12" t="s">
        <v>67</v>
      </c>
      <c r="D656" s="13" t="str">
        <f>HYPERLINK("https://www.marklines.com/en/global/10365","Northvolt Ett, Skellefteå Gigafactory")</f>
        <v>Northvolt Ett, Skellefteå Gigafactory</v>
      </c>
      <c r="E656" s="12" t="s">
        <v>981</v>
      </c>
      <c r="F656" s="12" t="s">
        <v>17</v>
      </c>
      <c r="G656" s="12" t="s">
        <v>80</v>
      </c>
      <c r="H656" s="12"/>
      <c r="I656" s="14">
        <v>45155</v>
      </c>
      <c r="J656" s="12" t="s">
        <v>982</v>
      </c>
    </row>
    <row r="657" spans="1:10" s="15" customFormat="1" x14ac:dyDescent="0.15">
      <c r="A657" s="11">
        <v>45155</v>
      </c>
      <c r="B657" s="12" t="s">
        <v>733</v>
      </c>
      <c r="C657" s="12" t="s">
        <v>983</v>
      </c>
      <c r="D657" s="13" t="str">
        <f>HYPERLINK("https://www.marklines.com/en/global/8598","Jaguar Land Rover, Electric Propulsion Manufacturing Centre (formerly Engine Manufacturing Centre (EMC))")</f>
        <v>Jaguar Land Rover, Electric Propulsion Manufacturing Centre (formerly Engine Manufacturing Centre (EMC))</v>
      </c>
      <c r="E657" s="12" t="s">
        <v>984</v>
      </c>
      <c r="F657" s="12" t="s">
        <v>17</v>
      </c>
      <c r="G657" s="12" t="s">
        <v>73</v>
      </c>
      <c r="H657" s="12"/>
      <c r="I657" s="14">
        <v>45154</v>
      </c>
      <c r="J657" s="12" t="s">
        <v>985</v>
      </c>
    </row>
    <row r="658" spans="1:10" s="15" customFormat="1" x14ac:dyDescent="0.15">
      <c r="A658" s="11">
        <v>45155</v>
      </c>
      <c r="B658" s="12" t="s">
        <v>733</v>
      </c>
      <c r="C658" s="12" t="s">
        <v>983</v>
      </c>
      <c r="D658" s="13" t="str">
        <f>HYPERLINK("https://www.marklines.com/en/global/2337","Jaguar Land Rover, Solihull Plant")</f>
        <v>Jaguar Land Rover, Solihull Plant</v>
      </c>
      <c r="E658" s="12" t="s">
        <v>986</v>
      </c>
      <c r="F658" s="12" t="s">
        <v>17</v>
      </c>
      <c r="G658" s="12" t="s">
        <v>73</v>
      </c>
      <c r="H658" s="12"/>
      <c r="I658" s="14">
        <v>45154</v>
      </c>
      <c r="J658" s="12" t="s">
        <v>985</v>
      </c>
    </row>
    <row r="659" spans="1:10" s="15" customFormat="1" x14ac:dyDescent="0.15">
      <c r="A659" s="11">
        <v>45155</v>
      </c>
      <c r="B659" s="12" t="s">
        <v>733</v>
      </c>
      <c r="C659" s="12" t="s">
        <v>983</v>
      </c>
      <c r="D659" s="13" t="str">
        <f>HYPERLINK("https://www.marklines.com/en/global/2325","Jaguar Land Rover Automotive Plc")</f>
        <v>Jaguar Land Rover Automotive Plc</v>
      </c>
      <c r="E659" s="12" t="s">
        <v>987</v>
      </c>
      <c r="F659" s="12" t="s">
        <v>17</v>
      </c>
      <c r="G659" s="12" t="s">
        <v>73</v>
      </c>
      <c r="H659" s="12"/>
      <c r="I659" s="14">
        <v>45154</v>
      </c>
      <c r="J659" s="12" t="s">
        <v>985</v>
      </c>
    </row>
    <row r="660" spans="1:10" s="15" customFormat="1" x14ac:dyDescent="0.15">
      <c r="A660" s="11">
        <v>45155</v>
      </c>
      <c r="B660" s="12" t="s">
        <v>368</v>
      </c>
      <c r="C660" s="12" t="s">
        <v>368</v>
      </c>
      <c r="D660" s="13" t="str">
        <f>HYPERLINK("https://www.marklines.com/en/global/671","ZAO AvtoTOR, Kaliningrad Plant")</f>
        <v>ZAO AvtoTOR, Kaliningrad Plant</v>
      </c>
      <c r="E660" s="12" t="s">
        <v>33</v>
      </c>
      <c r="F660" s="12" t="s">
        <v>18</v>
      </c>
      <c r="G660" s="12" t="s">
        <v>14</v>
      </c>
      <c r="H660" s="12"/>
      <c r="I660" s="14">
        <v>45154</v>
      </c>
      <c r="J660" s="12" t="s">
        <v>988</v>
      </c>
    </row>
    <row r="661" spans="1:10" s="15" customFormat="1" x14ac:dyDescent="0.15">
      <c r="A661" s="11">
        <v>45155</v>
      </c>
      <c r="B661" s="12" t="s">
        <v>65</v>
      </c>
      <c r="C661" s="12" t="s">
        <v>65</v>
      </c>
      <c r="D661" s="13" t="str">
        <f>HYPERLINK("https://www.marklines.com/en/global/2435","Hyundai Motor, Ulsan Plant")</f>
        <v>Hyundai Motor, Ulsan Plant</v>
      </c>
      <c r="E661" s="12" t="s">
        <v>340</v>
      </c>
      <c r="F661" s="12" t="s">
        <v>20</v>
      </c>
      <c r="G661" s="12" t="s">
        <v>341</v>
      </c>
      <c r="H661" s="12"/>
      <c r="I661" s="14">
        <v>45154</v>
      </c>
      <c r="J661" s="12" t="s">
        <v>989</v>
      </c>
    </row>
    <row r="662" spans="1:10" s="15" customFormat="1" x14ac:dyDescent="0.15">
      <c r="A662" s="11">
        <v>45155</v>
      </c>
      <c r="B662" s="12" t="s">
        <v>990</v>
      </c>
      <c r="C662" s="12" t="s">
        <v>990</v>
      </c>
      <c r="D662" s="13" t="str">
        <f>HYPERLINK("https://www.marklines.com/en/global/9530","Chongqing Li Auto Automobile Co., Ltd. Changzhou Branch (formerly Jiangsu CHJ Automobile Co., Ltd.)")</f>
        <v>Chongqing Li Auto Automobile Co., Ltd. Changzhou Branch (formerly Jiangsu CHJ Automobile Co., Ltd.)</v>
      </c>
      <c r="E662" s="12" t="s">
        <v>991</v>
      </c>
      <c r="F662" s="12" t="s">
        <v>20</v>
      </c>
      <c r="G662" s="12" t="s">
        <v>27</v>
      </c>
      <c r="H662" s="12" t="s">
        <v>52</v>
      </c>
      <c r="I662" s="14">
        <v>45154</v>
      </c>
      <c r="J662" s="12" t="s">
        <v>992</v>
      </c>
    </row>
    <row r="663" spans="1:10" s="15" customFormat="1" x14ac:dyDescent="0.15">
      <c r="A663" s="11">
        <v>45155</v>
      </c>
      <c r="B663" s="12" t="s">
        <v>833</v>
      </c>
      <c r="C663" s="12" t="s">
        <v>993</v>
      </c>
      <c r="D663" s="13" t="str">
        <f>HYPERLINK("https://www.marklines.com/en/global/10563","DFSK Motor Co., Ltd Shapingba Branch")</f>
        <v>DFSK Motor Co., Ltd Shapingba Branch</v>
      </c>
      <c r="E663" s="12" t="s">
        <v>994</v>
      </c>
      <c r="F663" s="12" t="s">
        <v>20</v>
      </c>
      <c r="G663" s="12" t="s">
        <v>27</v>
      </c>
      <c r="H663" s="12" t="s">
        <v>30</v>
      </c>
      <c r="I663" s="14">
        <v>45154</v>
      </c>
      <c r="J663" s="12" t="s">
        <v>992</v>
      </c>
    </row>
    <row r="664" spans="1:10" s="15" customFormat="1" x14ac:dyDescent="0.15">
      <c r="A664" s="11">
        <v>45155</v>
      </c>
      <c r="B664" s="12" t="s">
        <v>833</v>
      </c>
      <c r="C664" s="12" t="s">
        <v>993</v>
      </c>
      <c r="D664" s="13" t="str">
        <f>HYPERLINK("https://www.marklines.com/en/global/9540","SERES Automobile Co., Ltd. (formerly Chongqing Jinkang New Energy Automobile Co., Ltd.)")</f>
        <v>SERES Automobile Co., Ltd. (formerly Chongqing Jinkang New Energy Automobile Co., Ltd.)</v>
      </c>
      <c r="E664" s="12" t="s">
        <v>995</v>
      </c>
      <c r="F664" s="12" t="s">
        <v>20</v>
      </c>
      <c r="G664" s="12" t="s">
        <v>27</v>
      </c>
      <c r="H664" s="12" t="s">
        <v>30</v>
      </c>
      <c r="I664" s="14">
        <v>45154</v>
      </c>
      <c r="J664" s="12" t="s">
        <v>992</v>
      </c>
    </row>
    <row r="665" spans="1:10" s="15" customFormat="1" x14ac:dyDescent="0.15">
      <c r="A665" s="11">
        <v>45155</v>
      </c>
      <c r="B665" s="12" t="s">
        <v>440</v>
      </c>
      <c r="C665" s="12" t="s">
        <v>440</v>
      </c>
      <c r="D665" s="13" t="str">
        <f>HYPERLINK("https://www.marklines.com/en/global/10687","Canoo, Oklahoma City Vehicle Manufacturing Facility (tentative name)")</f>
        <v>Canoo, Oklahoma City Vehicle Manufacturing Facility (tentative name)</v>
      </c>
      <c r="E665" s="12" t="s">
        <v>996</v>
      </c>
      <c r="F665" s="12" t="s">
        <v>16</v>
      </c>
      <c r="G665" s="12" t="s">
        <v>11</v>
      </c>
      <c r="H665" s="12" t="s">
        <v>442</v>
      </c>
      <c r="I665" s="14">
        <v>45154</v>
      </c>
      <c r="J665" s="12" t="s">
        <v>997</v>
      </c>
    </row>
    <row r="666" spans="1:10" s="15" customFormat="1" x14ac:dyDescent="0.15">
      <c r="A666" s="11">
        <v>45155</v>
      </c>
      <c r="B666" s="12" t="s">
        <v>440</v>
      </c>
      <c r="C666" s="12" t="s">
        <v>440</v>
      </c>
      <c r="D666" s="13" t="str">
        <f>HYPERLINK("https://www.marklines.com/en/global/10491","Canoo, Pryor Assembly Plant")</f>
        <v>Canoo, Pryor Assembly Plant</v>
      </c>
      <c r="E666" s="12" t="s">
        <v>441</v>
      </c>
      <c r="F666" s="12" t="s">
        <v>16</v>
      </c>
      <c r="G666" s="12" t="s">
        <v>11</v>
      </c>
      <c r="H666" s="12" t="s">
        <v>442</v>
      </c>
      <c r="I666" s="14">
        <v>45154</v>
      </c>
      <c r="J666" s="12" t="s">
        <v>997</v>
      </c>
    </row>
    <row r="667" spans="1:10" s="15" customFormat="1" x14ac:dyDescent="0.15">
      <c r="A667" s="11">
        <v>45155</v>
      </c>
      <c r="B667" s="12" t="s">
        <v>998</v>
      </c>
      <c r="C667" s="12" t="s">
        <v>998</v>
      </c>
      <c r="D667" s="13" t="str">
        <f>HYPERLINK("https://www.marklines.com/en/global/9603","Faraday Future Intelligent Electric Inc., Hanford Plant (FF ieFactory California)")</f>
        <v>Faraday Future Intelligent Electric Inc., Hanford Plant (FF ieFactory California)</v>
      </c>
      <c r="E667" s="12" t="s">
        <v>999</v>
      </c>
      <c r="F667" s="12" t="s">
        <v>16</v>
      </c>
      <c r="G667" s="12" t="s">
        <v>11</v>
      </c>
      <c r="H667" s="12" t="s">
        <v>38</v>
      </c>
      <c r="I667" s="14">
        <v>45153</v>
      </c>
      <c r="J667" s="12" t="s">
        <v>1000</v>
      </c>
    </row>
    <row r="668" spans="1:10" s="15" customFormat="1" x14ac:dyDescent="0.15">
      <c r="A668" s="11">
        <v>45155</v>
      </c>
      <c r="B668" s="12" t="s">
        <v>43</v>
      </c>
      <c r="C668" s="12" t="s">
        <v>67</v>
      </c>
      <c r="D668" s="13" t="str">
        <f>HYPERLINK("https://www.marklines.com/en/global/655","Volkswagen of South Africa (Pty) Ltd., Kariega Plant (formerly Uitenhage Plant)")</f>
        <v>Volkswagen of South Africa (Pty) Ltd., Kariega Plant (formerly Uitenhage Plant)</v>
      </c>
      <c r="E668" s="12" t="s">
        <v>1001</v>
      </c>
      <c r="F668" s="12" t="s">
        <v>164</v>
      </c>
      <c r="G668" s="12" t="s">
        <v>165</v>
      </c>
      <c r="H668" s="12"/>
      <c r="I668" s="14">
        <v>45152</v>
      </c>
      <c r="J668" s="12" t="s">
        <v>1002</v>
      </c>
    </row>
    <row r="669" spans="1:10" s="15" customFormat="1" x14ac:dyDescent="0.15">
      <c r="A669" s="11">
        <v>45155</v>
      </c>
      <c r="B669" s="12" t="s">
        <v>28</v>
      </c>
      <c r="C669" s="12" t="s">
        <v>173</v>
      </c>
      <c r="D669" s="13" t="str">
        <f>HYPERLINK("https://www.marklines.com/en/global/9841","PT. Mitsubishi Krama Yudha Motors and Manufacturing (MKM)")</f>
        <v>PT. Mitsubishi Krama Yudha Motors and Manufacturing (MKM)</v>
      </c>
      <c r="E669" s="12" t="s">
        <v>1003</v>
      </c>
      <c r="F669" s="12" t="s">
        <v>49</v>
      </c>
      <c r="G669" s="12" t="s">
        <v>387</v>
      </c>
      <c r="H669" s="12"/>
      <c r="I669" s="14">
        <v>45152</v>
      </c>
      <c r="J669" s="12" t="s">
        <v>1004</v>
      </c>
    </row>
    <row r="670" spans="1:10" s="15" customFormat="1" x14ac:dyDescent="0.15">
      <c r="A670" s="11">
        <v>45155</v>
      </c>
      <c r="B670" s="12" t="s">
        <v>28</v>
      </c>
      <c r="C670" s="12" t="s">
        <v>173</v>
      </c>
      <c r="D670" s="13" t="str">
        <f>HYPERLINK("https://www.marklines.com/en/global/325","P.T. Krama Yudha Ratu Motors (KRM), Jakarta Plant")</f>
        <v>P.T. Krama Yudha Ratu Motors (KRM), Jakarta Plant</v>
      </c>
      <c r="E670" s="12" t="s">
        <v>1005</v>
      </c>
      <c r="F670" s="12" t="s">
        <v>49</v>
      </c>
      <c r="G670" s="12" t="s">
        <v>387</v>
      </c>
      <c r="H670" s="12"/>
      <c r="I670" s="14">
        <v>45152</v>
      </c>
      <c r="J670" s="12" t="s">
        <v>1004</v>
      </c>
    </row>
    <row r="671" spans="1:10" s="15" customFormat="1" x14ac:dyDescent="0.15">
      <c r="A671" s="11">
        <v>45154</v>
      </c>
      <c r="B671" s="12" t="s">
        <v>12</v>
      </c>
      <c r="C671" s="12" t="s">
        <v>19</v>
      </c>
      <c r="D671" s="13" t="str">
        <f>HYPERLINK("https://www.marklines.com/en/global/1157","General Motors India Pvt. Ltd.")</f>
        <v>General Motors India Pvt. Ltd.</v>
      </c>
      <c r="E671" s="12" t="s">
        <v>1006</v>
      </c>
      <c r="F671" s="12" t="s">
        <v>25</v>
      </c>
      <c r="G671" s="12" t="s">
        <v>26</v>
      </c>
      <c r="H671" s="12" t="s">
        <v>95</v>
      </c>
      <c r="I671" s="14">
        <v>45154</v>
      </c>
      <c r="J671" s="12" t="s">
        <v>1007</v>
      </c>
    </row>
    <row r="672" spans="1:10" s="15" customFormat="1" x14ac:dyDescent="0.15">
      <c r="A672" s="11">
        <v>45154</v>
      </c>
      <c r="B672" s="12" t="s">
        <v>65</v>
      </c>
      <c r="C672" s="12" t="s">
        <v>65</v>
      </c>
      <c r="D672" s="13" t="str">
        <f>HYPERLINK("https://www.marklines.com/en/global/1175","Hyundai Motor India Ltd. (HMIL)")</f>
        <v>Hyundai Motor India Ltd. (HMIL)</v>
      </c>
      <c r="E672" s="12" t="s">
        <v>1008</v>
      </c>
      <c r="F672" s="12" t="s">
        <v>25</v>
      </c>
      <c r="G672" s="12" t="s">
        <v>26</v>
      </c>
      <c r="H672" s="12" t="s">
        <v>635</v>
      </c>
      <c r="I672" s="14">
        <v>45154</v>
      </c>
      <c r="J672" s="12" t="s">
        <v>1007</v>
      </c>
    </row>
    <row r="673" spans="1:10" s="15" customFormat="1" x14ac:dyDescent="0.15">
      <c r="A673" s="11">
        <v>45154</v>
      </c>
      <c r="B673" s="12" t="s">
        <v>65</v>
      </c>
      <c r="C673" s="12" t="s">
        <v>65</v>
      </c>
      <c r="D673" s="13" t="str">
        <f>HYPERLINK("https://www.marklines.com/en/global/1177","Hyundai Motor India (HMIL), Chennai Plant")</f>
        <v>Hyundai Motor India (HMIL), Chennai Plant</v>
      </c>
      <c r="E673" s="12" t="s">
        <v>1009</v>
      </c>
      <c r="F673" s="12" t="s">
        <v>25</v>
      </c>
      <c r="G673" s="12" t="s">
        <v>26</v>
      </c>
      <c r="H673" s="12" t="s">
        <v>635</v>
      </c>
      <c r="I673" s="14">
        <v>45154</v>
      </c>
      <c r="J673" s="12" t="s">
        <v>1007</v>
      </c>
    </row>
    <row r="674" spans="1:10" s="15" customFormat="1" x14ac:dyDescent="0.15">
      <c r="A674" s="11">
        <v>45154</v>
      </c>
      <c r="B674" s="12" t="s">
        <v>65</v>
      </c>
      <c r="C674" s="12" t="s">
        <v>65</v>
      </c>
      <c r="D674" s="13" t="str">
        <f>HYPERLINK("https://www.marklines.com/en/global/1161","former General Motors India, Talegaon Plant")</f>
        <v>former General Motors India, Talegaon Plant</v>
      </c>
      <c r="E674" s="12" t="s">
        <v>1010</v>
      </c>
      <c r="F674" s="12" t="s">
        <v>25</v>
      </c>
      <c r="G674" s="12" t="s">
        <v>26</v>
      </c>
      <c r="H674" s="12" t="s">
        <v>736</v>
      </c>
      <c r="I674" s="14">
        <v>45154</v>
      </c>
      <c r="J674" s="12" t="s">
        <v>1007</v>
      </c>
    </row>
    <row r="675" spans="1:10" s="15" customFormat="1" x14ac:dyDescent="0.15">
      <c r="A675" s="11">
        <v>45154</v>
      </c>
      <c r="B675" s="12" t="s">
        <v>514</v>
      </c>
      <c r="C675" s="12" t="s">
        <v>515</v>
      </c>
      <c r="D675" s="13" t="str">
        <f>HYPERLINK("https://www.marklines.com/en/global/10565","VinFast Manufacturing US- North Carolina plant")</f>
        <v>VinFast Manufacturing US- North Carolina plant</v>
      </c>
      <c r="E675" s="12" t="s">
        <v>516</v>
      </c>
      <c r="F675" s="12" t="s">
        <v>16</v>
      </c>
      <c r="G675" s="12" t="s">
        <v>11</v>
      </c>
      <c r="H675" s="12" t="s">
        <v>517</v>
      </c>
      <c r="I675" s="14">
        <v>45153</v>
      </c>
      <c r="J675" s="12" t="s">
        <v>1011</v>
      </c>
    </row>
    <row r="676" spans="1:10" s="15" customFormat="1" x14ac:dyDescent="0.15">
      <c r="A676" s="11">
        <v>45154</v>
      </c>
      <c r="B676" s="12" t="s">
        <v>22</v>
      </c>
      <c r="C676" s="12" t="s">
        <v>22</v>
      </c>
      <c r="D676" s="13" t="str">
        <f>HYPERLINK("https://www.marklines.com/en/global/10028","TOYOTA GAZOO Racing Europe GmbH (TGR-E), Toyota Technical Center TMG (Köln)")</f>
        <v>TOYOTA GAZOO Racing Europe GmbH (TGR-E), Toyota Technical Center TMG (Köln)</v>
      </c>
      <c r="E676" s="12" t="s">
        <v>1012</v>
      </c>
      <c r="F676" s="12" t="s">
        <v>17</v>
      </c>
      <c r="G676" s="12" t="s">
        <v>21</v>
      </c>
      <c r="H676" s="12"/>
      <c r="I676" s="14">
        <v>45152</v>
      </c>
      <c r="J676" s="12" t="s">
        <v>1013</v>
      </c>
    </row>
    <row r="677" spans="1:10" s="15" customFormat="1" x14ac:dyDescent="0.15">
      <c r="A677" s="11">
        <v>45154</v>
      </c>
      <c r="B677" s="12" t="s">
        <v>62</v>
      </c>
      <c r="C677" s="12" t="s">
        <v>772</v>
      </c>
      <c r="D677" s="13" t="str">
        <f>HYPERLINK("https://www.marklines.com/en/global/3879","Chery Automobile Co., Ltd. ")</f>
        <v xml:space="preserve">Chery Automobile Co., Ltd. </v>
      </c>
      <c r="E677" s="12" t="s">
        <v>773</v>
      </c>
      <c r="F677" s="12" t="s">
        <v>20</v>
      </c>
      <c r="G677" s="12" t="s">
        <v>27</v>
      </c>
      <c r="H677" s="12" t="s">
        <v>326</v>
      </c>
      <c r="I677" s="14">
        <v>45152</v>
      </c>
      <c r="J677" s="12" t="s">
        <v>1014</v>
      </c>
    </row>
    <row r="678" spans="1:10" s="15" customFormat="1" x14ac:dyDescent="0.15">
      <c r="A678" s="11">
        <v>45154</v>
      </c>
      <c r="B678" s="12" t="s">
        <v>63</v>
      </c>
      <c r="C678" s="12" t="s">
        <v>63</v>
      </c>
      <c r="D678" s="13" t="str">
        <f>HYPERLINK("https://www.marklines.com/en/global/671","ZAO AvtoTOR, Kaliningrad Plant")</f>
        <v>ZAO AvtoTOR, Kaliningrad Plant</v>
      </c>
      <c r="E678" s="12" t="s">
        <v>33</v>
      </c>
      <c r="F678" s="12" t="s">
        <v>18</v>
      </c>
      <c r="G678" s="12" t="s">
        <v>14</v>
      </c>
      <c r="H678" s="12"/>
      <c r="I678" s="14">
        <v>45152</v>
      </c>
      <c r="J678" s="12" t="s">
        <v>1015</v>
      </c>
    </row>
    <row r="679" spans="1:10" s="15" customFormat="1" x14ac:dyDescent="0.15">
      <c r="A679" s="11">
        <v>45154</v>
      </c>
      <c r="B679" s="12" t="s">
        <v>34</v>
      </c>
      <c r="C679" s="12" t="s">
        <v>34</v>
      </c>
      <c r="D679" s="13" t="str">
        <f>HYPERLINK("https://www.marklines.com/en/global/3283","Tesla, Fremont Plant")</f>
        <v>Tesla, Fremont Plant</v>
      </c>
      <c r="E679" s="12" t="s">
        <v>152</v>
      </c>
      <c r="F679" s="12" t="s">
        <v>16</v>
      </c>
      <c r="G679" s="12" t="s">
        <v>11</v>
      </c>
      <c r="H679" s="12" t="s">
        <v>38</v>
      </c>
      <c r="I679" s="14">
        <v>45152</v>
      </c>
      <c r="J679" s="12" t="s">
        <v>1016</v>
      </c>
    </row>
    <row r="680" spans="1:10" s="15" customFormat="1" x14ac:dyDescent="0.15">
      <c r="A680" s="11">
        <v>45154</v>
      </c>
      <c r="B680" s="12" t="s">
        <v>133</v>
      </c>
      <c r="C680" s="12" t="s">
        <v>134</v>
      </c>
      <c r="D680" s="13" t="str">
        <f>HYPERLINK("https://www.marklines.com/en/global/2655","Stellantis, FCA US, Toledo Assembly Complex (Toledo Supplier Park)")</f>
        <v>Stellantis, FCA US, Toledo Assembly Complex (Toledo Supplier Park)</v>
      </c>
      <c r="E680" s="12" t="s">
        <v>1017</v>
      </c>
      <c r="F680" s="12" t="s">
        <v>16</v>
      </c>
      <c r="G680" s="12" t="s">
        <v>11</v>
      </c>
      <c r="H680" s="12" t="s">
        <v>587</v>
      </c>
      <c r="I680" s="14">
        <v>45149</v>
      </c>
      <c r="J680" s="12" t="s">
        <v>1018</v>
      </c>
    </row>
    <row r="681" spans="1:10" s="15" customFormat="1" x14ac:dyDescent="0.15">
      <c r="A681" s="11">
        <v>45154</v>
      </c>
      <c r="B681" s="12" t="s">
        <v>24</v>
      </c>
      <c r="C681" s="12" t="s">
        <v>24</v>
      </c>
      <c r="D681" s="13" t="str">
        <f>HYPERLINK("https://www.marklines.com/en/global/4167","Changan Ford Automobile Co., Ltd.")</f>
        <v>Changan Ford Automobile Co., Ltd.</v>
      </c>
      <c r="E681" s="12" t="s">
        <v>751</v>
      </c>
      <c r="F681" s="12" t="s">
        <v>20</v>
      </c>
      <c r="G681" s="12" t="s">
        <v>27</v>
      </c>
      <c r="H681" s="12" t="s">
        <v>30</v>
      </c>
      <c r="I681" s="14">
        <v>45149</v>
      </c>
      <c r="J681" s="12" t="s">
        <v>1019</v>
      </c>
    </row>
    <row r="682" spans="1:10" s="15" customFormat="1" x14ac:dyDescent="0.15">
      <c r="A682" s="11">
        <v>45154</v>
      </c>
      <c r="B682" s="12" t="s">
        <v>153</v>
      </c>
      <c r="C682" s="12" t="s">
        <v>153</v>
      </c>
      <c r="D682" s="13" t="str">
        <f>HYPERLINK("https://www.marklines.com/en/global/4167","Changan Ford Automobile Co., Ltd.")</f>
        <v>Changan Ford Automobile Co., Ltd.</v>
      </c>
      <c r="E682" s="12" t="s">
        <v>751</v>
      </c>
      <c r="F682" s="12" t="s">
        <v>20</v>
      </c>
      <c r="G682" s="12" t="s">
        <v>27</v>
      </c>
      <c r="H682" s="12" t="s">
        <v>30</v>
      </c>
      <c r="I682" s="14">
        <v>45149</v>
      </c>
      <c r="J682" s="12" t="s">
        <v>1019</v>
      </c>
    </row>
    <row r="683" spans="1:10" s="15" customFormat="1" x14ac:dyDescent="0.15">
      <c r="A683" s="11">
        <v>45154</v>
      </c>
      <c r="B683" s="12" t="s">
        <v>153</v>
      </c>
      <c r="C683" s="12" t="s">
        <v>153</v>
      </c>
      <c r="D683" s="13" t="str">
        <f>HYPERLINK("https://www.marklines.com/en/global/4163","Chongqing Changan Automobile Co., Ltd.")</f>
        <v>Chongqing Changan Automobile Co., Ltd.</v>
      </c>
      <c r="E683" s="12" t="s">
        <v>1020</v>
      </c>
      <c r="F683" s="12" t="s">
        <v>20</v>
      </c>
      <c r="G683" s="12" t="s">
        <v>27</v>
      </c>
      <c r="H683" s="12" t="s">
        <v>30</v>
      </c>
      <c r="I683" s="14">
        <v>45149</v>
      </c>
      <c r="J683" s="12" t="s">
        <v>1019</v>
      </c>
    </row>
    <row r="684" spans="1:10" s="15" customFormat="1" x14ac:dyDescent="0.15">
      <c r="A684" s="11">
        <v>45154</v>
      </c>
      <c r="B684" s="12" t="s">
        <v>833</v>
      </c>
      <c r="C684" s="12" t="s">
        <v>833</v>
      </c>
      <c r="D684" s="13" t="str">
        <f>HYPERLINK("https://www.marklines.com/en/global/9578","Seres Group Co., Ltd. (formerly Chongqing Sokon Industrial Group Co., Ltd.)")</f>
        <v>Seres Group Co., Ltd. (formerly Chongqing Sokon Industrial Group Co., Ltd.)</v>
      </c>
      <c r="E684" s="12" t="s">
        <v>1021</v>
      </c>
      <c r="F684" s="12" t="s">
        <v>20</v>
      </c>
      <c r="G684" s="12" t="s">
        <v>27</v>
      </c>
      <c r="H684" s="12" t="s">
        <v>30</v>
      </c>
      <c r="I684" s="14">
        <v>45149</v>
      </c>
      <c r="J684" s="12" t="s">
        <v>1022</v>
      </c>
    </row>
    <row r="685" spans="1:10" s="15" customFormat="1" x14ac:dyDescent="0.15">
      <c r="A685" s="11">
        <v>45154</v>
      </c>
      <c r="B685" s="12" t="s">
        <v>43</v>
      </c>
      <c r="C685" s="12" t="s">
        <v>623</v>
      </c>
      <c r="D685" s="13" t="str">
        <f>HYPERLINK("https://www.marklines.com/en/global/1378","Bentley Motors Ltd., Crewe Plant")</f>
        <v>Bentley Motors Ltd., Crewe Plant</v>
      </c>
      <c r="E685" s="12" t="s">
        <v>624</v>
      </c>
      <c r="F685" s="12" t="s">
        <v>17</v>
      </c>
      <c r="G685" s="12" t="s">
        <v>73</v>
      </c>
      <c r="H685" s="12"/>
      <c r="I685" s="14">
        <v>45148</v>
      </c>
      <c r="J685" s="12" t="s">
        <v>1023</v>
      </c>
    </row>
    <row r="686" spans="1:10" s="15" customFormat="1" x14ac:dyDescent="0.15">
      <c r="A686" s="11">
        <v>45154</v>
      </c>
      <c r="B686" s="12" t="s">
        <v>24</v>
      </c>
      <c r="C686" s="12" t="s">
        <v>24</v>
      </c>
      <c r="D686" s="13" t="str">
        <f>HYPERLINK("https://www.marklines.com/en/global/2837","former Ford Motor Brazil, Camacari Plant")</f>
        <v>former Ford Motor Brazil, Camacari Plant</v>
      </c>
      <c r="E686" s="12" t="s">
        <v>194</v>
      </c>
      <c r="F686" s="12" t="s">
        <v>74</v>
      </c>
      <c r="G686" s="12" t="s">
        <v>75</v>
      </c>
      <c r="H686" s="12"/>
      <c r="I686" s="14">
        <v>45148</v>
      </c>
      <c r="J686" s="12" t="s">
        <v>1024</v>
      </c>
    </row>
    <row r="687" spans="1:10" s="15" customFormat="1" x14ac:dyDescent="0.15">
      <c r="A687" s="11">
        <v>45154</v>
      </c>
      <c r="B687" s="12" t="s">
        <v>109</v>
      </c>
      <c r="C687" s="12" t="s">
        <v>109</v>
      </c>
      <c r="D687" s="13" t="str">
        <f>HYPERLINK("https://www.marklines.com/en/global/2837","former Ford Motor Brazil, Camacari Plant")</f>
        <v>former Ford Motor Brazil, Camacari Plant</v>
      </c>
      <c r="E687" s="12" t="s">
        <v>194</v>
      </c>
      <c r="F687" s="12" t="s">
        <v>74</v>
      </c>
      <c r="G687" s="12" t="s">
        <v>75</v>
      </c>
      <c r="H687" s="12"/>
      <c r="I687" s="14">
        <v>45148</v>
      </c>
      <c r="J687" s="12" t="s">
        <v>1024</v>
      </c>
    </row>
    <row r="688" spans="1:10" s="15" customFormat="1" x14ac:dyDescent="0.15">
      <c r="A688" s="11">
        <v>45154</v>
      </c>
      <c r="B688" s="12" t="s">
        <v>24</v>
      </c>
      <c r="C688" s="12" t="s">
        <v>24</v>
      </c>
      <c r="D688" s="13" t="str">
        <f>HYPERLINK("https://www.marklines.com/en/global/1861","Ford Otomotiv Sanayi A.S., Craiova Plant (formerly Ford Romania S.A.)")</f>
        <v>Ford Otomotiv Sanayi A.S., Craiova Plant (formerly Ford Romania S.A.)</v>
      </c>
      <c r="E688" s="12" t="s">
        <v>690</v>
      </c>
      <c r="F688" s="12" t="s">
        <v>18</v>
      </c>
      <c r="G688" s="12" t="s">
        <v>691</v>
      </c>
      <c r="H688" s="12"/>
      <c r="I688" s="14">
        <v>45146</v>
      </c>
      <c r="J688" s="12" t="s">
        <v>1025</v>
      </c>
    </row>
    <row r="689" spans="1:10" s="15" customFormat="1" x14ac:dyDescent="0.15">
      <c r="A689" s="11">
        <v>45154</v>
      </c>
      <c r="B689" s="12" t="s">
        <v>24</v>
      </c>
      <c r="C689" s="12" t="s">
        <v>24</v>
      </c>
      <c r="D689" s="13" t="str">
        <f>HYPERLINK("https://www.marklines.com/en/global/8682","Ford Otomotiv Sanayi A.Ş. (Ford Otosan), Yeniköy Plant (Kocaeli Plant) ")</f>
        <v xml:space="preserve">Ford Otomotiv Sanayi A.Ş. (Ford Otosan), Yeniköy Plant (Kocaeli Plant) </v>
      </c>
      <c r="E689" s="12" t="s">
        <v>692</v>
      </c>
      <c r="F689" s="12" t="s">
        <v>687</v>
      </c>
      <c r="G689" s="12" t="s">
        <v>688</v>
      </c>
      <c r="H689" s="12"/>
      <c r="I689" s="14">
        <v>45146</v>
      </c>
      <c r="J689" s="12" t="s">
        <v>1025</v>
      </c>
    </row>
    <row r="690" spans="1:10" s="15" customFormat="1" x14ac:dyDescent="0.15">
      <c r="A690" s="11">
        <v>45154</v>
      </c>
      <c r="B690" s="12" t="s">
        <v>13</v>
      </c>
      <c r="C690" s="12" t="s">
        <v>13</v>
      </c>
      <c r="D690" s="13" t="str">
        <f>HYPERLINK("https://www.marklines.com/en/global/10613","Derry New Energy Automobile Co., Ltd. (formerly Henan Derry New Energy Automobile Co., Ltd.)")</f>
        <v>Derry New Energy Automobile Co., Ltd. (formerly Henan Derry New Energy Automobile Co., Ltd.)</v>
      </c>
      <c r="E690" s="12" t="s">
        <v>1026</v>
      </c>
      <c r="F690" s="12" t="s">
        <v>20</v>
      </c>
      <c r="G690" s="12" t="s">
        <v>27</v>
      </c>
      <c r="H690" s="12" t="s">
        <v>47</v>
      </c>
      <c r="I690" s="14">
        <v>45146</v>
      </c>
      <c r="J690" s="12" t="s">
        <v>1027</v>
      </c>
    </row>
    <row r="691" spans="1:10" s="15" customFormat="1" x14ac:dyDescent="0.15">
      <c r="A691" s="11">
        <v>45153</v>
      </c>
      <c r="B691" s="12" t="s">
        <v>65</v>
      </c>
      <c r="C691" s="12" t="s">
        <v>65</v>
      </c>
      <c r="D691" s="13" t="str">
        <f>HYPERLINK("https://www.marklines.com/en/global/10587","Hyundai Motor Group Metaplant America (HMGMA) LLC")</f>
        <v>Hyundai Motor Group Metaplant America (HMGMA) LLC</v>
      </c>
      <c r="E691" s="12" t="s">
        <v>1028</v>
      </c>
      <c r="F691" s="12" t="s">
        <v>16</v>
      </c>
      <c r="G691" s="12" t="s">
        <v>11</v>
      </c>
      <c r="H691" s="12" t="s">
        <v>381</v>
      </c>
      <c r="I691" s="14">
        <v>45152</v>
      </c>
      <c r="J691" s="12" t="s">
        <v>1029</v>
      </c>
    </row>
    <row r="692" spans="1:10" s="15" customFormat="1" x14ac:dyDescent="0.15">
      <c r="A692" s="11">
        <v>45153</v>
      </c>
      <c r="B692" s="12" t="s">
        <v>440</v>
      </c>
      <c r="C692" s="12" t="s">
        <v>440</v>
      </c>
      <c r="D692" s="13" t="str">
        <f>HYPERLINK("https://www.marklines.com/en/global/10687","Canoo, Oklahoma City Vehicle Manufacturing Facility (tentative name)")</f>
        <v>Canoo, Oklahoma City Vehicle Manufacturing Facility (tentative name)</v>
      </c>
      <c r="E692" s="12" t="s">
        <v>996</v>
      </c>
      <c r="F692" s="12" t="s">
        <v>16</v>
      </c>
      <c r="G692" s="12" t="s">
        <v>11</v>
      </c>
      <c r="H692" s="12" t="s">
        <v>442</v>
      </c>
      <c r="I692" s="14">
        <v>45152</v>
      </c>
      <c r="J692" s="12" t="s">
        <v>1030</v>
      </c>
    </row>
    <row r="693" spans="1:10" s="15" customFormat="1" x14ac:dyDescent="0.15">
      <c r="A693" s="11">
        <v>45153</v>
      </c>
      <c r="B693" s="12" t="s">
        <v>440</v>
      </c>
      <c r="C693" s="12" t="s">
        <v>440</v>
      </c>
      <c r="D693" s="13" t="str">
        <f>HYPERLINK("https://www.marklines.com/en/global/10491","Canoo, Pryor Assembly Plant")</f>
        <v>Canoo, Pryor Assembly Plant</v>
      </c>
      <c r="E693" s="12" t="s">
        <v>441</v>
      </c>
      <c r="F693" s="12" t="s">
        <v>16</v>
      </c>
      <c r="G693" s="12" t="s">
        <v>11</v>
      </c>
      <c r="H693" s="12" t="s">
        <v>442</v>
      </c>
      <c r="I693" s="14">
        <v>45152</v>
      </c>
      <c r="J693" s="12" t="s">
        <v>1030</v>
      </c>
    </row>
    <row r="694" spans="1:10" s="15" customFormat="1" x14ac:dyDescent="0.15">
      <c r="A694" s="11">
        <v>45153</v>
      </c>
      <c r="B694" s="12" t="s">
        <v>156</v>
      </c>
      <c r="C694" s="12" t="s">
        <v>156</v>
      </c>
      <c r="D694" s="13" t="str">
        <f>HYPERLINK("https://www.marklines.com/en/global/10448","Nikola Coolidge Manufacturing Facility")</f>
        <v>Nikola Coolidge Manufacturing Facility</v>
      </c>
      <c r="E694" s="12" t="s">
        <v>354</v>
      </c>
      <c r="F694" s="12" t="s">
        <v>16</v>
      </c>
      <c r="G694" s="12" t="s">
        <v>11</v>
      </c>
      <c r="H694" s="12" t="s">
        <v>355</v>
      </c>
      <c r="I694" s="14">
        <v>45149</v>
      </c>
      <c r="J694" s="12" t="s">
        <v>1031</v>
      </c>
    </row>
    <row r="695" spans="1:10" s="15" customFormat="1" x14ac:dyDescent="0.15">
      <c r="A695" s="11">
        <v>45153</v>
      </c>
      <c r="B695" s="12" t="s">
        <v>725</v>
      </c>
      <c r="C695" s="12" t="s">
        <v>726</v>
      </c>
      <c r="D695" s="13" t="str">
        <f>HYPERLINK("https://www.marklines.com/en/global/10712","Neta Zhihe New Energy Vehicle Technology (Shanghai) Co., Ltd.")</f>
        <v>Neta Zhihe New Energy Vehicle Technology (Shanghai) Co., Ltd.</v>
      </c>
      <c r="E695" s="12" t="s">
        <v>727</v>
      </c>
      <c r="F695" s="12" t="s">
        <v>20</v>
      </c>
      <c r="G695" s="12" t="s">
        <v>27</v>
      </c>
      <c r="H695" s="12" t="s">
        <v>106</v>
      </c>
      <c r="I695" s="14">
        <v>45149</v>
      </c>
      <c r="J695" s="12" t="s">
        <v>1032</v>
      </c>
    </row>
    <row r="696" spans="1:10" s="15" customFormat="1" x14ac:dyDescent="0.15">
      <c r="A696" s="11">
        <v>45153</v>
      </c>
      <c r="B696" s="12" t="s">
        <v>41</v>
      </c>
      <c r="C696" s="12" t="s">
        <v>41</v>
      </c>
      <c r="D696" s="13" t="str">
        <f>HYPERLINK("https://www.marklines.com/en/global/4153","SAIC-GM-Wuling Automobile Co., Ltd. (SGMW)　")</f>
        <v>SAIC-GM-Wuling Automobile Co., Ltd. (SGMW)　</v>
      </c>
      <c r="E696" s="12" t="s">
        <v>666</v>
      </c>
      <c r="F696" s="12" t="s">
        <v>20</v>
      </c>
      <c r="G696" s="12" t="s">
        <v>27</v>
      </c>
      <c r="H696" s="12" t="s">
        <v>48</v>
      </c>
      <c r="I696" s="14">
        <v>45148</v>
      </c>
      <c r="J696" s="12" t="s">
        <v>1033</v>
      </c>
    </row>
    <row r="697" spans="1:10" s="15" customFormat="1" x14ac:dyDescent="0.15">
      <c r="A697" s="11">
        <v>45153</v>
      </c>
      <c r="B697" s="12" t="s">
        <v>41</v>
      </c>
      <c r="C697" s="12" t="s">
        <v>41</v>
      </c>
      <c r="D697" s="13" t="str">
        <f>HYPERLINK("https://www.marklines.com/en/global/9039","SAIC GM Wuling Automobile Co., Ltd. Chongqing Branch (SGMW Chongqing Branch)")</f>
        <v>SAIC GM Wuling Automobile Co., Ltd. Chongqing Branch (SGMW Chongqing Branch)</v>
      </c>
      <c r="E697" s="12" t="s">
        <v>665</v>
      </c>
      <c r="F697" s="12" t="s">
        <v>20</v>
      </c>
      <c r="G697" s="12" t="s">
        <v>27</v>
      </c>
      <c r="H697" s="12" t="s">
        <v>30</v>
      </c>
      <c r="I697" s="14">
        <v>45148</v>
      </c>
      <c r="J697" s="12" t="s">
        <v>1033</v>
      </c>
    </row>
    <row r="698" spans="1:10" s="15" customFormat="1" x14ac:dyDescent="0.15">
      <c r="A698" s="11">
        <v>45153</v>
      </c>
      <c r="B698" s="12" t="s">
        <v>41</v>
      </c>
      <c r="C698" s="12" t="s">
        <v>41</v>
      </c>
      <c r="D698" s="13" t="str">
        <f>HYPERLINK("https://www.marklines.com/en/global/3687","SAIC GM Wuling Automobile Co., Ltd. Qingdao Branch (SGMW Qingdao Branch)")</f>
        <v>SAIC GM Wuling Automobile Co., Ltd. Qingdao Branch (SGMW Qingdao Branch)</v>
      </c>
      <c r="E698" s="12" t="s">
        <v>663</v>
      </c>
      <c r="F698" s="12" t="s">
        <v>20</v>
      </c>
      <c r="G698" s="12" t="s">
        <v>27</v>
      </c>
      <c r="H698" s="12" t="s">
        <v>469</v>
      </c>
      <c r="I698" s="14">
        <v>45148</v>
      </c>
      <c r="J698" s="12" t="s">
        <v>1033</v>
      </c>
    </row>
    <row r="699" spans="1:10" s="15" customFormat="1" x14ac:dyDescent="0.15">
      <c r="A699" s="11">
        <v>45153</v>
      </c>
      <c r="B699" s="12" t="s">
        <v>13</v>
      </c>
      <c r="C699" s="12" t="s">
        <v>547</v>
      </c>
      <c r="D699" s="13" t="str">
        <f>HYPERLINK("https://www.marklines.com/en/global/3593","Beiben Trucks Group Co.,Ltd.")</f>
        <v>Beiben Trucks Group Co.,Ltd.</v>
      </c>
      <c r="E699" s="12" t="s">
        <v>548</v>
      </c>
      <c r="F699" s="12" t="s">
        <v>20</v>
      </c>
      <c r="G699" s="12" t="s">
        <v>27</v>
      </c>
      <c r="H699" s="12" t="s">
        <v>549</v>
      </c>
      <c r="I699" s="14">
        <v>45147</v>
      </c>
      <c r="J699" s="12" t="s">
        <v>1034</v>
      </c>
    </row>
    <row r="700" spans="1:10" s="15" customFormat="1" x14ac:dyDescent="0.15">
      <c r="A700" s="11">
        <v>45152</v>
      </c>
      <c r="B700" s="12" t="s">
        <v>13</v>
      </c>
      <c r="C700" s="12" t="s">
        <v>13</v>
      </c>
      <c r="D700" s="13" t="str">
        <f>HYPERLINK("https://www.marklines.com/en/global/123","INEOS Automotive S.A.S., Hambach plant (formerly smart France S.A.S.)")</f>
        <v>INEOS Automotive S.A.S., Hambach plant (formerly smart France S.A.S.)</v>
      </c>
      <c r="E700" s="12" t="s">
        <v>1035</v>
      </c>
      <c r="F700" s="12" t="s">
        <v>17</v>
      </c>
      <c r="G700" s="12" t="s">
        <v>40</v>
      </c>
      <c r="H700" s="12"/>
      <c r="I700" s="14">
        <v>45152</v>
      </c>
      <c r="J700" s="12" t="s">
        <v>1036</v>
      </c>
    </row>
    <row r="701" spans="1:10" s="15" customFormat="1" x14ac:dyDescent="0.15">
      <c r="A701" s="11">
        <v>45152</v>
      </c>
      <c r="B701" s="12" t="s">
        <v>13</v>
      </c>
      <c r="C701" s="12" t="s">
        <v>13</v>
      </c>
      <c r="D701" s="13" t="str">
        <f>HYPERLINK("https://www.marklines.com/en/global/1809","Magna Steyr Fahrzeugtechnik AG &amp; Co KG, Graz Plant")</f>
        <v>Magna Steyr Fahrzeugtechnik AG &amp; Co KG, Graz Plant</v>
      </c>
      <c r="E701" s="12" t="s">
        <v>101</v>
      </c>
      <c r="F701" s="12" t="s">
        <v>17</v>
      </c>
      <c r="G701" s="12" t="s">
        <v>102</v>
      </c>
      <c r="H701" s="12"/>
      <c r="I701" s="14">
        <v>45152</v>
      </c>
      <c r="J701" s="12" t="s">
        <v>1036</v>
      </c>
    </row>
    <row r="702" spans="1:10" s="15" customFormat="1" x14ac:dyDescent="0.15">
      <c r="A702" s="11">
        <v>45152</v>
      </c>
      <c r="B702" s="12" t="s">
        <v>90</v>
      </c>
      <c r="C702" s="12" t="s">
        <v>91</v>
      </c>
      <c r="D702" s="13" t="str">
        <f>HYPERLINK("https://www.marklines.com/en/global/729","LLC ""LADA Izhevsk"", LADA Izhevsk Automotive Plant (formerly OJSC Izh-Avto, Izhevsk Automobilny Zavod) ")</f>
        <v xml:space="preserve">LLC "LADA Izhevsk", LADA Izhevsk Automotive Plant (formerly OJSC Izh-Avto, Izhevsk Automobilny Zavod) </v>
      </c>
      <c r="E702" s="12" t="s">
        <v>613</v>
      </c>
      <c r="F702" s="12" t="s">
        <v>18</v>
      </c>
      <c r="G702" s="12" t="s">
        <v>14</v>
      </c>
      <c r="H702" s="12"/>
      <c r="I702" s="14">
        <v>45152</v>
      </c>
      <c r="J702" s="12" t="s">
        <v>1037</v>
      </c>
    </row>
    <row r="703" spans="1:10" s="15" customFormat="1" x14ac:dyDescent="0.15">
      <c r="A703" s="11">
        <v>45152</v>
      </c>
      <c r="B703" s="12" t="s">
        <v>90</v>
      </c>
      <c r="C703" s="12" t="s">
        <v>91</v>
      </c>
      <c r="D703" s="13" t="str">
        <f>HYPERLINK("https://www.marklines.com/en/global/675","AvtoVAZ, Togliatti Plant")</f>
        <v>AvtoVAZ, Togliatti Plant</v>
      </c>
      <c r="E703" s="12" t="s">
        <v>92</v>
      </c>
      <c r="F703" s="12" t="s">
        <v>18</v>
      </c>
      <c r="G703" s="12" t="s">
        <v>14</v>
      </c>
      <c r="H703" s="12"/>
      <c r="I703" s="14">
        <v>45152</v>
      </c>
      <c r="J703" s="12" t="s">
        <v>1037</v>
      </c>
    </row>
    <row r="704" spans="1:10" s="15" customFormat="1" x14ac:dyDescent="0.15">
      <c r="A704" s="11">
        <v>45152</v>
      </c>
      <c r="B704" s="12" t="s">
        <v>65</v>
      </c>
      <c r="C704" s="12" t="s">
        <v>65</v>
      </c>
      <c r="D704" s="13" t="str">
        <f>HYPERLINK("https://www.marklines.com/en/global/1175","Hyundai Motor India Ltd. (HMIL)")</f>
        <v>Hyundai Motor India Ltd. (HMIL)</v>
      </c>
      <c r="E704" s="12" t="s">
        <v>1008</v>
      </c>
      <c r="F704" s="12" t="s">
        <v>25</v>
      </c>
      <c r="G704" s="12" t="s">
        <v>26</v>
      </c>
      <c r="H704" s="12" t="s">
        <v>635</v>
      </c>
      <c r="I704" s="14">
        <v>45149</v>
      </c>
      <c r="J704" s="12" t="s">
        <v>1038</v>
      </c>
    </row>
    <row r="705" spans="1:10" s="15" customFormat="1" x14ac:dyDescent="0.15">
      <c r="A705" s="11">
        <v>45152</v>
      </c>
      <c r="B705" s="12" t="s">
        <v>65</v>
      </c>
      <c r="C705" s="12" t="s">
        <v>65</v>
      </c>
      <c r="D705" s="13" t="str">
        <f>HYPERLINK("https://www.marklines.com/en/global/1161","former General Motors India, Talegaon Plant")</f>
        <v>former General Motors India, Talegaon Plant</v>
      </c>
      <c r="E705" s="12" t="s">
        <v>1010</v>
      </c>
      <c r="F705" s="12" t="s">
        <v>25</v>
      </c>
      <c r="G705" s="12" t="s">
        <v>26</v>
      </c>
      <c r="H705" s="12" t="s">
        <v>736</v>
      </c>
      <c r="I705" s="14">
        <v>45149</v>
      </c>
      <c r="J705" s="12" t="s">
        <v>1038</v>
      </c>
    </row>
    <row r="706" spans="1:10" s="15" customFormat="1" x14ac:dyDescent="0.15">
      <c r="A706" s="11">
        <v>45152</v>
      </c>
      <c r="B706" s="12" t="s">
        <v>68</v>
      </c>
      <c r="C706" s="12" t="s">
        <v>935</v>
      </c>
      <c r="D706" s="13" t="str">
        <f>HYPERLINK("https://www.marklines.com/en/global/1165","PCA Motors Private Limited (Stellantis PSA Group), Thiruvallur plant  (formerly Hindustan Motor)")</f>
        <v>PCA Motors Private Limited (Stellantis PSA Group), Thiruvallur plant  (formerly Hindustan Motor)</v>
      </c>
      <c r="E706" s="12" t="s">
        <v>1039</v>
      </c>
      <c r="F706" s="12" t="s">
        <v>25</v>
      </c>
      <c r="G706" s="12" t="s">
        <v>26</v>
      </c>
      <c r="H706" s="12" t="s">
        <v>635</v>
      </c>
      <c r="I706" s="14">
        <v>45149</v>
      </c>
      <c r="J706" s="12" t="s">
        <v>1040</v>
      </c>
    </row>
    <row r="707" spans="1:10" s="15" customFormat="1" x14ac:dyDescent="0.15">
      <c r="A707" s="11">
        <v>45152</v>
      </c>
      <c r="B707" s="12" t="s">
        <v>68</v>
      </c>
      <c r="C707" s="12" t="s">
        <v>935</v>
      </c>
      <c r="D707" s="13" t="str">
        <f>HYPERLINK("https://www.marklines.com/en/global/9827","PSA AVTEC Powertrain Pvt. Ltd., Hosur Plant")</f>
        <v>PSA AVTEC Powertrain Pvt. Ltd., Hosur Plant</v>
      </c>
      <c r="E707" s="12" t="s">
        <v>1041</v>
      </c>
      <c r="F707" s="12" t="s">
        <v>25</v>
      </c>
      <c r="G707" s="12" t="s">
        <v>26</v>
      </c>
      <c r="H707" s="12" t="s">
        <v>635</v>
      </c>
      <c r="I707" s="14">
        <v>45149</v>
      </c>
      <c r="J707" s="12" t="s">
        <v>1040</v>
      </c>
    </row>
    <row r="708" spans="1:10" s="15" customFormat="1" x14ac:dyDescent="0.15">
      <c r="A708" s="11">
        <v>45152</v>
      </c>
      <c r="B708" s="12" t="s">
        <v>29</v>
      </c>
      <c r="C708" s="12" t="s">
        <v>29</v>
      </c>
      <c r="D708" s="13" t="str">
        <f>HYPERLINK("https://www.marklines.com/en/global/3807","Zhejiang Geely Holding Group Co., Ltd.")</f>
        <v>Zhejiang Geely Holding Group Co., Ltd.</v>
      </c>
      <c r="E708" s="12" t="s">
        <v>76</v>
      </c>
      <c r="F708" s="12" t="s">
        <v>20</v>
      </c>
      <c r="G708" s="12" t="s">
        <v>27</v>
      </c>
      <c r="H708" s="12" t="s">
        <v>51</v>
      </c>
      <c r="I708" s="14">
        <v>45146</v>
      </c>
      <c r="J708" s="12" t="s">
        <v>1042</v>
      </c>
    </row>
    <row r="709" spans="1:10" s="15" customFormat="1" x14ac:dyDescent="0.15">
      <c r="A709" s="11">
        <v>45152</v>
      </c>
      <c r="B709" s="12" t="s">
        <v>44</v>
      </c>
      <c r="C709" s="12" t="s">
        <v>54</v>
      </c>
      <c r="D709" s="13" t="str">
        <f>HYPERLINK("https://www.marklines.com/en/global/9824","GAC Aion New Energy Automobile Co., Ltd.")</f>
        <v>GAC Aion New Energy Automobile Co., Ltd.</v>
      </c>
      <c r="E709" s="12" t="s">
        <v>55</v>
      </c>
      <c r="F709" s="12" t="s">
        <v>20</v>
      </c>
      <c r="G709" s="12" t="s">
        <v>27</v>
      </c>
      <c r="H709" s="12" t="s">
        <v>31</v>
      </c>
      <c r="I709" s="14">
        <v>45146</v>
      </c>
      <c r="J709" s="12" t="s">
        <v>1043</v>
      </c>
    </row>
    <row r="710" spans="1:10" s="15" customFormat="1" x14ac:dyDescent="0.15">
      <c r="A710" s="11">
        <v>45152</v>
      </c>
      <c r="B710" s="12" t="s">
        <v>39</v>
      </c>
      <c r="C710" s="12" t="s">
        <v>39</v>
      </c>
      <c r="D710" s="13" t="str">
        <f>HYPERLINK("https://www.marklines.com/en/global/3375","BMW Brilliance Automotive Limited (BBA), Dadong Plant")</f>
        <v>BMW Brilliance Automotive Limited (BBA), Dadong Plant</v>
      </c>
      <c r="E710" s="12" t="s">
        <v>1044</v>
      </c>
      <c r="F710" s="12" t="s">
        <v>20</v>
      </c>
      <c r="G710" s="12" t="s">
        <v>27</v>
      </c>
      <c r="H710" s="12" t="s">
        <v>714</v>
      </c>
      <c r="I710" s="14">
        <v>45146</v>
      </c>
      <c r="J710" s="12" t="s">
        <v>1045</v>
      </c>
    </row>
    <row r="711" spans="1:10" s="15" customFormat="1" x14ac:dyDescent="0.15">
      <c r="A711" s="11">
        <v>45152</v>
      </c>
      <c r="B711" s="12" t="s">
        <v>29</v>
      </c>
      <c r="C711" s="12" t="s">
        <v>29</v>
      </c>
      <c r="D711" s="13" t="str">
        <f>HYPERLINK("https://www.marklines.com/en/global/3807","Zhejiang Geely Holding Group Co., Ltd.")</f>
        <v>Zhejiang Geely Holding Group Co., Ltd.</v>
      </c>
      <c r="E711" s="12" t="s">
        <v>76</v>
      </c>
      <c r="F711" s="12" t="s">
        <v>20</v>
      </c>
      <c r="G711" s="12" t="s">
        <v>27</v>
      </c>
      <c r="H711" s="12" t="s">
        <v>51</v>
      </c>
      <c r="I711" s="14">
        <v>45146</v>
      </c>
      <c r="J711" s="12" t="s">
        <v>1046</v>
      </c>
    </row>
    <row r="712" spans="1:10" s="15" customFormat="1" x14ac:dyDescent="0.15">
      <c r="A712" s="11">
        <v>45152</v>
      </c>
      <c r="B712" s="12" t="s">
        <v>29</v>
      </c>
      <c r="C712" s="12" t="s">
        <v>1047</v>
      </c>
      <c r="D712" s="13" t="str">
        <f>HYPERLINK("https://www.marklines.com/en/global/10391","Zhejiang Geely Automobile Co., Ltd. Meishan Plant")</f>
        <v>Zhejiang Geely Automobile Co., Ltd. Meishan Plant</v>
      </c>
      <c r="E712" s="12" t="s">
        <v>946</v>
      </c>
      <c r="F712" s="12" t="s">
        <v>20</v>
      </c>
      <c r="G712" s="12" t="s">
        <v>27</v>
      </c>
      <c r="H712" s="12" t="s">
        <v>51</v>
      </c>
      <c r="I712" s="14">
        <v>45146</v>
      </c>
      <c r="J712" s="12" t="s">
        <v>1048</v>
      </c>
    </row>
    <row r="713" spans="1:10" s="15" customFormat="1" x14ac:dyDescent="0.15">
      <c r="A713" s="11">
        <v>45152</v>
      </c>
      <c r="B713" s="12" t="s">
        <v>148</v>
      </c>
      <c r="C713" s="12" t="s">
        <v>148</v>
      </c>
      <c r="D713" s="13" t="str">
        <f>HYPERLINK("https://www.marklines.com/en/global/505","Mazda Motor, Hofu Plant")</f>
        <v>Mazda Motor, Hofu Plant</v>
      </c>
      <c r="E713" s="12" t="s">
        <v>1049</v>
      </c>
      <c r="F713" s="12" t="s">
        <v>20</v>
      </c>
      <c r="G713" s="12" t="s">
        <v>23</v>
      </c>
      <c r="H713" s="12" t="s">
        <v>1050</v>
      </c>
      <c r="I713" s="14">
        <v>45145</v>
      </c>
      <c r="J713" s="12" t="s">
        <v>1051</v>
      </c>
    </row>
    <row r="714" spans="1:10" s="15" customFormat="1" x14ac:dyDescent="0.15">
      <c r="A714" s="11">
        <v>45152</v>
      </c>
      <c r="B714" s="12" t="s">
        <v>148</v>
      </c>
      <c r="C714" s="12" t="s">
        <v>148</v>
      </c>
      <c r="D714" s="13" t="str">
        <f>HYPERLINK("https://www.marklines.com/en/global/503","Mazda Motor, Hiroshima Plant")</f>
        <v>Mazda Motor, Hiroshima Plant</v>
      </c>
      <c r="E714" s="12" t="s">
        <v>150</v>
      </c>
      <c r="F714" s="12" t="s">
        <v>20</v>
      </c>
      <c r="G714" s="12" t="s">
        <v>23</v>
      </c>
      <c r="H714" s="12" t="s">
        <v>151</v>
      </c>
      <c r="I714" s="14">
        <v>45145</v>
      </c>
      <c r="J714" s="12" t="s">
        <v>1051</v>
      </c>
    </row>
    <row r="715" spans="1:10" s="15" customFormat="1" x14ac:dyDescent="0.15">
      <c r="A715" s="11">
        <v>45152</v>
      </c>
      <c r="B715" s="12" t="s">
        <v>62</v>
      </c>
      <c r="C715" s="12" t="s">
        <v>62</v>
      </c>
      <c r="D715" s="13" t="str">
        <f>HYPERLINK("https://www.marklines.com/en/global/3879","Chery Automobile Co., Ltd. ")</f>
        <v xml:space="preserve">Chery Automobile Co., Ltd. </v>
      </c>
      <c r="E715" s="12" t="s">
        <v>773</v>
      </c>
      <c r="F715" s="12" t="s">
        <v>20</v>
      </c>
      <c r="G715" s="12" t="s">
        <v>27</v>
      </c>
      <c r="H715" s="12" t="s">
        <v>326</v>
      </c>
      <c r="I715" s="14">
        <v>45145</v>
      </c>
      <c r="J715" s="12" t="s">
        <v>1052</v>
      </c>
    </row>
    <row r="716" spans="1:10" s="15" customFormat="1" x14ac:dyDescent="0.15">
      <c r="A716" s="11">
        <v>45152</v>
      </c>
      <c r="B716" s="12" t="s">
        <v>29</v>
      </c>
      <c r="C716" s="12" t="s">
        <v>29</v>
      </c>
      <c r="D716" s="13" t="str">
        <f>HYPERLINK("https://www.marklines.com/en/global/3807","Zhejiang Geely Holding Group Co., Ltd.")</f>
        <v>Zhejiang Geely Holding Group Co., Ltd.</v>
      </c>
      <c r="E716" s="12" t="s">
        <v>76</v>
      </c>
      <c r="F716" s="12" t="s">
        <v>20</v>
      </c>
      <c r="G716" s="12" t="s">
        <v>27</v>
      </c>
      <c r="H716" s="12" t="s">
        <v>51</v>
      </c>
      <c r="I716" s="14">
        <v>45145</v>
      </c>
      <c r="J716" s="12" t="s">
        <v>1053</v>
      </c>
    </row>
    <row r="717" spans="1:10" s="15" customFormat="1" x14ac:dyDescent="0.15">
      <c r="A717" s="11">
        <v>45152</v>
      </c>
      <c r="B717" s="12" t="s">
        <v>15</v>
      </c>
      <c r="C717" s="12" t="s">
        <v>15</v>
      </c>
      <c r="D717" s="13" t="str">
        <f>HYPERLINK("https://www.marklines.com/en/global/443","Honda Motor, Suzuka Factory")</f>
        <v>Honda Motor, Suzuka Factory</v>
      </c>
      <c r="E717" s="12" t="s">
        <v>1054</v>
      </c>
      <c r="F717" s="12" t="s">
        <v>20</v>
      </c>
      <c r="G717" s="12" t="s">
        <v>23</v>
      </c>
      <c r="H717" s="12" t="s">
        <v>1055</v>
      </c>
      <c r="I717" s="14">
        <v>45141</v>
      </c>
      <c r="J717" s="12" t="s">
        <v>1056</v>
      </c>
    </row>
    <row r="718" spans="1:10" s="15" customFormat="1" x14ac:dyDescent="0.15">
      <c r="A718" s="11">
        <v>45152</v>
      </c>
      <c r="B718" s="12" t="s">
        <v>22</v>
      </c>
      <c r="C718" s="12" t="s">
        <v>22</v>
      </c>
      <c r="D718" s="13" t="str">
        <f>HYPERLINK("https://www.marklines.com/en/global/381","Toyota Motor, Tahara Plant")</f>
        <v>Toyota Motor, Tahara Plant</v>
      </c>
      <c r="E718" s="12" t="s">
        <v>1057</v>
      </c>
      <c r="F718" s="12" t="s">
        <v>20</v>
      </c>
      <c r="G718" s="12" t="s">
        <v>23</v>
      </c>
      <c r="H718" s="12" t="s">
        <v>108</v>
      </c>
      <c r="I718" s="14">
        <v>45140</v>
      </c>
      <c r="J718" s="12" t="s">
        <v>1058</v>
      </c>
    </row>
    <row r="719" spans="1:10" s="15" customFormat="1" x14ac:dyDescent="0.15">
      <c r="A719" s="11">
        <v>45152</v>
      </c>
      <c r="B719" s="12" t="s">
        <v>22</v>
      </c>
      <c r="C719" s="12" t="s">
        <v>22</v>
      </c>
      <c r="D719" s="13" t="str">
        <f>HYPERLINK("https://www.marklines.com/en/global/567","Hino Motors, Hamura Plant")</f>
        <v>Hino Motors, Hamura Plant</v>
      </c>
      <c r="E719" s="12" t="s">
        <v>1059</v>
      </c>
      <c r="F719" s="12" t="s">
        <v>20</v>
      </c>
      <c r="G719" s="12" t="s">
        <v>23</v>
      </c>
      <c r="H719" s="12" t="s">
        <v>1060</v>
      </c>
      <c r="I719" s="14">
        <v>45140</v>
      </c>
      <c r="J719" s="12" t="s">
        <v>1058</v>
      </c>
    </row>
    <row r="720" spans="1:10" s="15" customFormat="1" x14ac:dyDescent="0.15">
      <c r="A720" s="11">
        <v>45152</v>
      </c>
      <c r="B720" s="12" t="s">
        <v>15</v>
      </c>
      <c r="C720" s="12" t="s">
        <v>15</v>
      </c>
      <c r="D720" s="13" t="str">
        <f>HYPERLINK("https://www.marklines.com/en/global/10705","Honda·GS Yuasa EV Battery R&amp;D Co., Ltd. (Kyoto)")</f>
        <v>Honda·GS Yuasa EV Battery R&amp;D Co., Ltd. (Kyoto)</v>
      </c>
      <c r="E720" s="12" t="s">
        <v>1061</v>
      </c>
      <c r="F720" s="12" t="s">
        <v>20</v>
      </c>
      <c r="G720" s="12" t="s">
        <v>23</v>
      </c>
      <c r="H720" s="12" t="s">
        <v>1062</v>
      </c>
      <c r="I720" s="14">
        <v>45139</v>
      </c>
      <c r="J720" s="12" t="s">
        <v>1063</v>
      </c>
    </row>
    <row r="721" spans="1:10" s="15" customFormat="1" x14ac:dyDescent="0.15">
      <c r="A721" s="11">
        <v>45152</v>
      </c>
      <c r="B721" s="12" t="s">
        <v>747</v>
      </c>
      <c r="C721" s="12" t="s">
        <v>747</v>
      </c>
      <c r="D721" s="13" t="str">
        <f>HYPERLINK("https://www.marklines.com/en/global/533","Subaru, Gunma Oizumi Plant (Gunma Plant)")</f>
        <v>Subaru, Gunma Oizumi Plant (Gunma Plant)</v>
      </c>
      <c r="E721" s="12" t="s">
        <v>1064</v>
      </c>
      <c r="F721" s="12" t="s">
        <v>20</v>
      </c>
      <c r="G721" s="12" t="s">
        <v>23</v>
      </c>
      <c r="H721" s="12" t="s">
        <v>1065</v>
      </c>
      <c r="I721" s="14">
        <v>45138</v>
      </c>
      <c r="J721" s="12" t="s">
        <v>1066</v>
      </c>
    </row>
    <row r="722" spans="1:10" s="15" customFormat="1" x14ac:dyDescent="0.15">
      <c r="A722" s="11">
        <v>45150</v>
      </c>
      <c r="B722" s="12" t="s">
        <v>22</v>
      </c>
      <c r="C722" s="12" t="s">
        <v>22</v>
      </c>
      <c r="D722" s="13" t="str">
        <f>HYPERLINK("https://www.marklines.com/en/global/907","Toyota Motor Manufacturing de Baja California, S.de R.L. de C.V. (TMMBC), Tijuana Plant")</f>
        <v>Toyota Motor Manufacturing de Baja California, S.de R.L. de C.V. (TMMBC), Tijuana Plant</v>
      </c>
      <c r="E722" s="12" t="s">
        <v>1067</v>
      </c>
      <c r="F722" s="12" t="s">
        <v>16</v>
      </c>
      <c r="G722" s="12" t="s">
        <v>430</v>
      </c>
      <c r="H722" s="12"/>
      <c r="I722" s="14">
        <v>45148</v>
      </c>
      <c r="J722" s="12" t="s">
        <v>1068</v>
      </c>
    </row>
    <row r="723" spans="1:10" s="15" customFormat="1" x14ac:dyDescent="0.15">
      <c r="A723" s="11">
        <v>45150</v>
      </c>
      <c r="B723" s="12" t="s">
        <v>22</v>
      </c>
      <c r="C723" s="12" t="s">
        <v>22</v>
      </c>
      <c r="D723" s="13" t="str">
        <f>HYPERLINK("https://www.marklines.com/en/global/9330","Toyota Motor Mexico (TMMGT), Guanajuato Plant")</f>
        <v>Toyota Motor Mexico (TMMGT), Guanajuato Plant</v>
      </c>
      <c r="E723" s="12" t="s">
        <v>1069</v>
      </c>
      <c r="F723" s="12" t="s">
        <v>16</v>
      </c>
      <c r="G723" s="12" t="s">
        <v>430</v>
      </c>
      <c r="H723" s="12"/>
      <c r="I723" s="14">
        <v>45148</v>
      </c>
      <c r="J723" s="12" t="s">
        <v>1068</v>
      </c>
    </row>
    <row r="724" spans="1:10" s="15" customFormat="1" x14ac:dyDescent="0.15">
      <c r="A724" s="11">
        <v>45149</v>
      </c>
      <c r="B724" s="12" t="s">
        <v>29</v>
      </c>
      <c r="C724" s="12" t="s">
        <v>880</v>
      </c>
      <c r="D724" s="13" t="str">
        <f>HYPERLINK("https://www.marklines.com/en/global/9860","Zhejiang Geely Automobile Co., Ltd. Wuhan Branch")</f>
        <v>Zhejiang Geely Automobile Co., Ltd. Wuhan Branch</v>
      </c>
      <c r="E724" s="12" t="s">
        <v>881</v>
      </c>
      <c r="F724" s="12" t="s">
        <v>20</v>
      </c>
      <c r="G724" s="12" t="s">
        <v>27</v>
      </c>
      <c r="H724" s="12" t="s">
        <v>46</v>
      </c>
      <c r="I724" s="14">
        <v>45148</v>
      </c>
      <c r="J724" s="12" t="s">
        <v>882</v>
      </c>
    </row>
    <row r="725" spans="1:10" s="15" customFormat="1" x14ac:dyDescent="0.15">
      <c r="A725" s="11">
        <v>45149</v>
      </c>
      <c r="B725" s="12" t="s">
        <v>29</v>
      </c>
      <c r="C725" s="12" t="s">
        <v>880</v>
      </c>
      <c r="D725" s="13" t="str">
        <f>HYPERLINK("https://www.marklines.com/en/global/2353","Lotus, Norwich Plant")</f>
        <v>Lotus, Norwich Plant</v>
      </c>
      <c r="E725" s="12" t="s">
        <v>883</v>
      </c>
      <c r="F725" s="12" t="s">
        <v>17</v>
      </c>
      <c r="G725" s="12" t="s">
        <v>73</v>
      </c>
      <c r="H725" s="12"/>
      <c r="I725" s="14">
        <v>45148</v>
      </c>
      <c r="J725" s="12" t="s">
        <v>882</v>
      </c>
    </row>
    <row r="726" spans="1:10" s="15" customFormat="1" x14ac:dyDescent="0.15">
      <c r="A726" s="11">
        <v>45149</v>
      </c>
      <c r="B726" s="12" t="s">
        <v>29</v>
      </c>
      <c r="C726" s="12" t="s">
        <v>880</v>
      </c>
      <c r="D726" s="13" t="str">
        <f>HYPERLINK("https://www.marklines.com/en/global/10660","Wuhan Lotus Technology Co., Ltd.")</f>
        <v>Wuhan Lotus Technology Co., Ltd.</v>
      </c>
      <c r="E726" s="12" t="s">
        <v>884</v>
      </c>
      <c r="F726" s="12" t="s">
        <v>20</v>
      </c>
      <c r="G726" s="12" t="s">
        <v>27</v>
      </c>
      <c r="H726" s="12" t="s">
        <v>46</v>
      </c>
      <c r="I726" s="14">
        <v>45148</v>
      </c>
      <c r="J726" s="12" t="s">
        <v>882</v>
      </c>
    </row>
    <row r="727" spans="1:10" s="15" customFormat="1" x14ac:dyDescent="0.15">
      <c r="A727" s="11">
        <v>45149</v>
      </c>
      <c r="B727" s="12" t="s">
        <v>43</v>
      </c>
      <c r="C727" s="12" t="s">
        <v>67</v>
      </c>
      <c r="D727" s="13" t="str">
        <f>HYPERLINK("https://www.marklines.com/en/global/2269","Volkswagen AG, Hannover Plant (VW Nutzfahrzeuge)")</f>
        <v>Volkswagen AG, Hannover Plant (VW Nutzfahrzeuge)</v>
      </c>
      <c r="E727" s="12" t="s">
        <v>885</v>
      </c>
      <c r="F727" s="12" t="s">
        <v>17</v>
      </c>
      <c r="G727" s="12" t="s">
        <v>21</v>
      </c>
      <c r="H727" s="12"/>
      <c r="I727" s="14">
        <v>45147</v>
      </c>
      <c r="J727" s="12" t="s">
        <v>886</v>
      </c>
    </row>
    <row r="728" spans="1:10" s="15" customFormat="1" x14ac:dyDescent="0.15">
      <c r="A728" s="11">
        <v>45149</v>
      </c>
      <c r="B728" s="12" t="s">
        <v>68</v>
      </c>
      <c r="C728" s="12" t="s">
        <v>887</v>
      </c>
      <c r="D728" s="13" t="str">
        <f>HYPERLINK("https://www.marklines.com/en/global/2251","Stellantis, Opel Automobile GmbH, Rüsselsheim Plant (Former Adam Opel AG, Russelsheim Plant)")</f>
        <v>Stellantis, Opel Automobile GmbH, Rüsselsheim Plant (Former Adam Opel AG, Russelsheim Plant)</v>
      </c>
      <c r="E728" s="12" t="s">
        <v>187</v>
      </c>
      <c r="F728" s="12" t="s">
        <v>17</v>
      </c>
      <c r="G728" s="12" t="s">
        <v>21</v>
      </c>
      <c r="H728" s="12"/>
      <c r="I728" s="14">
        <v>45147</v>
      </c>
      <c r="J728" s="12" t="s">
        <v>888</v>
      </c>
    </row>
    <row r="729" spans="1:10" s="15" customFormat="1" x14ac:dyDescent="0.15">
      <c r="A729" s="11">
        <v>45149</v>
      </c>
      <c r="B729" s="12" t="s">
        <v>321</v>
      </c>
      <c r="C729" s="12" t="s">
        <v>322</v>
      </c>
      <c r="D729" s="13" t="str">
        <f>HYPERLINK("https://www.marklines.com/en/global/9279","PT. Mitsubishi Motors Krama Yudha Indonesia (MMKI), Bekasi Plant")</f>
        <v>PT. Mitsubishi Motors Krama Yudha Indonesia (MMKI), Bekasi Plant</v>
      </c>
      <c r="E729" s="12" t="s">
        <v>889</v>
      </c>
      <c r="F729" s="12" t="s">
        <v>49</v>
      </c>
      <c r="G729" s="12" t="s">
        <v>387</v>
      </c>
      <c r="H729" s="12"/>
      <c r="I729" s="14">
        <v>45147</v>
      </c>
      <c r="J729" s="12" t="s">
        <v>890</v>
      </c>
    </row>
    <row r="730" spans="1:10" s="15" customFormat="1" x14ac:dyDescent="0.15">
      <c r="A730" s="11">
        <v>45149</v>
      </c>
      <c r="B730" s="12" t="s">
        <v>24</v>
      </c>
      <c r="C730" s="12" t="s">
        <v>24</v>
      </c>
      <c r="D730" s="13" t="str">
        <f>HYPERLINK("https://www.marklines.com/en/global/2143","Ford Motor Germany, Cologne (Koln)-Niehl Plant")</f>
        <v>Ford Motor Germany, Cologne (Koln)-Niehl Plant</v>
      </c>
      <c r="E730" s="12" t="s">
        <v>99</v>
      </c>
      <c r="F730" s="12" t="s">
        <v>17</v>
      </c>
      <c r="G730" s="12" t="s">
        <v>21</v>
      </c>
      <c r="H730" s="12"/>
      <c r="I730" s="14">
        <v>45147</v>
      </c>
      <c r="J730" s="12" t="s">
        <v>891</v>
      </c>
    </row>
    <row r="731" spans="1:10" s="15" customFormat="1" x14ac:dyDescent="0.15">
      <c r="A731" s="11">
        <v>45149</v>
      </c>
      <c r="B731" s="12" t="s">
        <v>68</v>
      </c>
      <c r="C731" s="12" t="s">
        <v>79</v>
      </c>
      <c r="D731" s="13" t="str">
        <f>HYPERLINK("https://www.marklines.com/en/global/2833","Stellantis, FCA Brazil, Betim Plant")</f>
        <v>Stellantis, FCA Brazil, Betim Plant</v>
      </c>
      <c r="E731" s="12" t="s">
        <v>336</v>
      </c>
      <c r="F731" s="12" t="s">
        <v>74</v>
      </c>
      <c r="G731" s="12" t="s">
        <v>75</v>
      </c>
      <c r="H731" s="12"/>
      <c r="I731" s="14">
        <v>45146</v>
      </c>
      <c r="J731" s="12" t="s">
        <v>892</v>
      </c>
    </row>
    <row r="732" spans="1:10" s="15" customFormat="1" x14ac:dyDescent="0.15">
      <c r="A732" s="11">
        <v>45148</v>
      </c>
      <c r="B732" s="12" t="s">
        <v>321</v>
      </c>
      <c r="C732" s="12" t="s">
        <v>322</v>
      </c>
      <c r="D732" s="13" t="str">
        <f>HYPERLINK("https://www.marklines.com/en/global/9279","PT. Mitsubishi Motors Krama Yudha Indonesia (MMKI), Bekasi Plant")</f>
        <v>PT. Mitsubishi Motors Krama Yudha Indonesia (MMKI), Bekasi Plant</v>
      </c>
      <c r="E732" s="12" t="s">
        <v>889</v>
      </c>
      <c r="F732" s="12" t="s">
        <v>49</v>
      </c>
      <c r="G732" s="12" t="s">
        <v>387</v>
      </c>
      <c r="H732" s="12"/>
      <c r="I732" s="14">
        <v>45148</v>
      </c>
      <c r="J732" s="12" t="s">
        <v>893</v>
      </c>
    </row>
    <row r="733" spans="1:10" s="15" customFormat="1" x14ac:dyDescent="0.15">
      <c r="A733" s="11">
        <v>45148</v>
      </c>
      <c r="B733" s="12" t="s">
        <v>174</v>
      </c>
      <c r="C733" s="12" t="s">
        <v>174</v>
      </c>
      <c r="D733" s="13" t="str">
        <f>HYPERLINK("https://www.marklines.com/en/global/737","Kamaz, Naberezhnye Chelny Plant")</f>
        <v>Kamaz, Naberezhnye Chelny Plant</v>
      </c>
      <c r="E733" s="12" t="s">
        <v>593</v>
      </c>
      <c r="F733" s="12" t="s">
        <v>18</v>
      </c>
      <c r="G733" s="12" t="s">
        <v>14</v>
      </c>
      <c r="H733" s="12"/>
      <c r="I733" s="14">
        <v>45147</v>
      </c>
      <c r="J733" s="12" t="s">
        <v>894</v>
      </c>
    </row>
    <row r="734" spans="1:10" s="15" customFormat="1" x14ac:dyDescent="0.15">
      <c r="A734" s="11">
        <v>45148</v>
      </c>
      <c r="B734" s="12" t="s">
        <v>12</v>
      </c>
      <c r="C734" s="12" t="s">
        <v>895</v>
      </c>
      <c r="D734" s="13" t="str">
        <f>HYPERLINK("https://www.marklines.com/en/global/2459","General Motors, Factory ZERO (Detroit-Hamtramck Plant) ")</f>
        <v xml:space="preserve">General Motors, Factory ZERO (Detroit-Hamtramck Plant) </v>
      </c>
      <c r="E734" s="12" t="s">
        <v>352</v>
      </c>
      <c r="F734" s="12" t="s">
        <v>16</v>
      </c>
      <c r="G734" s="12" t="s">
        <v>11</v>
      </c>
      <c r="H734" s="12" t="s">
        <v>59</v>
      </c>
      <c r="I734" s="14">
        <v>45147</v>
      </c>
      <c r="J734" s="12" t="s">
        <v>896</v>
      </c>
    </row>
    <row r="735" spans="1:10" s="15" customFormat="1" x14ac:dyDescent="0.15">
      <c r="A735" s="11">
        <v>45148</v>
      </c>
      <c r="B735" s="12" t="s">
        <v>65</v>
      </c>
      <c r="C735" s="12" t="s">
        <v>66</v>
      </c>
      <c r="D735" s="13" t="str">
        <f>HYPERLINK("https://www.marklines.com/en/global/9270","Kia Motors Mexico, Pesqueria Plant")</f>
        <v>Kia Motors Mexico, Pesqueria Plant</v>
      </c>
      <c r="E735" s="12" t="s">
        <v>897</v>
      </c>
      <c r="F735" s="12" t="s">
        <v>16</v>
      </c>
      <c r="G735" s="12" t="s">
        <v>430</v>
      </c>
      <c r="H735" s="12"/>
      <c r="I735" s="14">
        <v>45147</v>
      </c>
      <c r="J735" s="12" t="s">
        <v>898</v>
      </c>
    </row>
    <row r="736" spans="1:10" s="15" customFormat="1" x14ac:dyDescent="0.15">
      <c r="A736" s="11">
        <v>45148</v>
      </c>
      <c r="B736" s="12" t="s">
        <v>56</v>
      </c>
      <c r="C736" s="12" t="s">
        <v>56</v>
      </c>
      <c r="D736" s="13" t="str">
        <f>HYPERLINK("https://www.marklines.com/en/global/3153","Rivian, Normal Plant (former Mitsubishi Motors North America, Normal Plant)")</f>
        <v>Rivian, Normal Plant (former Mitsubishi Motors North America, Normal Plant)</v>
      </c>
      <c r="E736" s="12" t="s">
        <v>57</v>
      </c>
      <c r="F736" s="12" t="s">
        <v>16</v>
      </c>
      <c r="G736" s="12" t="s">
        <v>11</v>
      </c>
      <c r="H736" s="12" t="s">
        <v>58</v>
      </c>
      <c r="I736" s="14">
        <v>45146</v>
      </c>
      <c r="J736" s="12" t="s">
        <v>899</v>
      </c>
    </row>
    <row r="737" spans="1:10" s="15" customFormat="1" x14ac:dyDescent="0.15">
      <c r="A737" s="11">
        <v>45148</v>
      </c>
      <c r="B737" s="12" t="s">
        <v>90</v>
      </c>
      <c r="C737" s="12" t="s">
        <v>91</v>
      </c>
      <c r="D737" s="13" t="str">
        <f>HYPERLINK("https://www.marklines.com/en/global/729","LLC ""LADA Izhevsk"", LADA Izhevsk Automotive Plant (formerly OJSC Izh-Avto, Izhevsk Automobilny Zavod) ")</f>
        <v xml:space="preserve">LLC "LADA Izhevsk", LADA Izhevsk Automotive Plant (formerly OJSC Izh-Avto, Izhevsk Automobilny Zavod) </v>
      </c>
      <c r="E737" s="12" t="s">
        <v>613</v>
      </c>
      <c r="F737" s="12" t="s">
        <v>18</v>
      </c>
      <c r="G737" s="12" t="s">
        <v>14</v>
      </c>
      <c r="H737" s="12"/>
      <c r="I737" s="14">
        <v>45145</v>
      </c>
      <c r="J737" s="12" t="s">
        <v>900</v>
      </c>
    </row>
    <row r="738" spans="1:10" s="15" customFormat="1" x14ac:dyDescent="0.15">
      <c r="A738" s="11">
        <v>45148</v>
      </c>
      <c r="B738" s="12" t="s">
        <v>90</v>
      </c>
      <c r="C738" s="12" t="s">
        <v>91</v>
      </c>
      <c r="D738" s="13" t="str">
        <f>HYPERLINK("https://www.marklines.com/en/global/675","AvtoVAZ, Togliatti Plant")</f>
        <v>AvtoVAZ, Togliatti Plant</v>
      </c>
      <c r="E738" s="12" t="s">
        <v>92</v>
      </c>
      <c r="F738" s="12" t="s">
        <v>18</v>
      </c>
      <c r="G738" s="12" t="s">
        <v>14</v>
      </c>
      <c r="H738" s="12"/>
      <c r="I738" s="14">
        <v>45145</v>
      </c>
      <c r="J738" s="12" t="s">
        <v>900</v>
      </c>
    </row>
    <row r="739" spans="1:10" s="15" customFormat="1" x14ac:dyDescent="0.15">
      <c r="A739" s="11">
        <v>45148</v>
      </c>
      <c r="B739" s="12" t="s">
        <v>174</v>
      </c>
      <c r="C739" s="12" t="s">
        <v>174</v>
      </c>
      <c r="D739" s="13" t="str">
        <f>HYPERLINK("https://www.marklines.com/en/global/737","Kamaz, Naberezhnye Chelny Plant")</f>
        <v>Kamaz, Naberezhnye Chelny Plant</v>
      </c>
      <c r="E739" s="12" t="s">
        <v>593</v>
      </c>
      <c r="F739" s="12" t="s">
        <v>18</v>
      </c>
      <c r="G739" s="12" t="s">
        <v>14</v>
      </c>
      <c r="H739" s="12"/>
      <c r="I739" s="14">
        <v>45145</v>
      </c>
      <c r="J739" s="12" t="s">
        <v>901</v>
      </c>
    </row>
    <row r="740" spans="1:10" s="15" customFormat="1" x14ac:dyDescent="0.15">
      <c r="A740" s="11">
        <v>45148</v>
      </c>
      <c r="B740" s="12" t="s">
        <v>174</v>
      </c>
      <c r="C740" s="12" t="s">
        <v>174</v>
      </c>
      <c r="D740" s="13" t="str">
        <f>HYPERLINK("https://www.marklines.com/en/global/9057","Neftekamsk Motor Plant OJSC (OAO Neftekamskij avtozavod (NefAZ))")</f>
        <v>Neftekamsk Motor Plant OJSC (OAO Neftekamskij avtozavod (NefAZ))</v>
      </c>
      <c r="E740" s="12" t="s">
        <v>684</v>
      </c>
      <c r="F740" s="12" t="s">
        <v>18</v>
      </c>
      <c r="G740" s="12" t="s">
        <v>14</v>
      </c>
      <c r="H740" s="12"/>
      <c r="I740" s="14">
        <v>45145</v>
      </c>
      <c r="J740" s="12" t="s">
        <v>901</v>
      </c>
    </row>
    <row r="741" spans="1:10" s="15" customFormat="1" x14ac:dyDescent="0.15">
      <c r="A741" s="11">
        <v>45148</v>
      </c>
      <c r="B741" s="12" t="s">
        <v>174</v>
      </c>
      <c r="C741" s="12" t="s">
        <v>174</v>
      </c>
      <c r="D741" s="13" t="str">
        <f>HYPERLINK("https://www.marklines.com/en/global/10385","Sokolnichesky Carriage Repair and Construction Plant (SVARZ)")</f>
        <v>Sokolnichesky Carriage Repair and Construction Plant (SVARZ)</v>
      </c>
      <c r="E741" s="12" t="s">
        <v>685</v>
      </c>
      <c r="F741" s="12" t="s">
        <v>18</v>
      </c>
      <c r="G741" s="12" t="s">
        <v>14</v>
      </c>
      <c r="H741" s="12"/>
      <c r="I741" s="14">
        <v>45145</v>
      </c>
      <c r="J741" s="12" t="s">
        <v>901</v>
      </c>
    </row>
    <row r="742" spans="1:10" s="15" customFormat="1" x14ac:dyDescent="0.15">
      <c r="A742" s="11">
        <v>45148</v>
      </c>
      <c r="B742" s="12" t="s">
        <v>174</v>
      </c>
      <c r="C742" s="12" t="s">
        <v>174</v>
      </c>
      <c r="D742" s="13" t="str">
        <f>HYPERLINK("https://www.marklines.com/en/global/741","Trucks Vostok Rus LLC (TVR), Naberezhnye Chelny Plant (formerly OOO Daimler Kamaz Rus (DK Rus), OOO Mercedes-Benz Trucks Vostok) ")</f>
        <v xml:space="preserve">Trucks Vostok Rus LLC (TVR), Naberezhnye Chelny Plant (formerly OOO Daimler Kamaz Rus (DK Rus), OOO Mercedes-Benz Trucks Vostok) </v>
      </c>
      <c r="E742" s="12" t="s">
        <v>175</v>
      </c>
      <c r="F742" s="12" t="s">
        <v>18</v>
      </c>
      <c r="G742" s="12" t="s">
        <v>14</v>
      </c>
      <c r="H742" s="12"/>
      <c r="I742" s="14">
        <v>45145</v>
      </c>
      <c r="J742" s="12" t="s">
        <v>901</v>
      </c>
    </row>
    <row r="743" spans="1:10" s="15" customFormat="1" x14ac:dyDescent="0.15">
      <c r="A743" s="11">
        <v>45148</v>
      </c>
      <c r="B743" s="12" t="s">
        <v>96</v>
      </c>
      <c r="C743" s="12" t="s">
        <v>96</v>
      </c>
      <c r="D743" s="13" t="str">
        <f>HYPERLINK("https://www.marklines.com/en/global/3363","Brilliance Auto Group Holdings Co., Ltd.")</f>
        <v>Brilliance Auto Group Holdings Co., Ltd.</v>
      </c>
      <c r="E743" s="12" t="s">
        <v>902</v>
      </c>
      <c r="F743" s="12" t="s">
        <v>20</v>
      </c>
      <c r="G743" s="12" t="s">
        <v>27</v>
      </c>
      <c r="H743" s="12" t="s">
        <v>714</v>
      </c>
      <c r="I743" s="14">
        <v>45143</v>
      </c>
      <c r="J743" s="12" t="s">
        <v>903</v>
      </c>
    </row>
    <row r="744" spans="1:10" s="15" customFormat="1" x14ac:dyDescent="0.15">
      <c r="A744" s="11">
        <v>45148</v>
      </c>
      <c r="B744" s="12" t="s">
        <v>246</v>
      </c>
      <c r="C744" s="12" t="s">
        <v>904</v>
      </c>
      <c r="D744" s="13" t="str">
        <f>HYPERLINK("https://www.marklines.com/en/global/3361","Shenyang Jinbei Automotive Co., Ltd. ")</f>
        <v xml:space="preserve">Shenyang Jinbei Automotive Co., Ltd. </v>
      </c>
      <c r="E744" s="12" t="s">
        <v>905</v>
      </c>
      <c r="F744" s="12" t="s">
        <v>20</v>
      </c>
      <c r="G744" s="12" t="s">
        <v>27</v>
      </c>
      <c r="H744" s="12" t="s">
        <v>714</v>
      </c>
      <c r="I744" s="14">
        <v>45143</v>
      </c>
      <c r="J744" s="12" t="s">
        <v>903</v>
      </c>
    </row>
    <row r="745" spans="1:10" s="15" customFormat="1" x14ac:dyDescent="0.15">
      <c r="A745" s="11">
        <v>45148</v>
      </c>
      <c r="B745" s="12" t="s">
        <v>109</v>
      </c>
      <c r="C745" s="12" t="s">
        <v>195</v>
      </c>
      <c r="D745" s="13" t="str">
        <f>HYPERLINK("https://www.marklines.com/en/global/4125","BYD Automobile Industry Co., Ltd., Shenzhen Plant")</f>
        <v>BYD Automobile Industry Co., Ltd., Shenzhen Plant</v>
      </c>
      <c r="E745" s="12" t="s">
        <v>137</v>
      </c>
      <c r="F745" s="12" t="s">
        <v>20</v>
      </c>
      <c r="G745" s="12" t="s">
        <v>27</v>
      </c>
      <c r="H745" s="12" t="s">
        <v>31</v>
      </c>
      <c r="I745" s="14">
        <v>45143</v>
      </c>
      <c r="J745" s="12" t="s">
        <v>906</v>
      </c>
    </row>
    <row r="746" spans="1:10" s="15" customFormat="1" x14ac:dyDescent="0.15">
      <c r="A746" s="11">
        <v>45148</v>
      </c>
      <c r="B746" s="12" t="s">
        <v>109</v>
      </c>
      <c r="C746" s="12" t="s">
        <v>195</v>
      </c>
      <c r="D746" s="13" t="str">
        <f>HYPERLINK("https://www.marklines.com/en/global/4043","BYD Automobile Industry Co., Ltd., Changsha Branch")</f>
        <v>BYD Automobile Industry Co., Ltd., Changsha Branch</v>
      </c>
      <c r="E746" s="12" t="s">
        <v>136</v>
      </c>
      <c r="F746" s="12" t="s">
        <v>20</v>
      </c>
      <c r="G746" s="12" t="s">
        <v>27</v>
      </c>
      <c r="H746" s="12" t="s">
        <v>112</v>
      </c>
      <c r="I746" s="14">
        <v>45143</v>
      </c>
      <c r="J746" s="12" t="s">
        <v>906</v>
      </c>
    </row>
    <row r="747" spans="1:10" s="15" customFormat="1" x14ac:dyDescent="0.15">
      <c r="A747" s="11">
        <v>45148</v>
      </c>
      <c r="B747" s="12" t="s">
        <v>29</v>
      </c>
      <c r="C747" s="12" t="s">
        <v>29</v>
      </c>
      <c r="D747" s="13" t="str">
        <f>HYPERLINK("https://www.marklines.com/en/global/3807","Zhejiang Geely Holding Group Co., Ltd.")</f>
        <v>Zhejiang Geely Holding Group Co., Ltd.</v>
      </c>
      <c r="E747" s="12" t="s">
        <v>76</v>
      </c>
      <c r="F747" s="12" t="s">
        <v>20</v>
      </c>
      <c r="G747" s="12" t="s">
        <v>27</v>
      </c>
      <c r="H747" s="12" t="s">
        <v>51</v>
      </c>
      <c r="I747" s="14">
        <v>45142</v>
      </c>
      <c r="J747" s="12" t="s">
        <v>907</v>
      </c>
    </row>
    <row r="748" spans="1:10" s="15" customFormat="1" x14ac:dyDescent="0.15">
      <c r="A748" s="11">
        <v>45147</v>
      </c>
      <c r="B748" s="12" t="s">
        <v>374</v>
      </c>
      <c r="C748" s="12" t="s">
        <v>374</v>
      </c>
      <c r="D748" s="13" t="str">
        <f>HYPERLINK("https://www.marklines.com/en/global/3287","Volvo Trucks North America Inc., New River Valley (Dublin) Plant")</f>
        <v>Volvo Trucks North America Inc., New River Valley (Dublin) Plant</v>
      </c>
      <c r="E748" s="12" t="s">
        <v>908</v>
      </c>
      <c r="F748" s="12" t="s">
        <v>16</v>
      </c>
      <c r="G748" s="12" t="s">
        <v>11</v>
      </c>
      <c r="H748" s="12" t="s">
        <v>377</v>
      </c>
      <c r="I748" s="14">
        <v>45146</v>
      </c>
      <c r="J748" s="12" t="s">
        <v>909</v>
      </c>
    </row>
    <row r="749" spans="1:10" s="15" customFormat="1" x14ac:dyDescent="0.15">
      <c r="A749" s="11">
        <v>45147</v>
      </c>
      <c r="B749" s="12" t="s">
        <v>383</v>
      </c>
      <c r="C749" s="12" t="s">
        <v>383</v>
      </c>
      <c r="D749" s="13" t="str">
        <f>HYPERLINK("https://www.marklines.com/en/global/9873","Lucid Motors (Lucid Group, Inc.), Casa Grande plant")</f>
        <v>Lucid Motors (Lucid Group, Inc.), Casa Grande plant</v>
      </c>
      <c r="E749" s="12" t="s">
        <v>384</v>
      </c>
      <c r="F749" s="12" t="s">
        <v>16</v>
      </c>
      <c r="G749" s="12" t="s">
        <v>11</v>
      </c>
      <c r="H749" s="12" t="s">
        <v>355</v>
      </c>
      <c r="I749" s="14">
        <v>45145</v>
      </c>
      <c r="J749" s="12" t="s">
        <v>910</v>
      </c>
    </row>
    <row r="750" spans="1:10" s="15" customFormat="1" x14ac:dyDescent="0.15">
      <c r="A750" s="11">
        <v>45147</v>
      </c>
      <c r="B750" s="12" t="s">
        <v>12</v>
      </c>
      <c r="C750" s="12" t="s">
        <v>12</v>
      </c>
      <c r="D750" s="13" t="str">
        <f>HYPERLINK("https://www.marklines.com/en/global/2541","General Motors Canada, Ingersoll Plant")</f>
        <v>General Motors Canada, Ingersoll Plant</v>
      </c>
      <c r="E750" s="12" t="s">
        <v>584</v>
      </c>
      <c r="F750" s="12" t="s">
        <v>16</v>
      </c>
      <c r="G750" s="12" t="s">
        <v>82</v>
      </c>
      <c r="H750" s="12"/>
      <c r="I750" s="14">
        <v>45145</v>
      </c>
      <c r="J750" s="12" t="s">
        <v>911</v>
      </c>
    </row>
    <row r="751" spans="1:10" s="15" customFormat="1" x14ac:dyDescent="0.15">
      <c r="A751" s="11">
        <v>45147</v>
      </c>
      <c r="B751" s="12" t="s">
        <v>68</v>
      </c>
      <c r="C751" s="12" t="s">
        <v>79</v>
      </c>
      <c r="D751" s="13" t="str">
        <f>HYPERLINK("https://www.marklines.com/en/global/2953","Nordex S.A., Montevideo Plant")</f>
        <v>Nordex S.A., Montevideo Plant</v>
      </c>
      <c r="E751" s="12" t="s">
        <v>912</v>
      </c>
      <c r="F751" s="12" t="s">
        <v>74</v>
      </c>
      <c r="G751" s="12" t="s">
        <v>913</v>
      </c>
      <c r="H751" s="12"/>
      <c r="I751" s="14">
        <v>45145</v>
      </c>
      <c r="J751" s="12" t="s">
        <v>914</v>
      </c>
    </row>
    <row r="752" spans="1:10" s="15" customFormat="1" x14ac:dyDescent="0.15">
      <c r="A752" s="11">
        <v>45147</v>
      </c>
      <c r="B752" s="12" t="s">
        <v>43</v>
      </c>
      <c r="C752" s="12" t="s">
        <v>67</v>
      </c>
      <c r="D752" s="13" t="str">
        <f>HYPERLINK("https://www.marklines.com/en/global/2269","Volkswagen AG, Hannover Plant (VW Nutzfahrzeuge)")</f>
        <v>Volkswagen AG, Hannover Plant (VW Nutzfahrzeuge)</v>
      </c>
      <c r="E752" s="12" t="s">
        <v>885</v>
      </c>
      <c r="F752" s="12" t="s">
        <v>17</v>
      </c>
      <c r="G752" s="12" t="s">
        <v>21</v>
      </c>
      <c r="H752" s="12"/>
      <c r="I752" s="14">
        <v>45142</v>
      </c>
      <c r="J752" s="12" t="s">
        <v>915</v>
      </c>
    </row>
    <row r="753" spans="1:10" s="15" customFormat="1" x14ac:dyDescent="0.15">
      <c r="A753" s="11">
        <v>45146</v>
      </c>
      <c r="B753" s="12" t="s">
        <v>13</v>
      </c>
      <c r="C753" s="12" t="s">
        <v>87</v>
      </c>
      <c r="D753" s="13" t="str">
        <f>HYPERLINK("https://www.marklines.com/en/global/10472","Alexander Dennis Ltd., Plaxton – Scarborough Plant")</f>
        <v>Alexander Dennis Ltd., Plaxton – Scarborough Plant</v>
      </c>
      <c r="E753" s="12" t="s">
        <v>916</v>
      </c>
      <c r="F753" s="12" t="s">
        <v>17</v>
      </c>
      <c r="G753" s="12" t="s">
        <v>73</v>
      </c>
      <c r="H753" s="12"/>
      <c r="I753" s="14">
        <v>45145</v>
      </c>
      <c r="J753" s="12" t="s">
        <v>917</v>
      </c>
    </row>
    <row r="754" spans="1:10" s="15" customFormat="1" x14ac:dyDescent="0.15">
      <c r="A754" s="11">
        <v>45146</v>
      </c>
      <c r="B754" s="12" t="s">
        <v>13</v>
      </c>
      <c r="C754" s="12" t="s">
        <v>87</v>
      </c>
      <c r="D754" s="13" t="str">
        <f>HYPERLINK("https://www.marklines.com/en/global/1533","Alexander Dennis Ltd. Bus Body Group, Falkirk Plant")</f>
        <v>Alexander Dennis Ltd. Bus Body Group, Falkirk Plant</v>
      </c>
      <c r="E754" s="12" t="s">
        <v>88</v>
      </c>
      <c r="F754" s="12" t="s">
        <v>17</v>
      </c>
      <c r="G754" s="12" t="s">
        <v>73</v>
      </c>
      <c r="H754" s="12"/>
      <c r="I754" s="14">
        <v>45145</v>
      </c>
      <c r="J754" s="12" t="s">
        <v>917</v>
      </c>
    </row>
    <row r="755" spans="1:10" s="15" customFormat="1" x14ac:dyDescent="0.15">
      <c r="A755" s="11">
        <v>45146</v>
      </c>
      <c r="B755" s="12" t="s">
        <v>156</v>
      </c>
      <c r="C755" s="12" t="s">
        <v>156</v>
      </c>
      <c r="D755" s="13" t="str">
        <f>HYPERLINK("https://www.marklines.com/en/global/10448","Nikola Coolidge Manufacturing Facility")</f>
        <v>Nikola Coolidge Manufacturing Facility</v>
      </c>
      <c r="E755" s="12" t="s">
        <v>354</v>
      </c>
      <c r="F755" s="12" t="s">
        <v>16</v>
      </c>
      <c r="G755" s="12" t="s">
        <v>11</v>
      </c>
      <c r="H755" s="12" t="s">
        <v>355</v>
      </c>
      <c r="I755" s="14">
        <v>45142</v>
      </c>
      <c r="J755" s="12" t="s">
        <v>918</v>
      </c>
    </row>
    <row r="756" spans="1:10" s="15" customFormat="1" x14ac:dyDescent="0.15">
      <c r="A756" s="11">
        <v>45146</v>
      </c>
      <c r="B756" s="12" t="s">
        <v>100</v>
      </c>
      <c r="C756" s="12" t="s">
        <v>100</v>
      </c>
      <c r="D756" s="13" t="str">
        <f>HYPERLINK("https://www.marklines.com/en/global/3187","Nissan North America, Canton Plant")</f>
        <v>Nissan North America, Canton Plant</v>
      </c>
      <c r="E756" s="12" t="s">
        <v>519</v>
      </c>
      <c r="F756" s="12" t="s">
        <v>16</v>
      </c>
      <c r="G756" s="12" t="s">
        <v>11</v>
      </c>
      <c r="H756" s="12" t="s">
        <v>520</v>
      </c>
      <c r="I756" s="14">
        <v>45142</v>
      </c>
      <c r="J756" s="12" t="s">
        <v>919</v>
      </c>
    </row>
    <row r="757" spans="1:10" s="15" customFormat="1" x14ac:dyDescent="0.15">
      <c r="A757" s="11">
        <v>45146</v>
      </c>
      <c r="B757" s="12" t="s">
        <v>725</v>
      </c>
      <c r="C757" s="12" t="s">
        <v>726</v>
      </c>
      <c r="D757" s="13" t="str">
        <f>HYPERLINK("https://www.marklines.com/en/global/9538","Hozon New Energy Automobile Co., Ltd. (formerly Zhejiang Hozon New Energy Automobile Co., Ltd.)")</f>
        <v>Hozon New Energy Automobile Co., Ltd. (formerly Zhejiang Hozon New Energy Automobile Co., Ltd.)</v>
      </c>
      <c r="E757" s="12" t="s">
        <v>920</v>
      </c>
      <c r="F757" s="12" t="s">
        <v>20</v>
      </c>
      <c r="G757" s="12" t="s">
        <v>27</v>
      </c>
      <c r="H757" s="12" t="s">
        <v>51</v>
      </c>
      <c r="I757" s="14">
        <v>45141</v>
      </c>
      <c r="J757" s="12" t="s">
        <v>921</v>
      </c>
    </row>
    <row r="758" spans="1:10" s="15" customFormat="1" x14ac:dyDescent="0.15">
      <c r="A758" s="11">
        <v>45146</v>
      </c>
      <c r="B758" s="12" t="s">
        <v>725</v>
      </c>
      <c r="C758" s="12" t="s">
        <v>726</v>
      </c>
      <c r="D758" s="13" t="str">
        <f>HYPERLINK("https://www.marklines.com/en/global/10525","Nanning Ningda New Energy Vehicle Co., Ltd.")</f>
        <v>Nanning Ningda New Energy Vehicle Co., Ltd.</v>
      </c>
      <c r="E758" s="12" t="s">
        <v>922</v>
      </c>
      <c r="F758" s="12" t="s">
        <v>20</v>
      </c>
      <c r="G758" s="12" t="s">
        <v>27</v>
      </c>
      <c r="H758" s="12" t="s">
        <v>48</v>
      </c>
      <c r="I758" s="14">
        <v>45141</v>
      </c>
      <c r="J758" s="12" t="s">
        <v>921</v>
      </c>
    </row>
    <row r="759" spans="1:10" s="15" customFormat="1" x14ac:dyDescent="0.15">
      <c r="A759" s="11">
        <v>45146</v>
      </c>
      <c r="B759" s="12" t="s">
        <v>725</v>
      </c>
      <c r="C759" s="12" t="s">
        <v>726</v>
      </c>
      <c r="D759" s="13" t="str">
        <f>HYPERLINK("https://www.marklines.com/en/global/10404","Hozon New Energy Automobile Co., Ltd. Yichun Branch")</f>
        <v>Hozon New Energy Automobile Co., Ltd. Yichun Branch</v>
      </c>
      <c r="E759" s="12" t="s">
        <v>923</v>
      </c>
      <c r="F759" s="12" t="s">
        <v>20</v>
      </c>
      <c r="G759" s="12" t="s">
        <v>27</v>
      </c>
      <c r="H759" s="12" t="s">
        <v>370</v>
      </c>
      <c r="I759" s="14">
        <v>45141</v>
      </c>
      <c r="J759" s="12" t="s">
        <v>921</v>
      </c>
    </row>
    <row r="760" spans="1:10" s="15" customFormat="1" x14ac:dyDescent="0.15">
      <c r="A760" s="11">
        <v>45146</v>
      </c>
      <c r="B760" s="12" t="s">
        <v>12</v>
      </c>
      <c r="C760" s="12" t="s">
        <v>12</v>
      </c>
      <c r="D760" s="13" t="str">
        <f>HYPERLINK("https://www.marklines.com/en/global/9976","Ultium Cells LLC, Warren Plant ")</f>
        <v xml:space="preserve">Ultium Cells LLC, Warren Plant </v>
      </c>
      <c r="E760" s="12" t="s">
        <v>586</v>
      </c>
      <c r="F760" s="12" t="s">
        <v>16</v>
      </c>
      <c r="G760" s="12" t="s">
        <v>11</v>
      </c>
      <c r="H760" s="12" t="s">
        <v>587</v>
      </c>
      <c r="I760" s="14">
        <v>45138</v>
      </c>
      <c r="J760" s="12" t="s">
        <v>924</v>
      </c>
    </row>
    <row r="761" spans="1:10" s="15" customFormat="1" x14ac:dyDescent="0.15">
      <c r="A761" s="11">
        <v>45146</v>
      </c>
      <c r="B761" s="12" t="s">
        <v>12</v>
      </c>
      <c r="C761" s="12" t="s">
        <v>12</v>
      </c>
      <c r="D761" s="13" t="str">
        <f>HYPERLINK("https://www.marklines.com/en/global/2541","General Motors Canada, Ingersoll Plant")</f>
        <v>General Motors Canada, Ingersoll Plant</v>
      </c>
      <c r="E761" s="12" t="s">
        <v>584</v>
      </c>
      <c r="F761" s="12" t="s">
        <v>16</v>
      </c>
      <c r="G761" s="12" t="s">
        <v>82</v>
      </c>
      <c r="H761" s="12"/>
      <c r="I761" s="14">
        <v>45138</v>
      </c>
      <c r="J761" s="12" t="s">
        <v>924</v>
      </c>
    </row>
    <row r="762" spans="1:10" s="15" customFormat="1" x14ac:dyDescent="0.15">
      <c r="A762" s="11">
        <v>45145</v>
      </c>
      <c r="B762" s="12" t="s">
        <v>790</v>
      </c>
      <c r="C762" s="12" t="s">
        <v>925</v>
      </c>
      <c r="D762" s="13" t="str">
        <f>HYPERLINK("https://www.marklines.com/en/global/1214","Mahindra Heavy Engines Ltd. (MHEL), Chakan Plant (former Mahindra Navistar Engines Pvt. Ltd.) ")</f>
        <v xml:space="preserve">Mahindra Heavy Engines Ltd. (MHEL), Chakan Plant (former Mahindra Navistar Engines Pvt. Ltd.) </v>
      </c>
      <c r="E762" s="12" t="s">
        <v>926</v>
      </c>
      <c r="F762" s="12" t="s">
        <v>25</v>
      </c>
      <c r="G762" s="12" t="s">
        <v>26</v>
      </c>
      <c r="H762" s="12" t="s">
        <v>736</v>
      </c>
      <c r="I762" s="14">
        <v>45142</v>
      </c>
      <c r="J762" s="12" t="s">
        <v>927</v>
      </c>
    </row>
    <row r="763" spans="1:10" s="15" customFormat="1" x14ac:dyDescent="0.15">
      <c r="A763" s="11">
        <v>45145</v>
      </c>
      <c r="B763" s="12" t="s">
        <v>790</v>
      </c>
      <c r="C763" s="12" t="s">
        <v>925</v>
      </c>
      <c r="D763" s="13" t="str">
        <f>HYPERLINK("https://www.marklines.com/en/global/1195","Mahindra &amp; Mahindra Ltd.")</f>
        <v>Mahindra &amp; Mahindra Ltd.</v>
      </c>
      <c r="E763" s="12" t="s">
        <v>928</v>
      </c>
      <c r="F763" s="12" t="s">
        <v>25</v>
      </c>
      <c r="G763" s="12" t="s">
        <v>26</v>
      </c>
      <c r="H763" s="12" t="s">
        <v>736</v>
      </c>
      <c r="I763" s="14">
        <v>45142</v>
      </c>
      <c r="J763" s="12" t="s">
        <v>927</v>
      </c>
    </row>
    <row r="764" spans="1:10" s="15" customFormat="1" x14ac:dyDescent="0.15">
      <c r="A764" s="11">
        <v>45145</v>
      </c>
      <c r="B764" s="12" t="s">
        <v>29</v>
      </c>
      <c r="C764" s="12" t="s">
        <v>929</v>
      </c>
      <c r="D764" s="13" t="str">
        <f>HYPERLINK("https://www.marklines.com/en/global/10387","Zeekr Automobile (Ningbo Hangzhou Bay New Zone) Co., Ltd. (formerly Ningbo Zeekr Intelligent Technology Co., Ltd.")</f>
        <v>Zeekr Automobile (Ningbo Hangzhou Bay New Zone) Co., Ltd. (formerly Ningbo Zeekr Intelligent Technology Co., Ltd.</v>
      </c>
      <c r="E764" s="12" t="s">
        <v>930</v>
      </c>
      <c r="F764" s="12" t="s">
        <v>20</v>
      </c>
      <c r="G764" s="12" t="s">
        <v>27</v>
      </c>
      <c r="H764" s="12" t="s">
        <v>51</v>
      </c>
      <c r="I764" s="14">
        <v>45141</v>
      </c>
      <c r="J764" s="12" t="s">
        <v>931</v>
      </c>
    </row>
    <row r="765" spans="1:10" s="15" customFormat="1" x14ac:dyDescent="0.15">
      <c r="A765" s="11">
        <v>45145</v>
      </c>
      <c r="B765" s="12" t="s">
        <v>68</v>
      </c>
      <c r="C765" s="12" t="s">
        <v>68</v>
      </c>
      <c r="D765" s="13" t="str">
        <f>HYPERLINK("https://www.marklines.com/en/global/1939","Stellantis, Peugeot Citroen Automoviles Espana S.A., Vigo Plant")</f>
        <v>Stellantis, Peugeot Citroen Automoviles Espana S.A., Vigo Plant</v>
      </c>
      <c r="E765" s="12" t="s">
        <v>158</v>
      </c>
      <c r="F765" s="12" t="s">
        <v>17</v>
      </c>
      <c r="G765" s="12" t="s">
        <v>114</v>
      </c>
      <c r="H765" s="12"/>
      <c r="I765" s="14">
        <v>45140</v>
      </c>
      <c r="J765" s="12" t="s">
        <v>932</v>
      </c>
    </row>
    <row r="766" spans="1:10" s="15" customFormat="1" x14ac:dyDescent="0.15">
      <c r="A766" s="11">
        <v>45145</v>
      </c>
      <c r="B766" s="12" t="s">
        <v>142</v>
      </c>
      <c r="C766" s="12" t="s">
        <v>473</v>
      </c>
      <c r="D766" s="13" t="str">
        <f>HYPERLINK("https://www.marklines.com/en/global/3803","Higer Bus Co., Ltd.")</f>
        <v>Higer Bus Co., Ltd.</v>
      </c>
      <c r="E766" s="12" t="s">
        <v>474</v>
      </c>
      <c r="F766" s="12" t="s">
        <v>20</v>
      </c>
      <c r="G766" s="12" t="s">
        <v>27</v>
      </c>
      <c r="H766" s="12" t="s">
        <v>52</v>
      </c>
      <c r="I766" s="14">
        <v>45140</v>
      </c>
      <c r="J766" s="12" t="s">
        <v>933</v>
      </c>
    </row>
    <row r="767" spans="1:10" s="15" customFormat="1" x14ac:dyDescent="0.15">
      <c r="A767" s="11">
        <v>45143</v>
      </c>
      <c r="B767" s="12" t="s">
        <v>68</v>
      </c>
      <c r="C767" s="12" t="s">
        <v>72</v>
      </c>
      <c r="D767" s="13" t="str">
        <f>HYPERLINK("https://www.marklines.com/en/global/10153","Stellantis, PSA Tech Center (Porto Real)")</f>
        <v>Stellantis, PSA Tech Center (Porto Real)</v>
      </c>
      <c r="E767" s="12" t="s">
        <v>332</v>
      </c>
      <c r="F767" s="12" t="s">
        <v>74</v>
      </c>
      <c r="G767" s="12" t="s">
        <v>75</v>
      </c>
      <c r="H767" s="12"/>
      <c r="I767" s="14">
        <v>45139</v>
      </c>
      <c r="J767" s="12" t="s">
        <v>934</v>
      </c>
    </row>
    <row r="768" spans="1:10" s="15" customFormat="1" x14ac:dyDescent="0.15">
      <c r="A768" s="11">
        <v>45143</v>
      </c>
      <c r="B768" s="12" t="s">
        <v>68</v>
      </c>
      <c r="C768" s="12" t="s">
        <v>935</v>
      </c>
      <c r="D768" s="13" t="str">
        <f>HYPERLINK("https://www.marklines.com/en/global/10153","Stellantis, PSA Tech Center (Porto Real)")</f>
        <v>Stellantis, PSA Tech Center (Porto Real)</v>
      </c>
      <c r="E768" s="12" t="s">
        <v>332</v>
      </c>
      <c r="F768" s="12" t="s">
        <v>74</v>
      </c>
      <c r="G768" s="12" t="s">
        <v>75</v>
      </c>
      <c r="H768" s="12"/>
      <c r="I768" s="14">
        <v>45139</v>
      </c>
      <c r="J768" s="12" t="s">
        <v>934</v>
      </c>
    </row>
    <row r="769" spans="1:10" s="15" customFormat="1" x14ac:dyDescent="0.15">
      <c r="A769" s="11">
        <v>45143</v>
      </c>
      <c r="B769" s="12" t="s">
        <v>68</v>
      </c>
      <c r="C769" s="12" t="s">
        <v>68</v>
      </c>
      <c r="D769" s="13" t="str">
        <f>HYPERLINK("https://www.marklines.com/en/global/8835","Stellantis, Fiat Powertrain Technologies, Betim Plant")</f>
        <v>Stellantis, Fiat Powertrain Technologies, Betim Plant</v>
      </c>
      <c r="E769" s="12" t="s">
        <v>334</v>
      </c>
      <c r="F769" s="12" t="s">
        <v>74</v>
      </c>
      <c r="G769" s="12" t="s">
        <v>75</v>
      </c>
      <c r="H769" s="12"/>
      <c r="I769" s="14">
        <v>45139</v>
      </c>
      <c r="J769" s="12" t="s">
        <v>934</v>
      </c>
    </row>
    <row r="770" spans="1:10" s="15" customFormat="1" x14ac:dyDescent="0.15">
      <c r="A770" s="11">
        <v>45143</v>
      </c>
      <c r="B770" s="12" t="s">
        <v>68</v>
      </c>
      <c r="C770" s="12" t="s">
        <v>68</v>
      </c>
      <c r="D770" s="13" t="str">
        <f>HYPERLINK("https://www.marklines.com/en/global/2833","Stellantis, FCA Brazil, Betim Plant")</f>
        <v>Stellantis, FCA Brazil, Betim Plant</v>
      </c>
      <c r="E770" s="12" t="s">
        <v>336</v>
      </c>
      <c r="F770" s="12" t="s">
        <v>74</v>
      </c>
      <c r="G770" s="12" t="s">
        <v>75</v>
      </c>
      <c r="H770" s="12"/>
      <c r="I770" s="14">
        <v>45139</v>
      </c>
      <c r="J770" s="12" t="s">
        <v>934</v>
      </c>
    </row>
    <row r="771" spans="1:10" x14ac:dyDescent="0.15">
      <c r="A771" s="7">
        <v>45142</v>
      </c>
      <c r="B771" s="8" t="s">
        <v>198</v>
      </c>
      <c r="C771" s="8" t="s">
        <v>198</v>
      </c>
      <c r="D771" s="9" t="str">
        <f>HYPERLINK("https://www.marklines.com/en/global/1809","Magna Steyr Fahrzeugtechnik AG &amp; Co KG, Graz Plant")</f>
        <v>Magna Steyr Fahrzeugtechnik AG &amp; Co KG, Graz Plant</v>
      </c>
      <c r="E771" s="8" t="s">
        <v>101</v>
      </c>
      <c r="F771" s="8" t="s">
        <v>17</v>
      </c>
      <c r="G771" s="8" t="s">
        <v>102</v>
      </c>
      <c r="H771" s="8"/>
      <c r="I771" s="10">
        <v>45142</v>
      </c>
      <c r="J771" s="8" t="s">
        <v>732</v>
      </c>
    </row>
    <row r="772" spans="1:10" x14ac:dyDescent="0.15">
      <c r="A772" s="7">
        <v>45142</v>
      </c>
      <c r="B772" s="8" t="s">
        <v>733</v>
      </c>
      <c r="C772" s="8" t="s">
        <v>734</v>
      </c>
      <c r="D772" s="9" t="str">
        <f>HYPERLINK("https://www.marklines.com/en/global/1263","Tata Motors, Pune Plant")</f>
        <v>Tata Motors, Pune Plant</v>
      </c>
      <c r="E772" s="8" t="s">
        <v>735</v>
      </c>
      <c r="F772" s="8" t="s">
        <v>25</v>
      </c>
      <c r="G772" s="8" t="s">
        <v>26</v>
      </c>
      <c r="H772" s="8" t="s">
        <v>736</v>
      </c>
      <c r="I772" s="10">
        <v>45142</v>
      </c>
      <c r="J772" s="8" t="s">
        <v>737</v>
      </c>
    </row>
    <row r="773" spans="1:10" x14ac:dyDescent="0.15">
      <c r="A773" s="7">
        <v>45142</v>
      </c>
      <c r="B773" s="8" t="s">
        <v>50</v>
      </c>
      <c r="C773" s="8" t="s">
        <v>50</v>
      </c>
      <c r="D773" s="9" t="str">
        <f>HYPERLINK("https://www.marklines.com/en/global/1253","Maruti Suzuki India Ltd. (MSIL), Gurgaon Plant")</f>
        <v>Maruti Suzuki India Ltd. (MSIL), Gurgaon Plant</v>
      </c>
      <c r="E773" s="8" t="s">
        <v>738</v>
      </c>
      <c r="F773" s="8" t="s">
        <v>25</v>
      </c>
      <c r="G773" s="8" t="s">
        <v>26</v>
      </c>
      <c r="H773" s="8" t="s">
        <v>739</v>
      </c>
      <c r="I773" s="10">
        <v>45141</v>
      </c>
      <c r="J773" s="8" t="s">
        <v>740</v>
      </c>
    </row>
    <row r="774" spans="1:10" x14ac:dyDescent="0.15">
      <c r="A774" s="7">
        <v>45142</v>
      </c>
      <c r="B774" s="8" t="s">
        <v>22</v>
      </c>
      <c r="C774" s="8" t="s">
        <v>22</v>
      </c>
      <c r="D774" s="9" t="str">
        <f>HYPERLINK("https://www.marklines.com/en/global/2917","Toyota do Brasil Ltda., Sorocaba Plant")</f>
        <v>Toyota do Brasil Ltda., Sorocaba Plant</v>
      </c>
      <c r="E774" s="8" t="s">
        <v>741</v>
      </c>
      <c r="F774" s="8" t="s">
        <v>74</v>
      </c>
      <c r="G774" s="8" t="s">
        <v>75</v>
      </c>
      <c r="H774" s="8"/>
      <c r="I774" s="10">
        <v>45141</v>
      </c>
      <c r="J774" s="8" t="s">
        <v>742</v>
      </c>
    </row>
    <row r="775" spans="1:10" x14ac:dyDescent="0.15">
      <c r="A775" s="7">
        <v>45142</v>
      </c>
      <c r="B775" s="8" t="s">
        <v>22</v>
      </c>
      <c r="C775" s="8" t="s">
        <v>22</v>
      </c>
      <c r="D775" s="9" t="str">
        <f>HYPERLINK("https://www.marklines.com/en/global/3237","Toyota Motor Manufacturing, Indiana,  Inc. (TMMI), Princeton Plant")</f>
        <v>Toyota Motor Manufacturing, Indiana,  Inc. (TMMI), Princeton Plant</v>
      </c>
      <c r="E775" s="8" t="s">
        <v>743</v>
      </c>
      <c r="F775" s="8" t="s">
        <v>16</v>
      </c>
      <c r="G775" s="8" t="s">
        <v>11</v>
      </c>
      <c r="H775" s="8" t="s">
        <v>744</v>
      </c>
      <c r="I775" s="10">
        <v>45140</v>
      </c>
      <c r="J775" s="8" t="s">
        <v>745</v>
      </c>
    </row>
    <row r="776" spans="1:10" x14ac:dyDescent="0.15">
      <c r="A776" s="7">
        <v>45142</v>
      </c>
      <c r="B776" s="8" t="s">
        <v>53</v>
      </c>
      <c r="C776" s="8" t="s">
        <v>53</v>
      </c>
      <c r="D776" s="9" t="str">
        <f>HYPERLINK("https://www.marklines.com/en/global/3533","Great Wall Motor Company Limited (GWM)")</f>
        <v>Great Wall Motor Company Limited (GWM)</v>
      </c>
      <c r="E776" s="8" t="s">
        <v>556</v>
      </c>
      <c r="F776" s="8" t="s">
        <v>20</v>
      </c>
      <c r="G776" s="8" t="s">
        <v>27</v>
      </c>
      <c r="H776" s="8" t="s">
        <v>557</v>
      </c>
      <c r="I776" s="10">
        <v>45140</v>
      </c>
      <c r="J776" s="8" t="s">
        <v>746</v>
      </c>
    </row>
    <row r="777" spans="1:10" x14ac:dyDescent="0.15">
      <c r="A777" s="7">
        <v>45142</v>
      </c>
      <c r="B777" s="8" t="s">
        <v>747</v>
      </c>
      <c r="C777" s="8" t="s">
        <v>747</v>
      </c>
      <c r="D777" s="9" t="str">
        <f>HYPERLINK("https://www.marklines.com/en/global/3215","Subaru of Indiana Automotive Inc. (SIA), Lafayette Plant")</f>
        <v>Subaru of Indiana Automotive Inc. (SIA), Lafayette Plant</v>
      </c>
      <c r="E777" s="8" t="s">
        <v>748</v>
      </c>
      <c r="F777" s="8" t="s">
        <v>16</v>
      </c>
      <c r="G777" s="8" t="s">
        <v>11</v>
      </c>
      <c r="H777" s="8" t="s">
        <v>744</v>
      </c>
      <c r="I777" s="10">
        <v>45140</v>
      </c>
      <c r="J777" s="8" t="s">
        <v>749</v>
      </c>
    </row>
    <row r="778" spans="1:10" x14ac:dyDescent="0.15">
      <c r="A778" s="7">
        <v>45142</v>
      </c>
      <c r="B778" s="8" t="s">
        <v>44</v>
      </c>
      <c r="C778" s="8" t="s">
        <v>44</v>
      </c>
      <c r="D778" s="9" t="str">
        <f>HYPERLINK("https://www.marklines.com/en/global/4073","Guangzhou Automobile Group Co., Ltd. (GAC)")</f>
        <v>Guangzhou Automobile Group Co., Ltd. (GAC)</v>
      </c>
      <c r="E778" s="8" t="s">
        <v>45</v>
      </c>
      <c r="F778" s="8" t="s">
        <v>20</v>
      </c>
      <c r="G778" s="8" t="s">
        <v>27</v>
      </c>
      <c r="H778" s="8" t="s">
        <v>31</v>
      </c>
      <c r="I778" s="10">
        <v>45139</v>
      </c>
      <c r="J778" s="8" t="s">
        <v>750</v>
      </c>
    </row>
    <row r="779" spans="1:10" x14ac:dyDescent="0.15">
      <c r="A779" s="7">
        <v>45142</v>
      </c>
      <c r="B779" s="8" t="s">
        <v>24</v>
      </c>
      <c r="C779" s="8" t="s">
        <v>24</v>
      </c>
      <c r="D779" s="9" t="str">
        <f>HYPERLINK("https://www.marklines.com/en/global/4167","Changan Ford Automobile Co., Ltd.")</f>
        <v>Changan Ford Automobile Co., Ltd.</v>
      </c>
      <c r="E779" s="8" t="s">
        <v>751</v>
      </c>
      <c r="F779" s="8" t="s">
        <v>20</v>
      </c>
      <c r="G779" s="8" t="s">
        <v>27</v>
      </c>
      <c r="H779" s="8" t="s">
        <v>30</v>
      </c>
      <c r="I779" s="10">
        <v>45139</v>
      </c>
      <c r="J779" s="8" t="s">
        <v>752</v>
      </c>
    </row>
    <row r="780" spans="1:10" x14ac:dyDescent="0.15">
      <c r="A780" s="7">
        <v>45142</v>
      </c>
      <c r="B780" s="8" t="s">
        <v>24</v>
      </c>
      <c r="C780" s="8" t="s">
        <v>24</v>
      </c>
      <c r="D780" s="9" t="str">
        <f>HYPERLINK("https://www.marklines.com/en/global/10572","Ford Electric Mach Technologies (Nanjing) Co., Ltd. (FMeT)")</f>
        <v>Ford Electric Mach Technologies (Nanjing) Co., Ltd. (FMeT)</v>
      </c>
      <c r="E780" s="8" t="s">
        <v>753</v>
      </c>
      <c r="F780" s="8" t="s">
        <v>20</v>
      </c>
      <c r="G780" s="8" t="s">
        <v>27</v>
      </c>
      <c r="H780" s="8" t="s">
        <v>52</v>
      </c>
      <c r="I780" s="10">
        <v>45139</v>
      </c>
      <c r="J780" s="8" t="s">
        <v>752</v>
      </c>
    </row>
    <row r="781" spans="1:10" x14ac:dyDescent="0.15">
      <c r="A781" s="7">
        <v>45142</v>
      </c>
      <c r="B781" s="8" t="s">
        <v>53</v>
      </c>
      <c r="C781" s="8" t="s">
        <v>135</v>
      </c>
      <c r="D781" s="9" t="str">
        <f>HYPERLINK("https://www.marklines.com/en/global/3533","Great Wall Motor Company Limited (GWM)")</f>
        <v>Great Wall Motor Company Limited (GWM)</v>
      </c>
      <c r="E781" s="8" t="s">
        <v>556</v>
      </c>
      <c r="F781" s="8" t="s">
        <v>20</v>
      </c>
      <c r="G781" s="8" t="s">
        <v>27</v>
      </c>
      <c r="H781" s="8" t="s">
        <v>557</v>
      </c>
      <c r="I781" s="10">
        <v>45138</v>
      </c>
      <c r="J781" s="8" t="s">
        <v>754</v>
      </c>
    </row>
    <row r="782" spans="1:10" x14ac:dyDescent="0.15">
      <c r="A782" s="7">
        <v>45142</v>
      </c>
      <c r="B782" s="8" t="s">
        <v>44</v>
      </c>
      <c r="C782" s="8" t="s">
        <v>54</v>
      </c>
      <c r="D782" s="9" t="str">
        <f>HYPERLINK("https://www.marklines.com/en/global/9824","GAC Aion New Energy Automobile Co., Ltd.")</f>
        <v>GAC Aion New Energy Automobile Co., Ltd.</v>
      </c>
      <c r="E782" s="8" t="s">
        <v>55</v>
      </c>
      <c r="F782" s="8" t="s">
        <v>20</v>
      </c>
      <c r="G782" s="8" t="s">
        <v>27</v>
      </c>
      <c r="H782" s="8" t="s">
        <v>31</v>
      </c>
      <c r="I782" s="10">
        <v>45138</v>
      </c>
      <c r="J782" s="8" t="s">
        <v>755</v>
      </c>
    </row>
    <row r="783" spans="1:10" x14ac:dyDescent="0.15">
      <c r="A783" s="7">
        <v>45142</v>
      </c>
      <c r="B783" s="8" t="s">
        <v>29</v>
      </c>
      <c r="C783" s="8" t="s">
        <v>29</v>
      </c>
      <c r="D783" s="9" t="str">
        <f>HYPERLINK("https://www.marklines.com/en/global/3807","Zhejiang Geely Holding Group Co., Ltd.")</f>
        <v>Zhejiang Geely Holding Group Co., Ltd.</v>
      </c>
      <c r="E783" s="8" t="s">
        <v>76</v>
      </c>
      <c r="F783" s="8" t="s">
        <v>20</v>
      </c>
      <c r="G783" s="8" t="s">
        <v>27</v>
      </c>
      <c r="H783" s="8" t="s">
        <v>51</v>
      </c>
      <c r="I783" s="10">
        <v>45138</v>
      </c>
      <c r="J783" s="8" t="s">
        <v>756</v>
      </c>
    </row>
    <row r="784" spans="1:10" x14ac:dyDescent="0.15">
      <c r="A784" s="7">
        <v>45142</v>
      </c>
      <c r="B784" s="8" t="s">
        <v>29</v>
      </c>
      <c r="C784" s="8" t="s">
        <v>29</v>
      </c>
      <c r="D784" s="9" t="str">
        <f>HYPERLINK("https://www.marklines.com/en/global/3837","Zhejiang Haoqing Automotive Manufacturing Co.,Ltd.")</f>
        <v>Zhejiang Haoqing Automotive Manufacturing Co.,Ltd.</v>
      </c>
      <c r="E784" s="8" t="s">
        <v>757</v>
      </c>
      <c r="F784" s="8" t="s">
        <v>20</v>
      </c>
      <c r="G784" s="8" t="s">
        <v>27</v>
      </c>
      <c r="H784" s="8" t="s">
        <v>51</v>
      </c>
      <c r="I784" s="10">
        <v>45138</v>
      </c>
      <c r="J784" s="8" t="s">
        <v>756</v>
      </c>
    </row>
    <row r="785" spans="1:10" x14ac:dyDescent="0.15">
      <c r="A785" s="7">
        <v>45142</v>
      </c>
      <c r="B785" s="8" t="s">
        <v>83</v>
      </c>
      <c r="C785" s="8" t="s">
        <v>83</v>
      </c>
      <c r="D785" s="9" t="str">
        <f>HYPERLINK("https://www.marklines.com/en/global/9536","Zhejiang Leapmotor Technology Co., Ltd.")</f>
        <v>Zhejiang Leapmotor Technology Co., Ltd.</v>
      </c>
      <c r="E785" s="8" t="s">
        <v>85</v>
      </c>
      <c r="F785" s="8" t="s">
        <v>20</v>
      </c>
      <c r="G785" s="8" t="s">
        <v>27</v>
      </c>
      <c r="H785" s="8" t="s">
        <v>51</v>
      </c>
      <c r="I785" s="10">
        <v>45138</v>
      </c>
      <c r="J785" s="8" t="s">
        <v>758</v>
      </c>
    </row>
    <row r="786" spans="1:10" x14ac:dyDescent="0.15">
      <c r="A786" s="7">
        <v>45142</v>
      </c>
      <c r="B786" s="8" t="s">
        <v>62</v>
      </c>
      <c r="C786" s="8" t="s">
        <v>759</v>
      </c>
      <c r="D786" s="9" t="str">
        <f>HYPERLINK("https://www.marklines.com/en/global/3969","Chery Commercial Vehicle (Anhui) Co., Ltd. Henan Branch (formerly Chery Automobile Henan Co., Ltd.)")</f>
        <v>Chery Commercial Vehicle (Anhui) Co., Ltd. Henan Branch (formerly Chery Automobile Henan Co., Ltd.)</v>
      </c>
      <c r="E786" s="8" t="s">
        <v>760</v>
      </c>
      <c r="F786" s="8" t="s">
        <v>20</v>
      </c>
      <c r="G786" s="8" t="s">
        <v>27</v>
      </c>
      <c r="H786" s="8" t="s">
        <v>47</v>
      </c>
      <c r="I786" s="10">
        <v>45137</v>
      </c>
      <c r="J786" s="8" t="s">
        <v>761</v>
      </c>
    </row>
    <row r="787" spans="1:10" x14ac:dyDescent="0.15">
      <c r="A787" s="7">
        <v>45142</v>
      </c>
      <c r="B787" s="8" t="s">
        <v>13</v>
      </c>
      <c r="C787" s="8" t="s">
        <v>762</v>
      </c>
      <c r="D787" s="9" t="str">
        <f>HYPERLINK("https://www.marklines.com/en/global/10553","Ebusco B.V., Deurne Plant")</f>
        <v>Ebusco B.V., Deurne Plant</v>
      </c>
      <c r="E787" s="8" t="s">
        <v>763</v>
      </c>
      <c r="F787" s="8" t="s">
        <v>17</v>
      </c>
      <c r="G787" s="8" t="s">
        <v>764</v>
      </c>
      <c r="H787" s="8"/>
      <c r="I787" s="10">
        <v>45134</v>
      </c>
      <c r="J787" s="8" t="s">
        <v>765</v>
      </c>
    </row>
    <row r="788" spans="1:10" x14ac:dyDescent="0.15">
      <c r="A788" s="7">
        <v>45141</v>
      </c>
      <c r="B788" s="8" t="s">
        <v>13</v>
      </c>
      <c r="C788" s="8" t="s">
        <v>13</v>
      </c>
      <c r="D788" s="9" t="str">
        <f>HYPERLINK("https://www.marklines.com/en/global/1925","Barcelona Decarbonisation Hub (D-HUB) (former Nissan Motor Iberica, Barcelona Plant)")</f>
        <v>Barcelona Decarbonisation Hub (D-HUB) (former Nissan Motor Iberica, Barcelona Plant)</v>
      </c>
      <c r="E788" s="8" t="s">
        <v>703</v>
      </c>
      <c r="F788" s="8" t="s">
        <v>17</v>
      </c>
      <c r="G788" s="8" t="s">
        <v>114</v>
      </c>
      <c r="H788" s="8"/>
      <c r="I788" s="10">
        <v>45141</v>
      </c>
      <c r="J788" s="8" t="s">
        <v>766</v>
      </c>
    </row>
    <row r="789" spans="1:10" x14ac:dyDescent="0.15">
      <c r="A789" s="7">
        <v>45141</v>
      </c>
      <c r="B789" s="8" t="s">
        <v>174</v>
      </c>
      <c r="C789" s="8" t="s">
        <v>174</v>
      </c>
      <c r="D789" s="9" t="str">
        <f>HYPERLINK("https://www.marklines.com/en/global/9057","Neftekamsk Motor Plant OJSC (OAO Neftekamskij avtozavod (NefAZ))")</f>
        <v>Neftekamsk Motor Plant OJSC (OAO Neftekamskij avtozavod (NefAZ))</v>
      </c>
      <c r="E789" s="8" t="s">
        <v>684</v>
      </c>
      <c r="F789" s="8" t="s">
        <v>18</v>
      </c>
      <c r="G789" s="8" t="s">
        <v>14</v>
      </c>
      <c r="H789" s="8"/>
      <c r="I789" s="10">
        <v>45141</v>
      </c>
      <c r="J789" s="8" t="s">
        <v>767</v>
      </c>
    </row>
    <row r="790" spans="1:10" x14ac:dyDescent="0.15">
      <c r="A790" s="7">
        <v>45141</v>
      </c>
      <c r="B790" s="8" t="s">
        <v>28</v>
      </c>
      <c r="C790" s="8" t="s">
        <v>488</v>
      </c>
      <c r="D790" s="9" t="str">
        <f>HYPERLINK("https://www.marklines.com/en/global/2243","Daimler Truck AG, Wörth Plant")</f>
        <v>Daimler Truck AG, Wörth Plant</v>
      </c>
      <c r="E790" s="8" t="s">
        <v>489</v>
      </c>
      <c r="F790" s="8" t="s">
        <v>17</v>
      </c>
      <c r="G790" s="8" t="s">
        <v>21</v>
      </c>
      <c r="H790" s="8"/>
      <c r="I790" s="10">
        <v>45140</v>
      </c>
      <c r="J790" s="8" t="s">
        <v>768</v>
      </c>
    </row>
    <row r="791" spans="1:10" x14ac:dyDescent="0.15">
      <c r="A791" s="7">
        <v>45141</v>
      </c>
      <c r="B791" s="8" t="s">
        <v>24</v>
      </c>
      <c r="C791" s="8" t="s">
        <v>24</v>
      </c>
      <c r="D791" s="9" t="str">
        <f>HYPERLINK("https://www.marklines.com/en/global/1901","Ford Motor Spain, Valencia Plant")</f>
        <v>Ford Motor Spain, Valencia Plant</v>
      </c>
      <c r="E791" s="8" t="s">
        <v>769</v>
      </c>
      <c r="F791" s="8" t="s">
        <v>17</v>
      </c>
      <c r="G791" s="8" t="s">
        <v>114</v>
      </c>
      <c r="H791" s="8"/>
      <c r="I791" s="10">
        <v>45140</v>
      </c>
      <c r="J791" s="8" t="s">
        <v>770</v>
      </c>
    </row>
    <row r="792" spans="1:10" x14ac:dyDescent="0.15">
      <c r="A792" s="7">
        <v>45141</v>
      </c>
      <c r="B792" s="8" t="s">
        <v>63</v>
      </c>
      <c r="C792" s="8" t="s">
        <v>63</v>
      </c>
      <c r="D792" s="9" t="str">
        <f>HYPERLINK("https://www.marklines.com/en/global/671","ZAO AvtoTOR, Kaliningrad Plant")</f>
        <v>ZAO AvtoTOR, Kaliningrad Plant</v>
      </c>
      <c r="E792" s="8" t="s">
        <v>33</v>
      </c>
      <c r="F792" s="8" t="s">
        <v>18</v>
      </c>
      <c r="G792" s="8" t="s">
        <v>14</v>
      </c>
      <c r="H792" s="8"/>
      <c r="I792" s="10">
        <v>45140</v>
      </c>
      <c r="J792" s="8" t="s">
        <v>771</v>
      </c>
    </row>
    <row r="793" spans="1:10" x14ac:dyDescent="0.15">
      <c r="A793" s="7">
        <v>45141</v>
      </c>
      <c r="B793" s="8" t="s">
        <v>62</v>
      </c>
      <c r="C793" s="8" t="s">
        <v>772</v>
      </c>
      <c r="D793" s="9" t="str">
        <f>HYPERLINK("https://www.marklines.com/en/global/3879","Chery Automobile Co., Ltd. ")</f>
        <v xml:space="preserve">Chery Automobile Co., Ltd. </v>
      </c>
      <c r="E793" s="8" t="s">
        <v>773</v>
      </c>
      <c r="F793" s="8" t="s">
        <v>20</v>
      </c>
      <c r="G793" s="8" t="s">
        <v>27</v>
      </c>
      <c r="H793" s="8" t="s">
        <v>326</v>
      </c>
      <c r="I793" s="10">
        <v>45139</v>
      </c>
      <c r="J793" s="8" t="s">
        <v>774</v>
      </c>
    </row>
    <row r="794" spans="1:10" x14ac:dyDescent="0.15">
      <c r="A794" s="7">
        <v>45141</v>
      </c>
      <c r="B794" s="8" t="s">
        <v>43</v>
      </c>
      <c r="C794" s="8" t="s">
        <v>77</v>
      </c>
      <c r="D794" s="9" t="str">
        <f>HYPERLINK("https://www.marklines.com/en/global/10748","Topbest Manufacturing, Pathum Thani plant")</f>
        <v>Topbest Manufacturing, Pathum Thani plant</v>
      </c>
      <c r="E794" s="8" t="s">
        <v>775</v>
      </c>
      <c r="F794" s="8" t="s">
        <v>49</v>
      </c>
      <c r="G794" s="8" t="s">
        <v>170</v>
      </c>
      <c r="H794" s="8" t="s">
        <v>776</v>
      </c>
      <c r="I794" s="10">
        <v>45139</v>
      </c>
      <c r="J794" s="8" t="s">
        <v>777</v>
      </c>
    </row>
    <row r="795" spans="1:10" x14ac:dyDescent="0.15">
      <c r="A795" s="7">
        <v>45141</v>
      </c>
      <c r="B795" s="8" t="s">
        <v>93</v>
      </c>
      <c r="C795" s="8" t="s">
        <v>93</v>
      </c>
      <c r="D795" s="9" t="str">
        <f>HYPERLINK("https://www.marklines.com/en/global/10414","Verkor SA")</f>
        <v>Verkor SA</v>
      </c>
      <c r="E795" s="8" t="s">
        <v>97</v>
      </c>
      <c r="F795" s="8" t="s">
        <v>17</v>
      </c>
      <c r="G795" s="8" t="s">
        <v>40</v>
      </c>
      <c r="H795" s="8"/>
      <c r="I795" s="10">
        <v>45138</v>
      </c>
      <c r="J795" s="8" t="s">
        <v>778</v>
      </c>
    </row>
    <row r="796" spans="1:10" x14ac:dyDescent="0.15">
      <c r="A796" s="7">
        <v>45141</v>
      </c>
      <c r="B796" s="8" t="s">
        <v>93</v>
      </c>
      <c r="C796" s="8" t="s">
        <v>93</v>
      </c>
      <c r="D796" s="9" t="str">
        <f>HYPERLINK("https://www.marklines.com/en/global/10509","Verkor Gigafactory, Dunkirk Plant (tentative name)")</f>
        <v>Verkor Gigafactory, Dunkirk Plant (tentative name)</v>
      </c>
      <c r="E796" s="8" t="s">
        <v>98</v>
      </c>
      <c r="F796" s="8" t="s">
        <v>17</v>
      </c>
      <c r="G796" s="8" t="s">
        <v>40</v>
      </c>
      <c r="H796" s="8"/>
      <c r="I796" s="10">
        <v>45138</v>
      </c>
      <c r="J796" s="8" t="s">
        <v>778</v>
      </c>
    </row>
    <row r="797" spans="1:10" x14ac:dyDescent="0.15">
      <c r="A797" s="7">
        <v>45141</v>
      </c>
      <c r="B797" s="8" t="s">
        <v>156</v>
      </c>
      <c r="C797" s="8" t="s">
        <v>156</v>
      </c>
      <c r="D797" s="9" t="str">
        <f>HYPERLINK("https://www.marklines.com/en/global/10448","Nikola Coolidge Manufacturing Facility")</f>
        <v>Nikola Coolidge Manufacturing Facility</v>
      </c>
      <c r="E797" s="8" t="s">
        <v>354</v>
      </c>
      <c r="F797" s="8" t="s">
        <v>16</v>
      </c>
      <c r="G797" s="8" t="s">
        <v>11</v>
      </c>
      <c r="H797" s="8" t="s">
        <v>355</v>
      </c>
      <c r="I797" s="10">
        <v>45138</v>
      </c>
      <c r="J797" s="8" t="s">
        <v>779</v>
      </c>
    </row>
    <row r="798" spans="1:10" x14ac:dyDescent="0.15">
      <c r="A798" s="7">
        <v>45141</v>
      </c>
      <c r="B798" s="8" t="s">
        <v>68</v>
      </c>
      <c r="C798" s="8" t="s">
        <v>68</v>
      </c>
      <c r="D798" s="9" t="str">
        <f>HYPERLINK("https://www.marklines.com/en/global/8835","Stellantis, Fiat Powertrain Technologies, Betim Plant")</f>
        <v>Stellantis, Fiat Powertrain Technologies, Betim Plant</v>
      </c>
      <c r="E798" s="8" t="s">
        <v>334</v>
      </c>
      <c r="F798" s="8" t="s">
        <v>74</v>
      </c>
      <c r="G798" s="8" t="s">
        <v>75</v>
      </c>
      <c r="H798" s="8"/>
      <c r="I798" s="10">
        <v>45138</v>
      </c>
      <c r="J798" s="8" t="s">
        <v>780</v>
      </c>
    </row>
    <row r="799" spans="1:10" x14ac:dyDescent="0.15">
      <c r="A799" s="7">
        <v>45141</v>
      </c>
      <c r="B799" s="8" t="s">
        <v>22</v>
      </c>
      <c r="C799" s="8" t="s">
        <v>22</v>
      </c>
      <c r="D799" s="9" t="str">
        <f>HYPERLINK("https://www.marklines.com/en/global/9927","Primearth EV Energy, Miyagi Plant")</f>
        <v>Primearth EV Energy, Miyagi Plant</v>
      </c>
      <c r="E799" s="8" t="s">
        <v>781</v>
      </c>
      <c r="F799" s="8" t="s">
        <v>20</v>
      </c>
      <c r="G799" s="8" t="s">
        <v>23</v>
      </c>
      <c r="H799" s="8" t="s">
        <v>782</v>
      </c>
      <c r="I799" s="10">
        <v>45135</v>
      </c>
      <c r="J799" s="8" t="s">
        <v>783</v>
      </c>
    </row>
    <row r="800" spans="1:10" x14ac:dyDescent="0.15">
      <c r="A800" s="7">
        <v>45141</v>
      </c>
      <c r="B800" s="8" t="s">
        <v>22</v>
      </c>
      <c r="C800" s="8" t="s">
        <v>554</v>
      </c>
      <c r="D800" s="9" t="str">
        <f>HYPERLINK("https://www.marklines.com/en/global/393","Toyota Motor Kyushu, Miyata Plant")</f>
        <v>Toyota Motor Kyushu, Miyata Plant</v>
      </c>
      <c r="E800" s="8" t="s">
        <v>421</v>
      </c>
      <c r="F800" s="8" t="s">
        <v>20</v>
      </c>
      <c r="G800" s="8" t="s">
        <v>23</v>
      </c>
      <c r="H800" s="8" t="s">
        <v>418</v>
      </c>
      <c r="I800" s="10">
        <v>45134</v>
      </c>
      <c r="J800" s="8" t="s">
        <v>784</v>
      </c>
    </row>
    <row r="801" spans="1:10" x14ac:dyDescent="0.15">
      <c r="A801" s="7">
        <v>45141</v>
      </c>
      <c r="B801" s="8" t="s">
        <v>28</v>
      </c>
      <c r="C801" s="8" t="s">
        <v>173</v>
      </c>
      <c r="D801" s="9" t="str">
        <f>HYPERLINK("https://www.marklines.com/en/global/581","Mitsubishi Fuso Truck and Bus, Kawasaki Plant")</f>
        <v>Mitsubishi Fuso Truck and Bus, Kawasaki Plant</v>
      </c>
      <c r="E801" s="8" t="s">
        <v>186</v>
      </c>
      <c r="F801" s="8" t="s">
        <v>20</v>
      </c>
      <c r="G801" s="8" t="s">
        <v>23</v>
      </c>
      <c r="H801" s="8" t="s">
        <v>132</v>
      </c>
      <c r="I801" s="10">
        <v>45133</v>
      </c>
      <c r="J801" s="8" t="s">
        <v>785</v>
      </c>
    </row>
    <row r="802" spans="1:10" x14ac:dyDescent="0.15">
      <c r="A802" s="7">
        <v>45141</v>
      </c>
      <c r="B802" s="8" t="s">
        <v>15</v>
      </c>
      <c r="C802" s="8" t="s">
        <v>15</v>
      </c>
      <c r="D802" s="9" t="str">
        <f>HYPERLINK("https://www.marklines.com/en/global/27","Honda Taiwan Motor, Pingtung Plant")</f>
        <v>Honda Taiwan Motor, Pingtung Plant</v>
      </c>
      <c r="E802" s="8" t="s">
        <v>786</v>
      </c>
      <c r="F802" s="8" t="s">
        <v>20</v>
      </c>
      <c r="G802" s="8" t="s">
        <v>787</v>
      </c>
      <c r="H802" s="8"/>
      <c r="I802" s="10">
        <v>45126</v>
      </c>
      <c r="J802" s="8" t="s">
        <v>788</v>
      </c>
    </row>
    <row r="803" spans="1:10" x14ac:dyDescent="0.15">
      <c r="A803" s="7">
        <v>45140</v>
      </c>
      <c r="B803" s="8" t="s">
        <v>90</v>
      </c>
      <c r="C803" s="8" t="s">
        <v>91</v>
      </c>
      <c r="D803" s="9" t="str">
        <f>HYPERLINK("https://www.marklines.com/en/global/729","LLC ""LADA Izhevsk"", LADA Izhevsk Automotive Plant (formerly OJSC Izh-Avto, Izhevsk Automobilny Zavod) ")</f>
        <v xml:space="preserve">LLC "LADA Izhevsk", LADA Izhevsk Automotive Plant (formerly OJSC Izh-Avto, Izhevsk Automobilny Zavod) </v>
      </c>
      <c r="E803" s="8" t="s">
        <v>613</v>
      </c>
      <c r="F803" s="8" t="s">
        <v>18</v>
      </c>
      <c r="G803" s="8" t="s">
        <v>14</v>
      </c>
      <c r="H803" s="8"/>
      <c r="I803" s="10">
        <v>45140</v>
      </c>
      <c r="J803" s="8" t="s">
        <v>789</v>
      </c>
    </row>
    <row r="804" spans="1:10" x14ac:dyDescent="0.15">
      <c r="A804" s="7">
        <v>45140</v>
      </c>
      <c r="B804" s="8" t="s">
        <v>90</v>
      </c>
      <c r="C804" s="8" t="s">
        <v>91</v>
      </c>
      <c r="D804" s="9" t="str">
        <f>HYPERLINK("https://www.marklines.com/en/global/675","AvtoVAZ, Togliatti Plant")</f>
        <v>AvtoVAZ, Togliatti Plant</v>
      </c>
      <c r="E804" s="8" t="s">
        <v>92</v>
      </c>
      <c r="F804" s="8" t="s">
        <v>18</v>
      </c>
      <c r="G804" s="8" t="s">
        <v>14</v>
      </c>
      <c r="H804" s="8"/>
      <c r="I804" s="10">
        <v>45140</v>
      </c>
      <c r="J804" s="8" t="s">
        <v>789</v>
      </c>
    </row>
    <row r="805" spans="1:10" x14ac:dyDescent="0.15">
      <c r="A805" s="7">
        <v>45140</v>
      </c>
      <c r="B805" s="8" t="s">
        <v>790</v>
      </c>
      <c r="C805" s="8" t="s">
        <v>791</v>
      </c>
      <c r="D805" s="9" t="str">
        <f>HYPERLINK("https://www.marklines.com/en/global/1367","Pininfarina S.p.A.")</f>
        <v>Pininfarina S.p.A.</v>
      </c>
      <c r="E805" s="8" t="s">
        <v>792</v>
      </c>
      <c r="F805" s="8" t="s">
        <v>17</v>
      </c>
      <c r="G805" s="8" t="s">
        <v>70</v>
      </c>
      <c r="H805" s="8"/>
      <c r="I805" s="10">
        <v>45139</v>
      </c>
      <c r="J805" s="8" t="s">
        <v>793</v>
      </c>
    </row>
    <row r="806" spans="1:10" x14ac:dyDescent="0.15">
      <c r="A806" s="7">
        <v>45140</v>
      </c>
      <c r="B806" s="8" t="s">
        <v>24</v>
      </c>
      <c r="C806" s="8" t="s">
        <v>24</v>
      </c>
      <c r="D806" s="9" t="str">
        <f>HYPERLINK("https://www.marklines.com/en/global/10376","Ford Motor, Rouge Electric Vehicle Center")</f>
        <v>Ford Motor, Rouge Electric Vehicle Center</v>
      </c>
      <c r="E806" s="8" t="s">
        <v>605</v>
      </c>
      <c r="F806" s="8" t="s">
        <v>16</v>
      </c>
      <c r="G806" s="8" t="s">
        <v>11</v>
      </c>
      <c r="H806" s="8" t="s">
        <v>59</v>
      </c>
      <c r="I806" s="10">
        <v>45139</v>
      </c>
      <c r="J806" s="8" t="s">
        <v>794</v>
      </c>
    </row>
    <row r="807" spans="1:10" x14ac:dyDescent="0.15">
      <c r="A807" s="7">
        <v>45140</v>
      </c>
      <c r="B807" s="8" t="s">
        <v>24</v>
      </c>
      <c r="C807" s="8" t="s">
        <v>24</v>
      </c>
      <c r="D807" s="9" t="str">
        <f>HYPERLINK("https://www.marklines.com/en/global/2571","Ford Motor, Rawsonville Components Plant")</f>
        <v>Ford Motor, Rawsonville Components Plant</v>
      </c>
      <c r="E807" s="8" t="s">
        <v>795</v>
      </c>
      <c r="F807" s="8" t="s">
        <v>16</v>
      </c>
      <c r="G807" s="8" t="s">
        <v>11</v>
      </c>
      <c r="H807" s="8" t="s">
        <v>59</v>
      </c>
      <c r="I807" s="10">
        <v>45139</v>
      </c>
      <c r="J807" s="8" t="s">
        <v>794</v>
      </c>
    </row>
    <row r="808" spans="1:10" x14ac:dyDescent="0.15">
      <c r="A808" s="7">
        <v>45140</v>
      </c>
      <c r="B808" s="8" t="s">
        <v>24</v>
      </c>
      <c r="C808" s="8" t="s">
        <v>24</v>
      </c>
      <c r="D808" s="9" t="str">
        <f>HYPERLINK("https://www.marklines.com/en/global/2577","Ford Motor, Van Dyke Electric Powertrain Center ")</f>
        <v xml:space="preserve">Ford Motor, Van Dyke Electric Powertrain Center </v>
      </c>
      <c r="E808" s="8" t="s">
        <v>796</v>
      </c>
      <c r="F808" s="8" t="s">
        <v>16</v>
      </c>
      <c r="G808" s="8" t="s">
        <v>11</v>
      </c>
      <c r="H808" s="8" t="s">
        <v>59</v>
      </c>
      <c r="I808" s="10">
        <v>45139</v>
      </c>
      <c r="J808" s="8" t="s">
        <v>794</v>
      </c>
    </row>
    <row r="809" spans="1:10" x14ac:dyDescent="0.15">
      <c r="A809" s="7">
        <v>45140</v>
      </c>
      <c r="B809" s="8" t="s">
        <v>39</v>
      </c>
      <c r="C809" s="8" t="s">
        <v>39</v>
      </c>
      <c r="D809" s="9" t="str">
        <f>HYPERLINK("https://www.marklines.com/en/global/2213","BMW AG, Wackersdorf Plant")</f>
        <v>BMW AG, Wackersdorf Plant</v>
      </c>
      <c r="E809" s="8" t="s">
        <v>797</v>
      </c>
      <c r="F809" s="8" t="s">
        <v>17</v>
      </c>
      <c r="G809" s="8" t="s">
        <v>21</v>
      </c>
      <c r="H809" s="8"/>
      <c r="I809" s="10">
        <v>45138</v>
      </c>
      <c r="J809" s="8" t="s">
        <v>798</v>
      </c>
    </row>
    <row r="810" spans="1:10" x14ac:dyDescent="0.15">
      <c r="A810" s="7">
        <v>45140</v>
      </c>
      <c r="B810" s="8" t="s">
        <v>39</v>
      </c>
      <c r="C810" s="8" t="s">
        <v>39</v>
      </c>
      <c r="D810" s="9" t="str">
        <f>HYPERLINK("https://www.marklines.com/en/global/2209","BMW AG, Regensburg Plant")</f>
        <v>BMW AG, Regensburg Plant</v>
      </c>
      <c r="E810" s="8" t="s">
        <v>570</v>
      </c>
      <c r="F810" s="8" t="s">
        <v>17</v>
      </c>
      <c r="G810" s="8" t="s">
        <v>21</v>
      </c>
      <c r="H810" s="8"/>
      <c r="I810" s="10">
        <v>45138</v>
      </c>
      <c r="J810" s="8" t="s">
        <v>798</v>
      </c>
    </row>
    <row r="811" spans="1:10" x14ac:dyDescent="0.15">
      <c r="A811" s="7">
        <v>45140</v>
      </c>
      <c r="B811" s="8" t="s">
        <v>133</v>
      </c>
      <c r="C811" s="8" t="s">
        <v>731</v>
      </c>
      <c r="D811" s="9" t="str">
        <f>HYPERLINK("https://www.marklines.com/en/global/839","Stellantis, FCA Mexico, Saltillo Truck Assembly Plant")</f>
        <v>Stellantis, FCA Mexico, Saltillo Truck Assembly Plant</v>
      </c>
      <c r="E811" s="8" t="s">
        <v>799</v>
      </c>
      <c r="F811" s="8" t="s">
        <v>16</v>
      </c>
      <c r="G811" s="8" t="s">
        <v>430</v>
      </c>
      <c r="H811" s="8"/>
      <c r="I811" s="10">
        <v>45138</v>
      </c>
      <c r="J811" s="8" t="s">
        <v>800</v>
      </c>
    </row>
    <row r="812" spans="1:10" x14ac:dyDescent="0.15">
      <c r="A812" s="7">
        <v>45140</v>
      </c>
      <c r="B812" s="8" t="s">
        <v>22</v>
      </c>
      <c r="C812" s="8" t="s">
        <v>22</v>
      </c>
      <c r="D812" s="9" t="str">
        <f>HYPERLINK("https://www.marklines.com/en/global/10438","BYD TOYOTA EV TECHNOLOGY Co., Ltd. (BTET)")</f>
        <v>BYD TOYOTA EV TECHNOLOGY Co., Ltd. (BTET)</v>
      </c>
      <c r="E812" s="8" t="s">
        <v>801</v>
      </c>
      <c r="F812" s="8" t="s">
        <v>20</v>
      </c>
      <c r="G812" s="8" t="s">
        <v>27</v>
      </c>
      <c r="H812" s="8" t="s">
        <v>31</v>
      </c>
      <c r="I812" s="10">
        <v>45138</v>
      </c>
      <c r="J812" s="8" t="s">
        <v>802</v>
      </c>
    </row>
    <row r="813" spans="1:10" x14ac:dyDescent="0.15">
      <c r="A813" s="7">
        <v>45140</v>
      </c>
      <c r="B813" s="8" t="s">
        <v>22</v>
      </c>
      <c r="C813" s="8" t="s">
        <v>22</v>
      </c>
      <c r="D813" s="9" t="str">
        <f>HYPERLINK("https://www.marklines.com/en/global/3471","Toyota Motor (China) Investment Co., Ltd. (TMCI) ")</f>
        <v xml:space="preserve">Toyota Motor (China) Investment Co., Ltd. (TMCI) </v>
      </c>
      <c r="E813" s="8" t="s">
        <v>803</v>
      </c>
      <c r="F813" s="8" t="s">
        <v>20</v>
      </c>
      <c r="G813" s="8" t="s">
        <v>27</v>
      </c>
      <c r="H813" s="8" t="s">
        <v>37</v>
      </c>
      <c r="I813" s="10">
        <v>45138</v>
      </c>
      <c r="J813" s="8" t="s">
        <v>802</v>
      </c>
    </row>
    <row r="814" spans="1:10" x14ac:dyDescent="0.15">
      <c r="A814" s="7">
        <v>45140</v>
      </c>
      <c r="B814" s="8" t="s">
        <v>22</v>
      </c>
      <c r="C814" s="8" t="s">
        <v>22</v>
      </c>
      <c r="D814" s="9" t="str">
        <f>HYPERLINK("https://www.marklines.com/en/global/4093","GAC Toyota Motor Co., Ltd. (GTMC)")</f>
        <v>GAC Toyota Motor Co., Ltd. (GTMC)</v>
      </c>
      <c r="E814" s="8" t="s">
        <v>551</v>
      </c>
      <c r="F814" s="8" t="s">
        <v>20</v>
      </c>
      <c r="G814" s="8" t="s">
        <v>27</v>
      </c>
      <c r="H814" s="8" t="s">
        <v>31</v>
      </c>
      <c r="I814" s="10">
        <v>45138</v>
      </c>
      <c r="J814" s="8" t="s">
        <v>802</v>
      </c>
    </row>
    <row r="815" spans="1:10" x14ac:dyDescent="0.15">
      <c r="A815" s="7">
        <v>45140</v>
      </c>
      <c r="B815" s="8" t="s">
        <v>22</v>
      </c>
      <c r="C815" s="8" t="s">
        <v>22</v>
      </c>
      <c r="D815" s="9" t="str">
        <f>HYPERLINK("https://www.marklines.com/en/global/3493","FAW Toyota Motor Co., Ltd. (formerly Tianjin FAW Toyota Motor Co., Ltd.)")</f>
        <v>FAW Toyota Motor Co., Ltd. (formerly Tianjin FAW Toyota Motor Co., Ltd.)</v>
      </c>
      <c r="E815" s="8" t="s">
        <v>804</v>
      </c>
      <c r="F815" s="8" t="s">
        <v>20</v>
      </c>
      <c r="G815" s="8" t="s">
        <v>27</v>
      </c>
      <c r="H815" s="8" t="s">
        <v>805</v>
      </c>
      <c r="I815" s="10">
        <v>45138</v>
      </c>
      <c r="J815" s="8" t="s">
        <v>802</v>
      </c>
    </row>
    <row r="816" spans="1:10" x14ac:dyDescent="0.15">
      <c r="A816" s="7">
        <v>45140</v>
      </c>
      <c r="B816" s="8" t="s">
        <v>22</v>
      </c>
      <c r="C816" s="8" t="s">
        <v>22</v>
      </c>
      <c r="D816" s="9" t="str">
        <f>HYPERLINK("https://www.marklines.com/en/global/10030","Intelligent ElectroMobility R&amp;D Center by TOYOTA (China) CO.,Ltd. Shanghai Branch (IEM by TOYOTA, formerly Toyota Motor Engineering &amp; Manufacturing (China) Co., Ltd., Shanghai Branch)")</f>
        <v>Intelligent ElectroMobility R&amp;D Center by TOYOTA (China) CO.,Ltd. Shanghai Branch (IEM by TOYOTA, formerly Toyota Motor Engineering &amp; Manufacturing (China) Co., Ltd., Shanghai Branch)</v>
      </c>
      <c r="E816" s="8" t="s">
        <v>806</v>
      </c>
      <c r="F816" s="8" t="s">
        <v>20</v>
      </c>
      <c r="G816" s="8" t="s">
        <v>27</v>
      </c>
      <c r="H816" s="8" t="s">
        <v>106</v>
      </c>
      <c r="I816" s="10">
        <v>45138</v>
      </c>
      <c r="J816" s="8" t="s">
        <v>802</v>
      </c>
    </row>
    <row r="817" spans="1:10" x14ac:dyDescent="0.15">
      <c r="A817" s="7">
        <v>45140</v>
      </c>
      <c r="B817" s="8" t="s">
        <v>22</v>
      </c>
      <c r="C817" s="8" t="s">
        <v>22</v>
      </c>
      <c r="D817" s="9" t="str">
        <f>HYPERLINK("https://www.marklines.com/en/global/10031","Intelligent ElectroMobility R&amp;D Center by TOYOTA (China) CO.,Ltd. Beijing Branch (IEM by TOYOTA, formerly Toyota Motor Engineering &amp; Manufacturing (China) Co., Ltd., Beijing Branch)")</f>
        <v>Intelligent ElectroMobility R&amp;D Center by TOYOTA (China) CO.,Ltd. Beijing Branch (IEM by TOYOTA, formerly Toyota Motor Engineering &amp; Manufacturing (China) Co., Ltd., Beijing Branch)</v>
      </c>
      <c r="E817" s="8" t="s">
        <v>807</v>
      </c>
      <c r="F817" s="8" t="s">
        <v>20</v>
      </c>
      <c r="G817" s="8" t="s">
        <v>27</v>
      </c>
      <c r="H817" s="8" t="s">
        <v>37</v>
      </c>
      <c r="I817" s="10">
        <v>45138</v>
      </c>
      <c r="J817" s="8" t="s">
        <v>802</v>
      </c>
    </row>
    <row r="818" spans="1:10" x14ac:dyDescent="0.15">
      <c r="A818" s="7">
        <v>45140</v>
      </c>
      <c r="B818" s="8" t="s">
        <v>22</v>
      </c>
      <c r="C818" s="8" t="s">
        <v>22</v>
      </c>
      <c r="D818" s="9" t="str">
        <f>HYPERLINK("https://www.marklines.com/en/global/10029","Intelligent ElectroMobility R&amp;D Center by TOYOTA (China) CO.,Ltd. (IEM by TOYOTA,  formerly Toyota Motor Engineering &amp; Manufacturing (China) Co., Ltd.）")</f>
        <v>Intelligent ElectroMobility R&amp;D Center by TOYOTA (China) CO.,Ltd. (IEM by TOYOTA,  formerly Toyota Motor Engineering &amp; Manufacturing (China) Co., Ltd.）</v>
      </c>
      <c r="E818" s="8" t="s">
        <v>808</v>
      </c>
      <c r="F818" s="8" t="s">
        <v>20</v>
      </c>
      <c r="G818" s="8" t="s">
        <v>27</v>
      </c>
      <c r="H818" s="8" t="s">
        <v>52</v>
      </c>
      <c r="I818" s="10">
        <v>45138</v>
      </c>
      <c r="J818" s="8" t="s">
        <v>802</v>
      </c>
    </row>
    <row r="819" spans="1:10" x14ac:dyDescent="0.15">
      <c r="A819" s="7">
        <v>45140</v>
      </c>
      <c r="B819" s="8" t="s">
        <v>12</v>
      </c>
      <c r="C819" s="8" t="s">
        <v>19</v>
      </c>
      <c r="D819" s="9" t="str">
        <f>HYPERLINK("https://www.marklines.com/en/global/2475","General Motors, Lansing Grand River Plant")</f>
        <v>General Motors, Lansing Grand River Plant</v>
      </c>
      <c r="E819" s="8" t="s">
        <v>809</v>
      </c>
      <c r="F819" s="8" t="s">
        <v>16</v>
      </c>
      <c r="G819" s="8" t="s">
        <v>11</v>
      </c>
      <c r="H819" s="8" t="s">
        <v>59</v>
      </c>
      <c r="I819" s="10">
        <v>45136</v>
      </c>
      <c r="J819" s="8" t="s">
        <v>810</v>
      </c>
    </row>
    <row r="820" spans="1:10" x14ac:dyDescent="0.15">
      <c r="A820" s="7">
        <v>45140</v>
      </c>
      <c r="B820" s="8" t="s">
        <v>514</v>
      </c>
      <c r="C820" s="8" t="s">
        <v>515</v>
      </c>
      <c r="D820" s="9" t="str">
        <f>HYPERLINK("https://www.marklines.com/en/global/10565","VinFast Manufacturing US- North Carolina plant")</f>
        <v>VinFast Manufacturing US- North Carolina plant</v>
      </c>
      <c r="E820" s="8" t="s">
        <v>516</v>
      </c>
      <c r="F820" s="8" t="s">
        <v>16</v>
      </c>
      <c r="G820" s="8" t="s">
        <v>11</v>
      </c>
      <c r="H820" s="8" t="s">
        <v>517</v>
      </c>
      <c r="I820" s="10">
        <v>45135</v>
      </c>
      <c r="J820" s="8" t="s">
        <v>811</v>
      </c>
    </row>
    <row r="821" spans="1:10" x14ac:dyDescent="0.15">
      <c r="A821" s="7">
        <v>45140</v>
      </c>
      <c r="B821" s="8" t="s">
        <v>109</v>
      </c>
      <c r="C821" s="8" t="s">
        <v>109</v>
      </c>
      <c r="D821" s="9" t="str">
        <f>HYPERLINK("https://www.marklines.com/en/global/9500","BYD Co., Ltd.")</f>
        <v>BYD Co., Ltd.</v>
      </c>
      <c r="E821" s="8" t="s">
        <v>812</v>
      </c>
      <c r="F821" s="8" t="s">
        <v>20</v>
      </c>
      <c r="G821" s="8" t="s">
        <v>27</v>
      </c>
      <c r="H821" s="8" t="s">
        <v>31</v>
      </c>
      <c r="I821" s="10">
        <v>45135</v>
      </c>
      <c r="J821" s="8" t="s">
        <v>813</v>
      </c>
    </row>
    <row r="822" spans="1:10" x14ac:dyDescent="0.15">
      <c r="A822" s="7">
        <v>45140</v>
      </c>
      <c r="B822" s="8" t="s">
        <v>437</v>
      </c>
      <c r="C822" s="8" t="s">
        <v>814</v>
      </c>
      <c r="D822" s="9" t="str">
        <f>HYPERLINK("https://www.marklines.com/en/global/10725","Dongfeng Automobile Nano Technology (Xiangyang) Co., Ltd.")</f>
        <v>Dongfeng Automobile Nano Technology (Xiangyang) Co., Ltd.</v>
      </c>
      <c r="E822" s="8" t="s">
        <v>815</v>
      </c>
      <c r="F822" s="8" t="s">
        <v>20</v>
      </c>
      <c r="G822" s="8" t="s">
        <v>27</v>
      </c>
      <c r="H822" s="8" t="s">
        <v>46</v>
      </c>
      <c r="I822" s="10">
        <v>45135</v>
      </c>
      <c r="J822" s="8" t="s">
        <v>816</v>
      </c>
    </row>
    <row r="823" spans="1:10" x14ac:dyDescent="0.15">
      <c r="A823" s="7">
        <v>45140</v>
      </c>
      <c r="B823" s="8" t="s">
        <v>153</v>
      </c>
      <c r="C823" s="8" t="s">
        <v>153</v>
      </c>
      <c r="D823" s="9" t="str">
        <f>HYPERLINK("https://www.marklines.com/en/global/3451","Chongqing Changan Automobile Co., Ltd. Beijing Changan Automobile Co., Ltd.")</f>
        <v>Chongqing Changan Automobile Co., Ltd. Beijing Changan Automobile Co., Ltd.</v>
      </c>
      <c r="E823" s="8" t="s">
        <v>817</v>
      </c>
      <c r="F823" s="8" t="s">
        <v>20</v>
      </c>
      <c r="G823" s="8" t="s">
        <v>27</v>
      </c>
      <c r="H823" s="8" t="s">
        <v>37</v>
      </c>
      <c r="I823" s="10">
        <v>45132</v>
      </c>
      <c r="J823" s="8" t="s">
        <v>818</v>
      </c>
    </row>
    <row r="824" spans="1:10" x14ac:dyDescent="0.15">
      <c r="A824" s="7">
        <v>45140</v>
      </c>
      <c r="B824" s="8" t="s">
        <v>68</v>
      </c>
      <c r="C824" s="8" t="s">
        <v>68</v>
      </c>
      <c r="D824" s="9" t="str">
        <f>HYPERLINK("https://www.marklines.com/en/global/1659","Stellantis, Fiat Powertrain Polska Sp. z o.o., Bielsko-Biala Plant")</f>
        <v>Stellantis, Fiat Powertrain Polska Sp. z o.o., Bielsko-Biala Plant</v>
      </c>
      <c r="E824" s="8" t="s">
        <v>819</v>
      </c>
      <c r="F824" s="8" t="s">
        <v>18</v>
      </c>
      <c r="G824" s="8" t="s">
        <v>32</v>
      </c>
      <c r="H824" s="8"/>
      <c r="I824" s="10">
        <v>45129</v>
      </c>
      <c r="J824" s="8" t="s">
        <v>820</v>
      </c>
    </row>
    <row r="825" spans="1:10" x14ac:dyDescent="0.15">
      <c r="A825" s="7">
        <v>45139</v>
      </c>
      <c r="B825" s="8" t="s">
        <v>15</v>
      </c>
      <c r="C825" s="8" t="s">
        <v>15</v>
      </c>
      <c r="D825" s="9" t="str">
        <f>HYPERLINK("https://www.marklines.com/en/global/1173","Honda Cars India (HCIL), Tapukara Plant")</f>
        <v>Honda Cars India (HCIL), Tapukara Plant</v>
      </c>
      <c r="E825" s="8" t="s">
        <v>821</v>
      </c>
      <c r="F825" s="8" t="s">
        <v>25</v>
      </c>
      <c r="G825" s="8" t="s">
        <v>26</v>
      </c>
      <c r="H825" s="8" t="s">
        <v>822</v>
      </c>
      <c r="I825" s="10">
        <v>45138</v>
      </c>
      <c r="J825" s="8" t="s">
        <v>823</v>
      </c>
    </row>
    <row r="826" spans="1:10" x14ac:dyDescent="0.15">
      <c r="A826" s="7">
        <v>45139</v>
      </c>
      <c r="B826" s="8" t="s">
        <v>90</v>
      </c>
      <c r="C826" s="8" t="s">
        <v>91</v>
      </c>
      <c r="D826" s="9" t="str">
        <f>HYPERLINK("https://www.marklines.com/en/global/729","LLC ""LADA Izhevsk"", LADA Izhevsk Automotive Plant (formerly OJSC Izh-Avto, Izhevsk Automobilny Zavod) ")</f>
        <v xml:space="preserve">LLC "LADA Izhevsk", LADA Izhevsk Automotive Plant (formerly OJSC Izh-Avto, Izhevsk Automobilny Zavod) </v>
      </c>
      <c r="E826" s="8" t="s">
        <v>613</v>
      </c>
      <c r="F826" s="8" t="s">
        <v>18</v>
      </c>
      <c r="G826" s="8" t="s">
        <v>14</v>
      </c>
      <c r="H826" s="8"/>
      <c r="I826" s="10">
        <v>45138</v>
      </c>
      <c r="J826" s="8" t="s">
        <v>824</v>
      </c>
    </row>
    <row r="827" spans="1:10" x14ac:dyDescent="0.15">
      <c r="A827" s="7">
        <v>45139</v>
      </c>
      <c r="B827" s="8" t="s">
        <v>90</v>
      </c>
      <c r="C827" s="8" t="s">
        <v>91</v>
      </c>
      <c r="D827" s="9" t="str">
        <f>HYPERLINK("https://www.marklines.com/en/global/675","AvtoVAZ, Togliatti Plant")</f>
        <v>AvtoVAZ, Togliatti Plant</v>
      </c>
      <c r="E827" s="8" t="s">
        <v>92</v>
      </c>
      <c r="F827" s="8" t="s">
        <v>18</v>
      </c>
      <c r="G827" s="8" t="s">
        <v>14</v>
      </c>
      <c r="H827" s="8"/>
      <c r="I827" s="10">
        <v>45138</v>
      </c>
      <c r="J827" s="8" t="s">
        <v>824</v>
      </c>
    </row>
    <row r="828" spans="1:10" x14ac:dyDescent="0.15">
      <c r="A828" s="7">
        <v>45139</v>
      </c>
      <c r="B828" s="8" t="s">
        <v>13</v>
      </c>
      <c r="C828" s="8" t="s">
        <v>444</v>
      </c>
      <c r="D828" s="9" t="str">
        <f>HYPERLINK("https://www.marklines.com/en/global/687","Sollers-Yelabuga OOO, Yelabuga Plant")</f>
        <v>Sollers-Yelabuga OOO, Yelabuga Plant</v>
      </c>
      <c r="E828" s="8" t="s">
        <v>445</v>
      </c>
      <c r="F828" s="8" t="s">
        <v>18</v>
      </c>
      <c r="G828" s="8" t="s">
        <v>14</v>
      </c>
      <c r="H828" s="8"/>
      <c r="I828" s="10">
        <v>45138</v>
      </c>
      <c r="J828" s="8" t="s">
        <v>825</v>
      </c>
    </row>
    <row r="829" spans="1:10" x14ac:dyDescent="0.15">
      <c r="A829" s="7">
        <v>45139</v>
      </c>
      <c r="B829" s="8" t="s">
        <v>50</v>
      </c>
      <c r="C829" s="8" t="s">
        <v>50</v>
      </c>
      <c r="D829" s="9" t="str">
        <f>HYPERLINK("https://www.marklines.com/en/global/493","Suzuki Motor Corporation")</f>
        <v>Suzuki Motor Corporation</v>
      </c>
      <c r="E829" s="8" t="s">
        <v>826</v>
      </c>
      <c r="F829" s="8" t="s">
        <v>20</v>
      </c>
      <c r="G829" s="8" t="s">
        <v>23</v>
      </c>
      <c r="H829" s="8" t="s">
        <v>827</v>
      </c>
      <c r="I829" s="10">
        <v>45138</v>
      </c>
      <c r="J829" s="8" t="s">
        <v>828</v>
      </c>
    </row>
    <row r="830" spans="1:10" x14ac:dyDescent="0.15">
      <c r="A830" s="7">
        <v>45139</v>
      </c>
      <c r="B830" s="8" t="s">
        <v>50</v>
      </c>
      <c r="C830" s="8" t="s">
        <v>50</v>
      </c>
      <c r="D830" s="9" t="str">
        <f>HYPERLINK("https://www.marklines.com/en/global/1256","Suzuki Motor Gujarat Private Limited (SMG), Hansalpur plant")</f>
        <v>Suzuki Motor Gujarat Private Limited (SMG), Hansalpur plant</v>
      </c>
      <c r="E830" s="8" t="s">
        <v>223</v>
      </c>
      <c r="F830" s="8" t="s">
        <v>25</v>
      </c>
      <c r="G830" s="8" t="s">
        <v>26</v>
      </c>
      <c r="H830" s="8" t="s">
        <v>95</v>
      </c>
      <c r="I830" s="10">
        <v>45138</v>
      </c>
      <c r="J830" s="8" t="s">
        <v>828</v>
      </c>
    </row>
    <row r="831" spans="1:10" x14ac:dyDescent="0.15">
      <c r="A831" s="7">
        <v>45139</v>
      </c>
      <c r="B831" s="8" t="s">
        <v>50</v>
      </c>
      <c r="C831" s="8" t="s">
        <v>50</v>
      </c>
      <c r="D831" s="9" t="str">
        <f>HYPERLINK("https://www.marklines.com/en/global/1251","Maruti Suzuki India Ltd. (MSIL)")</f>
        <v>Maruti Suzuki India Ltd. (MSIL)</v>
      </c>
      <c r="E831" s="8" t="s">
        <v>829</v>
      </c>
      <c r="F831" s="8" t="s">
        <v>25</v>
      </c>
      <c r="G831" s="8" t="s">
        <v>26</v>
      </c>
      <c r="H831" s="8" t="s">
        <v>830</v>
      </c>
      <c r="I831" s="10">
        <v>45138</v>
      </c>
      <c r="J831" s="8" t="s">
        <v>828</v>
      </c>
    </row>
    <row r="832" spans="1:10" x14ac:dyDescent="0.15">
      <c r="A832" s="7">
        <v>45139</v>
      </c>
      <c r="B832" s="8" t="s">
        <v>13</v>
      </c>
      <c r="C832" s="8" t="s">
        <v>316</v>
      </c>
      <c r="D832" s="9" t="str">
        <f>HYPERLINK("https://www.marklines.com/en/global/9588","JBM Auto Limited, Bus division")</f>
        <v>JBM Auto Limited, Bus division</v>
      </c>
      <c r="E832" s="8" t="s">
        <v>831</v>
      </c>
      <c r="F832" s="8" t="s">
        <v>25</v>
      </c>
      <c r="G832" s="8" t="s">
        <v>26</v>
      </c>
      <c r="H832" s="8" t="s">
        <v>739</v>
      </c>
      <c r="I832" s="10">
        <v>45138</v>
      </c>
      <c r="J832" s="8" t="s">
        <v>832</v>
      </c>
    </row>
    <row r="833" spans="1:10" x14ac:dyDescent="0.15">
      <c r="A833" s="7">
        <v>45139</v>
      </c>
      <c r="B833" s="8" t="s">
        <v>833</v>
      </c>
      <c r="C833" s="8" t="s">
        <v>834</v>
      </c>
      <c r="D833" s="9" t="str">
        <f>HYPERLINK("https://www.marklines.com/en/global/9888","Regal Automobiles Industries Ltd.")</f>
        <v>Regal Automobiles Industries Ltd.</v>
      </c>
      <c r="E833" s="8" t="s">
        <v>835</v>
      </c>
      <c r="F833" s="8" t="s">
        <v>25</v>
      </c>
      <c r="G833" s="8" t="s">
        <v>366</v>
      </c>
      <c r="H833" s="8"/>
      <c r="I833" s="10">
        <v>45138</v>
      </c>
      <c r="J833" s="8" t="s">
        <v>836</v>
      </c>
    </row>
    <row r="834" spans="1:10" x14ac:dyDescent="0.15">
      <c r="A834" s="7">
        <v>45139</v>
      </c>
      <c r="B834" s="8" t="s">
        <v>12</v>
      </c>
      <c r="C834" s="8" t="s">
        <v>19</v>
      </c>
      <c r="D834" s="9" t="str">
        <f>HYPERLINK("https://www.marklines.com/en/global/867","General Motors Mexico, Ramos Arizpe Plant")</f>
        <v>General Motors Mexico, Ramos Arizpe Plant</v>
      </c>
      <c r="E834" s="8" t="s">
        <v>639</v>
      </c>
      <c r="F834" s="8" t="s">
        <v>16</v>
      </c>
      <c r="G834" s="8" t="s">
        <v>430</v>
      </c>
      <c r="H834" s="8"/>
      <c r="I834" s="10">
        <v>45138</v>
      </c>
      <c r="J834" s="8" t="s">
        <v>837</v>
      </c>
    </row>
    <row r="835" spans="1:10" x14ac:dyDescent="0.15">
      <c r="A835" s="7">
        <v>45139</v>
      </c>
      <c r="B835" s="8" t="s">
        <v>68</v>
      </c>
      <c r="C835" s="8" t="s">
        <v>68</v>
      </c>
      <c r="D835" s="9" t="str">
        <f>HYPERLINK("https://www.marklines.com/en/global/10577","NextStar Energy, Windsor Battery Plant")</f>
        <v>NextStar Energy, Windsor Battery Plant</v>
      </c>
      <c r="E835" s="8" t="s">
        <v>169</v>
      </c>
      <c r="F835" s="8" t="s">
        <v>16</v>
      </c>
      <c r="G835" s="8" t="s">
        <v>82</v>
      </c>
      <c r="H835" s="8"/>
      <c r="I835" s="10">
        <v>45138</v>
      </c>
      <c r="J835" s="8" t="s">
        <v>838</v>
      </c>
    </row>
    <row r="836" spans="1:10" x14ac:dyDescent="0.15">
      <c r="A836" s="7">
        <v>45139</v>
      </c>
      <c r="B836" s="8" t="s">
        <v>28</v>
      </c>
      <c r="C836" s="8" t="s">
        <v>839</v>
      </c>
      <c r="D836" s="9" t="str">
        <f>HYPERLINK("https://www.marklines.com/en/global/3073","Western Star Trucks, Portland Plant")</f>
        <v>Western Star Trucks, Portland Plant</v>
      </c>
      <c r="E836" s="8" t="s">
        <v>840</v>
      </c>
      <c r="F836" s="8" t="s">
        <v>16</v>
      </c>
      <c r="G836" s="8" t="s">
        <v>11</v>
      </c>
      <c r="H836" s="8" t="s">
        <v>841</v>
      </c>
      <c r="I836" s="10">
        <v>45138</v>
      </c>
      <c r="J836" s="8" t="s">
        <v>842</v>
      </c>
    </row>
    <row r="837" spans="1:10" x14ac:dyDescent="0.15">
      <c r="A837" s="7">
        <v>45139</v>
      </c>
      <c r="B837" s="8" t="s">
        <v>68</v>
      </c>
      <c r="C837" s="8" t="s">
        <v>843</v>
      </c>
      <c r="D837" s="9" t="str">
        <f>HYPERLINK("https://www.marklines.com/en/global/1931","Stellantis, Opel Espana de Automoviles, S.A., Zaragoza Plant")</f>
        <v>Stellantis, Opel Espana de Automoviles, S.A., Zaragoza Plant</v>
      </c>
      <c r="E837" s="8" t="s">
        <v>157</v>
      </c>
      <c r="F837" s="8" t="s">
        <v>17</v>
      </c>
      <c r="G837" s="8" t="s">
        <v>114</v>
      </c>
      <c r="H837" s="8"/>
      <c r="I837" s="10">
        <v>45135</v>
      </c>
      <c r="J837" s="8" t="s">
        <v>844</v>
      </c>
    </row>
    <row r="838" spans="1:10" x14ac:dyDescent="0.15">
      <c r="A838" s="7">
        <v>45139</v>
      </c>
      <c r="B838" s="8" t="s">
        <v>68</v>
      </c>
      <c r="C838" s="8" t="s">
        <v>68</v>
      </c>
      <c r="D838" s="9" t="str">
        <f>HYPERLINK("https://www.marklines.com/en/global/10380","Symbio S.A.S (formerly Symbio FCell SA)")</f>
        <v>Symbio S.A.S (formerly Symbio FCell SA)</v>
      </c>
      <c r="E838" s="8" t="s">
        <v>648</v>
      </c>
      <c r="F838" s="8" t="s">
        <v>17</v>
      </c>
      <c r="G838" s="8" t="s">
        <v>40</v>
      </c>
      <c r="H838" s="8"/>
      <c r="I838" s="10">
        <v>45135</v>
      </c>
      <c r="J838" s="8" t="s">
        <v>845</v>
      </c>
    </row>
    <row r="839" spans="1:10" x14ac:dyDescent="0.15">
      <c r="A839" s="7">
        <v>45139</v>
      </c>
      <c r="B839" s="8" t="s">
        <v>437</v>
      </c>
      <c r="C839" s="8" t="s">
        <v>437</v>
      </c>
      <c r="D839" s="9" t="str">
        <f>HYPERLINK("https://www.marklines.com/en/global/3971","Dongfeng Motor Corporation ")</f>
        <v xml:space="preserve">Dongfeng Motor Corporation </v>
      </c>
      <c r="E839" s="8" t="s">
        <v>646</v>
      </c>
      <c r="F839" s="8" t="s">
        <v>20</v>
      </c>
      <c r="G839" s="8" t="s">
        <v>27</v>
      </c>
      <c r="H839" s="8" t="s">
        <v>46</v>
      </c>
      <c r="I839" s="10">
        <v>45134</v>
      </c>
      <c r="J839" s="8" t="s">
        <v>846</v>
      </c>
    </row>
    <row r="840" spans="1:10" x14ac:dyDescent="0.15">
      <c r="A840" s="7">
        <v>45139</v>
      </c>
      <c r="B840" s="8" t="s">
        <v>153</v>
      </c>
      <c r="C840" s="8" t="s">
        <v>153</v>
      </c>
      <c r="D840" s="9" t="str">
        <f>HYPERLINK("https://www.marklines.com/en/global/3449","China Changan Automobile Group Co., Ltd. ")</f>
        <v xml:space="preserve">China Changan Automobile Group Co., Ltd. </v>
      </c>
      <c r="E840" s="8" t="s">
        <v>372</v>
      </c>
      <c r="F840" s="8" t="s">
        <v>20</v>
      </c>
      <c r="G840" s="8" t="s">
        <v>27</v>
      </c>
      <c r="H840" s="8" t="s">
        <v>37</v>
      </c>
      <c r="I840" s="10">
        <v>45134</v>
      </c>
      <c r="J840" s="8" t="s">
        <v>846</v>
      </c>
    </row>
    <row r="841" spans="1:10" x14ac:dyDescent="0.15">
      <c r="A841" s="7">
        <v>45139</v>
      </c>
      <c r="B841" s="8" t="s">
        <v>533</v>
      </c>
      <c r="C841" s="8" t="s">
        <v>533</v>
      </c>
      <c r="D841" s="9" t="str">
        <f>HYPERLINK("https://www.marklines.com/en/global/3333","China FAW Group Co., Ltd.  (Formerly China FAW Group Corporation)")</f>
        <v>China FAW Group Co., Ltd.  (Formerly China FAW Group Corporation)</v>
      </c>
      <c r="E841" s="8" t="s">
        <v>546</v>
      </c>
      <c r="F841" s="8" t="s">
        <v>20</v>
      </c>
      <c r="G841" s="8" t="s">
        <v>27</v>
      </c>
      <c r="H841" s="8" t="s">
        <v>536</v>
      </c>
      <c r="I841" s="10">
        <v>45134</v>
      </c>
      <c r="J841" s="8" t="s">
        <v>846</v>
      </c>
    </row>
    <row r="842" spans="1:10" x14ac:dyDescent="0.15">
      <c r="A842" s="7">
        <v>45139</v>
      </c>
      <c r="B842" s="8" t="s">
        <v>63</v>
      </c>
      <c r="C842" s="8" t="s">
        <v>64</v>
      </c>
      <c r="D842" s="9" t="str">
        <f>HYPERLINK("https://www.marklines.com/en/global/3429","Beijing Foton Daimler Automotive Co., Ltd. (BFDA)")</f>
        <v>Beijing Foton Daimler Automotive Co., Ltd. (BFDA)</v>
      </c>
      <c r="E842" s="8" t="s">
        <v>847</v>
      </c>
      <c r="F842" s="8" t="s">
        <v>20</v>
      </c>
      <c r="G842" s="8" t="s">
        <v>27</v>
      </c>
      <c r="H842" s="8" t="s">
        <v>37</v>
      </c>
      <c r="I842" s="10">
        <v>45134</v>
      </c>
      <c r="J842" s="8" t="s">
        <v>848</v>
      </c>
    </row>
    <row r="843" spans="1:10" x14ac:dyDescent="0.15">
      <c r="A843" s="7">
        <v>45139</v>
      </c>
      <c r="B843" s="8" t="s">
        <v>63</v>
      </c>
      <c r="C843" s="8" t="s">
        <v>64</v>
      </c>
      <c r="D843" s="9" t="str">
        <f>HYPERLINK("https://www.marklines.com/en/global/10684","Beijing Foton-Cummins Engine Co., Ltd.")</f>
        <v>Beijing Foton-Cummins Engine Co., Ltd.</v>
      </c>
      <c r="E843" s="8" t="s">
        <v>849</v>
      </c>
      <c r="F843" s="8" t="s">
        <v>20</v>
      </c>
      <c r="G843" s="8" t="s">
        <v>27</v>
      </c>
      <c r="H843" s="8" t="s">
        <v>37</v>
      </c>
      <c r="I843" s="10">
        <v>45134</v>
      </c>
      <c r="J843" s="8" t="s">
        <v>848</v>
      </c>
    </row>
    <row r="844" spans="1:10" x14ac:dyDescent="0.15">
      <c r="A844" s="7">
        <v>45139</v>
      </c>
      <c r="B844" s="8" t="s">
        <v>850</v>
      </c>
      <c r="C844" s="8" t="s">
        <v>850</v>
      </c>
      <c r="D844" s="9" t="str">
        <f>HYPERLINK("https://www.marklines.com/en/global/10540","Zhengzhou Yutong Group Co.,Ltd.")</f>
        <v>Zhengzhou Yutong Group Co.,Ltd.</v>
      </c>
      <c r="E844" s="8" t="s">
        <v>851</v>
      </c>
      <c r="F844" s="8" t="s">
        <v>20</v>
      </c>
      <c r="G844" s="8" t="s">
        <v>27</v>
      </c>
      <c r="H844" s="8" t="s">
        <v>47</v>
      </c>
      <c r="I844" s="10">
        <v>45133</v>
      </c>
      <c r="J844" s="8" t="s">
        <v>852</v>
      </c>
    </row>
    <row r="845" spans="1:10" x14ac:dyDescent="0.15">
      <c r="A845" s="7">
        <v>45139</v>
      </c>
      <c r="B845" s="8" t="s">
        <v>437</v>
      </c>
      <c r="C845" s="8" t="s">
        <v>853</v>
      </c>
      <c r="D845" s="9" t="str">
        <f>HYPERLINK("https://www.marklines.com/en/global/9165","Dongfeng Motor (Wuhan) Co., Ltd. (formerly Dongfeng Renault Automotive  Co., Ltd.) ")</f>
        <v xml:space="preserve">Dongfeng Motor (Wuhan) Co., Ltd. (formerly Dongfeng Renault Automotive  Co., Ltd.) </v>
      </c>
      <c r="E845" s="8" t="s">
        <v>854</v>
      </c>
      <c r="F845" s="8" t="s">
        <v>20</v>
      </c>
      <c r="G845" s="8" t="s">
        <v>27</v>
      </c>
      <c r="H845" s="8" t="s">
        <v>46</v>
      </c>
      <c r="I845" s="10">
        <v>45133</v>
      </c>
      <c r="J845" s="8" t="s">
        <v>855</v>
      </c>
    </row>
    <row r="846" spans="1:10" x14ac:dyDescent="0.15">
      <c r="A846" s="7">
        <v>45139</v>
      </c>
      <c r="B846" s="8" t="s">
        <v>29</v>
      </c>
      <c r="C846" s="8" t="s">
        <v>705</v>
      </c>
      <c r="D846" s="9" t="str">
        <f>HYPERLINK("https://www.marklines.com/en/global/9345","Geely Sichuan Commercial Vehicle Co., Ltd.")</f>
        <v>Geely Sichuan Commercial Vehicle Co., Ltd.</v>
      </c>
      <c r="E846" s="8" t="s">
        <v>706</v>
      </c>
      <c r="F846" s="8" t="s">
        <v>20</v>
      </c>
      <c r="G846" s="8" t="s">
        <v>27</v>
      </c>
      <c r="H846" s="8" t="s">
        <v>659</v>
      </c>
      <c r="I846" s="10">
        <v>45133</v>
      </c>
      <c r="J846" s="8" t="s">
        <v>856</v>
      </c>
    </row>
    <row r="847" spans="1:10" x14ac:dyDescent="0.15">
      <c r="A847" s="7">
        <v>45139</v>
      </c>
      <c r="B847" s="8" t="s">
        <v>43</v>
      </c>
      <c r="C847" s="8" t="s">
        <v>393</v>
      </c>
      <c r="D847" s="9" t="str">
        <f>HYPERLINK("https://www.marklines.com/en/global/3481","Volkswagen (China) Investment Co., Ltd. ")</f>
        <v xml:space="preserve">Volkswagen (China) Investment Co., Ltd. </v>
      </c>
      <c r="E847" s="8" t="s">
        <v>545</v>
      </c>
      <c r="F847" s="8" t="s">
        <v>20</v>
      </c>
      <c r="G847" s="8" t="s">
        <v>27</v>
      </c>
      <c r="H847" s="8" t="s">
        <v>37</v>
      </c>
      <c r="I847" s="10">
        <v>45133</v>
      </c>
      <c r="J847" s="8" t="s">
        <v>857</v>
      </c>
    </row>
    <row r="848" spans="1:10" x14ac:dyDescent="0.15">
      <c r="A848" s="7">
        <v>45139</v>
      </c>
      <c r="B848" s="8" t="s">
        <v>43</v>
      </c>
      <c r="C848" s="8" t="s">
        <v>393</v>
      </c>
      <c r="D848" s="9" t="str">
        <f>HYPERLINK("https://www.marklines.com/en/global/10714","Volkswagen (China) Technology Co., Ltd. (VCTC)")</f>
        <v>Volkswagen (China) Technology Co., Ltd. (VCTC)</v>
      </c>
      <c r="E848" s="8" t="s">
        <v>542</v>
      </c>
      <c r="F848" s="8" t="s">
        <v>20</v>
      </c>
      <c r="G848" s="8" t="s">
        <v>27</v>
      </c>
      <c r="H848" s="8" t="s">
        <v>326</v>
      </c>
      <c r="I848" s="10">
        <v>45133</v>
      </c>
      <c r="J848" s="8" t="s">
        <v>857</v>
      </c>
    </row>
    <row r="849" spans="1:10" x14ac:dyDescent="0.15">
      <c r="A849" s="7">
        <v>45139</v>
      </c>
      <c r="B849" s="8" t="s">
        <v>41</v>
      </c>
      <c r="C849" s="8" t="s">
        <v>41</v>
      </c>
      <c r="D849" s="9" t="str">
        <f>HYPERLINK("https://www.marklines.com/en/global/3609","SAIC Motor Corporation Limited")</f>
        <v>SAIC Motor Corporation Limited</v>
      </c>
      <c r="E849" s="8" t="s">
        <v>120</v>
      </c>
      <c r="F849" s="8" t="s">
        <v>20</v>
      </c>
      <c r="G849" s="8" t="s">
        <v>27</v>
      </c>
      <c r="H849" s="8" t="s">
        <v>106</v>
      </c>
      <c r="I849" s="10">
        <v>45133</v>
      </c>
      <c r="J849" s="8" t="s">
        <v>857</v>
      </c>
    </row>
    <row r="850" spans="1:10" x14ac:dyDescent="0.15">
      <c r="A850" s="7">
        <v>45139</v>
      </c>
      <c r="B850" s="8" t="s">
        <v>117</v>
      </c>
      <c r="C850" s="8" t="s">
        <v>117</v>
      </c>
      <c r="D850" s="9" t="str">
        <f>HYPERLINK("https://www.marklines.com/en/global/9486","Zhaoqing Xiaopeng New Energy Investment Co., Ltd. (Formerly : Guangzhou Xiaopeng Motors Technology Co., Ltd.  Zhaoqing Plant)")</f>
        <v>Zhaoqing Xiaopeng New Energy Investment Co., Ltd. (Formerly : Guangzhou Xiaopeng Motors Technology Co., Ltd.  Zhaoqing Plant)</v>
      </c>
      <c r="E850" s="8" t="s">
        <v>858</v>
      </c>
      <c r="F850" s="8" t="s">
        <v>20</v>
      </c>
      <c r="G850" s="8" t="s">
        <v>27</v>
      </c>
      <c r="H850" s="8" t="s">
        <v>37</v>
      </c>
      <c r="I850" s="10">
        <v>45133</v>
      </c>
      <c r="J850" s="8" t="s">
        <v>857</v>
      </c>
    </row>
    <row r="851" spans="1:10" x14ac:dyDescent="0.15">
      <c r="A851" s="7">
        <v>45139</v>
      </c>
      <c r="B851" s="8" t="s">
        <v>117</v>
      </c>
      <c r="C851" s="8" t="s">
        <v>117</v>
      </c>
      <c r="D851" s="9" t="str">
        <f>HYPERLINK("https://www.marklines.com/en/global/9485","Guangzhou Xiaopeng Motors Technology Co., Ltd. ")</f>
        <v xml:space="preserve">Guangzhou Xiaopeng Motors Technology Co., Ltd. </v>
      </c>
      <c r="E851" s="8" t="s">
        <v>859</v>
      </c>
      <c r="F851" s="8" t="s">
        <v>20</v>
      </c>
      <c r="G851" s="8" t="s">
        <v>27</v>
      </c>
      <c r="H851" s="8" t="s">
        <v>31</v>
      </c>
      <c r="I851" s="10">
        <v>45133</v>
      </c>
      <c r="J851" s="8" t="s">
        <v>857</v>
      </c>
    </row>
    <row r="852" spans="1:10" x14ac:dyDescent="0.15">
      <c r="A852" s="7">
        <v>45139</v>
      </c>
      <c r="B852" s="8" t="s">
        <v>533</v>
      </c>
      <c r="C852" s="8" t="s">
        <v>533</v>
      </c>
      <c r="D852" s="9" t="str">
        <f>HYPERLINK("https://www.marklines.com/en/global/3335","FAW Jiefang Group Co., Ltd  ( Formerly FAW Car Co., Ltd. )")</f>
        <v>FAW Jiefang Group Co., Ltd  ( Formerly FAW Car Co., Ltd. )</v>
      </c>
      <c r="E852" s="8" t="s">
        <v>723</v>
      </c>
      <c r="F852" s="8" t="s">
        <v>20</v>
      </c>
      <c r="G852" s="8" t="s">
        <v>27</v>
      </c>
      <c r="H852" s="8" t="s">
        <v>536</v>
      </c>
      <c r="I852" s="10">
        <v>45133</v>
      </c>
      <c r="J852" s="8" t="s">
        <v>860</v>
      </c>
    </row>
    <row r="853" spans="1:10" x14ac:dyDescent="0.15">
      <c r="A853" s="7">
        <v>45138</v>
      </c>
      <c r="B853" s="8" t="s">
        <v>60</v>
      </c>
      <c r="C853" s="8" t="s">
        <v>61</v>
      </c>
      <c r="D853" s="9" t="str">
        <f>HYPERLINK("https://www.marklines.com/en/global/2225","Mercedes-Benz Group AG, Sindelfingen Plant")</f>
        <v>Mercedes-Benz Group AG, Sindelfingen Plant</v>
      </c>
      <c r="E853" s="8" t="s">
        <v>633</v>
      </c>
      <c r="F853" s="8" t="s">
        <v>17</v>
      </c>
      <c r="G853" s="8" t="s">
        <v>21</v>
      </c>
      <c r="H853" s="8"/>
      <c r="I853" s="10">
        <v>45138</v>
      </c>
      <c r="J853" s="8" t="s">
        <v>861</v>
      </c>
    </row>
    <row r="854" spans="1:10" x14ac:dyDescent="0.15">
      <c r="A854" s="7">
        <v>45138</v>
      </c>
      <c r="B854" s="8" t="s">
        <v>90</v>
      </c>
      <c r="C854" s="8" t="s">
        <v>91</v>
      </c>
      <c r="D854" s="9" t="str">
        <f>HYPERLINK("https://www.marklines.com/en/global/10715","Al-Amal Company for Vehicles Manufacturing and Assembly")</f>
        <v>Al-Amal Company for Vehicles Manufacturing and Assembly</v>
      </c>
      <c r="E854" s="8" t="s">
        <v>862</v>
      </c>
      <c r="F854" s="8" t="s">
        <v>164</v>
      </c>
      <c r="G854" s="8" t="s">
        <v>863</v>
      </c>
      <c r="H854" s="8"/>
      <c r="I854" s="10">
        <v>45135</v>
      </c>
      <c r="J854" s="8" t="s">
        <v>864</v>
      </c>
    </row>
    <row r="855" spans="1:10" x14ac:dyDescent="0.15">
      <c r="A855" s="7">
        <v>45138</v>
      </c>
      <c r="B855" s="8" t="s">
        <v>69</v>
      </c>
      <c r="C855" s="8" t="s">
        <v>69</v>
      </c>
      <c r="D855" s="9" t="str">
        <f>HYPERLINK("https://www.marklines.com/en/global/9899","Iveco S.p.A., Ulm Plant")</f>
        <v>Iveco S.p.A., Ulm Plant</v>
      </c>
      <c r="E855" s="8" t="s">
        <v>155</v>
      </c>
      <c r="F855" s="8" t="s">
        <v>17</v>
      </c>
      <c r="G855" s="8" t="s">
        <v>21</v>
      </c>
      <c r="H855" s="8"/>
      <c r="I855" s="10">
        <v>45134</v>
      </c>
      <c r="J855" s="8" t="s">
        <v>865</v>
      </c>
    </row>
    <row r="856" spans="1:10" x14ac:dyDescent="0.15">
      <c r="A856" s="7">
        <v>45138</v>
      </c>
      <c r="B856" s="8" t="s">
        <v>93</v>
      </c>
      <c r="C856" s="8" t="s">
        <v>866</v>
      </c>
      <c r="D856" s="9" t="str">
        <f>HYPERLINK("https://www.marklines.com/en/global/167","Manufacture Alpine Dieppe Jean Rédélé (formerly Renault S.A., Dieppe (Renault Alpine) Plant)")</f>
        <v>Manufacture Alpine Dieppe Jean Rédélé (formerly Renault S.A., Dieppe (Renault Alpine) Plant)</v>
      </c>
      <c r="E856" s="8" t="s">
        <v>867</v>
      </c>
      <c r="F856" s="8" t="s">
        <v>17</v>
      </c>
      <c r="G856" s="8" t="s">
        <v>40</v>
      </c>
      <c r="H856" s="8"/>
      <c r="I856" s="10">
        <v>45134</v>
      </c>
      <c r="J856" s="8" t="s">
        <v>868</v>
      </c>
    </row>
    <row r="857" spans="1:10" x14ac:dyDescent="0.15">
      <c r="A857" s="7">
        <v>45138</v>
      </c>
      <c r="B857" s="8" t="s">
        <v>68</v>
      </c>
      <c r="C857" s="8" t="s">
        <v>68</v>
      </c>
      <c r="D857" s="9" t="str">
        <f>HYPERLINK("https://www.marklines.com/en/global/1443","Turk Otomobil Fabrikasi A.S. (Tofas), Bursa Plant")</f>
        <v>Turk Otomobil Fabrikasi A.S. (Tofas), Bursa Plant</v>
      </c>
      <c r="E857" s="8" t="s">
        <v>869</v>
      </c>
      <c r="F857" s="8" t="s">
        <v>687</v>
      </c>
      <c r="G857" s="8" t="s">
        <v>688</v>
      </c>
      <c r="H857" s="8"/>
      <c r="I857" s="10">
        <v>45134</v>
      </c>
      <c r="J857" s="8" t="s">
        <v>870</v>
      </c>
    </row>
    <row r="858" spans="1:10" x14ac:dyDescent="0.15">
      <c r="A858" s="7">
        <v>45138</v>
      </c>
      <c r="B858" s="8" t="s">
        <v>679</v>
      </c>
      <c r="C858" s="8" t="s">
        <v>679</v>
      </c>
      <c r="D858" s="9" t="str">
        <f>HYPERLINK("https://www.marklines.com/en/global/9569","Anhui Jianghuai Automobile Group Corp., Ltd. Light Commercial Vehicle Branch")</f>
        <v>Anhui Jianghuai Automobile Group Corp., Ltd. Light Commercial Vehicle Branch</v>
      </c>
      <c r="E858" s="8" t="s">
        <v>871</v>
      </c>
      <c r="F858" s="8" t="s">
        <v>20</v>
      </c>
      <c r="G858" s="8" t="s">
        <v>27</v>
      </c>
      <c r="H858" s="8" t="s">
        <v>326</v>
      </c>
      <c r="I858" s="10">
        <v>45132</v>
      </c>
      <c r="J858" s="8" t="s">
        <v>872</v>
      </c>
    </row>
    <row r="859" spans="1:10" x14ac:dyDescent="0.15">
      <c r="A859" s="7">
        <v>45138</v>
      </c>
      <c r="B859" s="8" t="s">
        <v>22</v>
      </c>
      <c r="C859" s="8" t="s">
        <v>22</v>
      </c>
      <c r="D859" s="9" t="str">
        <f>HYPERLINK("https://www.marklines.com/en/global/4093","GAC Toyota Motor Co., Ltd. (GTMC)")</f>
        <v>GAC Toyota Motor Co., Ltd. (GTMC)</v>
      </c>
      <c r="E859" s="8" t="s">
        <v>551</v>
      </c>
      <c r="F859" s="8" t="s">
        <v>20</v>
      </c>
      <c r="G859" s="8" t="s">
        <v>27</v>
      </c>
      <c r="H859" s="8" t="s">
        <v>31</v>
      </c>
      <c r="I859" s="10">
        <v>45132</v>
      </c>
      <c r="J859" s="8" t="s">
        <v>873</v>
      </c>
    </row>
    <row r="860" spans="1:10" x14ac:dyDescent="0.15">
      <c r="A860" s="7">
        <v>45138</v>
      </c>
      <c r="B860" s="8" t="s">
        <v>41</v>
      </c>
      <c r="C860" s="8" t="s">
        <v>676</v>
      </c>
      <c r="D860" s="9" t="str">
        <f>HYPERLINK("https://www.marklines.com/en/global/10383","Zhiji Motor Technology Co., Ltd.")</f>
        <v>Zhiji Motor Technology Co., Ltd.</v>
      </c>
      <c r="E860" s="8" t="s">
        <v>677</v>
      </c>
      <c r="F860" s="8" t="s">
        <v>20</v>
      </c>
      <c r="G860" s="8" t="s">
        <v>27</v>
      </c>
      <c r="H860" s="8" t="s">
        <v>106</v>
      </c>
      <c r="I860" s="10">
        <v>45131</v>
      </c>
      <c r="J860" s="8" t="s">
        <v>874</v>
      </c>
    </row>
    <row r="861" spans="1:10" x14ac:dyDescent="0.15">
      <c r="A861" s="7">
        <v>45138</v>
      </c>
      <c r="B861" s="8" t="s">
        <v>41</v>
      </c>
      <c r="C861" s="8" t="s">
        <v>676</v>
      </c>
      <c r="D861" s="9" t="str">
        <f>HYPERLINK("https://www.marklines.com/en/global/3611","SAIC Motor Passenger Vehicle Co., Ltd. Lingang Plant")</f>
        <v>SAIC Motor Passenger Vehicle Co., Ltd. Lingang Plant</v>
      </c>
      <c r="E861" s="8" t="s">
        <v>875</v>
      </c>
      <c r="F861" s="8" t="s">
        <v>20</v>
      </c>
      <c r="G861" s="8" t="s">
        <v>27</v>
      </c>
      <c r="H861" s="8" t="s">
        <v>106</v>
      </c>
      <c r="I861" s="10">
        <v>45131</v>
      </c>
      <c r="J861" s="8" t="s">
        <v>874</v>
      </c>
    </row>
    <row r="862" spans="1:10" x14ac:dyDescent="0.15">
      <c r="A862" s="7">
        <v>45138</v>
      </c>
      <c r="B862" s="8" t="s">
        <v>53</v>
      </c>
      <c r="C862" s="8" t="s">
        <v>154</v>
      </c>
      <c r="D862" s="9" t="str">
        <f>HYPERLINK("https://www.marklines.com/en/global/10420","Great Wall Motor Co., Ltd. Jingmen Branch")</f>
        <v>Great Wall Motor Co., Ltd. Jingmen Branch</v>
      </c>
      <c r="E862" s="8" t="s">
        <v>149</v>
      </c>
      <c r="F862" s="8" t="s">
        <v>20</v>
      </c>
      <c r="G862" s="8" t="s">
        <v>27</v>
      </c>
      <c r="H862" s="8" t="s">
        <v>46</v>
      </c>
      <c r="I862" s="10">
        <v>45129</v>
      </c>
      <c r="J862" s="8" t="s">
        <v>876</v>
      </c>
    </row>
    <row r="863" spans="1:10" x14ac:dyDescent="0.15">
      <c r="A863" s="7">
        <v>45138</v>
      </c>
      <c r="B863" s="8" t="s">
        <v>29</v>
      </c>
      <c r="C863" s="8" t="s">
        <v>29</v>
      </c>
      <c r="D863" s="9" t="str">
        <f>HYPERLINK("https://www.marklines.com/en/global/3807","Zhejiang Geely Holding Group Co., Ltd.")</f>
        <v>Zhejiang Geely Holding Group Co., Ltd.</v>
      </c>
      <c r="E863" s="8" t="s">
        <v>76</v>
      </c>
      <c r="F863" s="8" t="s">
        <v>20</v>
      </c>
      <c r="G863" s="8" t="s">
        <v>27</v>
      </c>
      <c r="H863" s="8" t="s">
        <v>51</v>
      </c>
      <c r="I863" s="10">
        <v>45128</v>
      </c>
      <c r="J863" s="8" t="s">
        <v>877</v>
      </c>
    </row>
    <row r="864" spans="1:10" x14ac:dyDescent="0.15">
      <c r="A864" s="7">
        <v>45136</v>
      </c>
      <c r="B864" s="8" t="s">
        <v>93</v>
      </c>
      <c r="C864" s="8" t="s">
        <v>93</v>
      </c>
      <c r="D864" s="9" t="str">
        <f>HYPERLINK("https://www.marklines.com/en/global/2907","Renault do Brasil S.A., Curitiba/Sao Jose dos Pinhais Plant")</f>
        <v>Renault do Brasil S.A., Curitiba/Sao Jose dos Pinhais Plant</v>
      </c>
      <c r="E864" s="8" t="s">
        <v>878</v>
      </c>
      <c r="F864" s="8" t="s">
        <v>74</v>
      </c>
      <c r="G864" s="8" t="s">
        <v>75</v>
      </c>
      <c r="H864" s="8"/>
      <c r="I864" s="10">
        <v>45132</v>
      </c>
      <c r="J864" s="8" t="s">
        <v>879</v>
      </c>
    </row>
    <row r="865" spans="1:10" x14ac:dyDescent="0.15">
      <c r="A865" s="7">
        <v>45135</v>
      </c>
      <c r="B865" s="8" t="s">
        <v>90</v>
      </c>
      <c r="C865" s="8" t="s">
        <v>91</v>
      </c>
      <c r="D865" s="9" t="str">
        <f>HYPERLINK("https://www.marklines.com/en/global/729","LLC ""LADA Izhevsk"", LADA Izhevsk Automotive Plant (formerly OJSC Izh-Avto, Izhevsk Automobilny Zavod) ")</f>
        <v xml:space="preserve">LLC "LADA Izhevsk", LADA Izhevsk Automotive Plant (formerly OJSC Izh-Avto, Izhevsk Automobilny Zavod) </v>
      </c>
      <c r="E865" s="8" t="s">
        <v>613</v>
      </c>
      <c r="F865" s="8" t="s">
        <v>18</v>
      </c>
      <c r="G865" s="8" t="s">
        <v>14</v>
      </c>
      <c r="H865" s="8"/>
      <c r="I865" s="10">
        <v>45134</v>
      </c>
      <c r="J865" s="8" t="s">
        <v>614</v>
      </c>
    </row>
    <row r="866" spans="1:10" x14ac:dyDescent="0.15">
      <c r="A866" s="7">
        <v>45135</v>
      </c>
      <c r="B866" s="8" t="s">
        <v>90</v>
      </c>
      <c r="C866" s="8" t="s">
        <v>91</v>
      </c>
      <c r="D866" s="9" t="str">
        <f>HYPERLINK("https://www.marklines.com/en/global/675","AvtoVAZ, Togliatti Plant")</f>
        <v>AvtoVAZ, Togliatti Plant</v>
      </c>
      <c r="E866" s="8" t="s">
        <v>92</v>
      </c>
      <c r="F866" s="8" t="s">
        <v>18</v>
      </c>
      <c r="G866" s="8" t="s">
        <v>14</v>
      </c>
      <c r="H866" s="8"/>
      <c r="I866" s="10">
        <v>45134</v>
      </c>
      <c r="J866" s="8" t="s">
        <v>614</v>
      </c>
    </row>
    <row r="867" spans="1:10" x14ac:dyDescent="0.15">
      <c r="A867" s="7">
        <v>45135</v>
      </c>
      <c r="B867" s="8" t="s">
        <v>43</v>
      </c>
      <c r="C867" s="8" t="s">
        <v>615</v>
      </c>
      <c r="D867" s="9" t="str">
        <f>HYPERLINK("https://www.marklines.com/en/global/1357","Automobili Lamborghini S.p.A., Sant'Agata Bolognese Plant")</f>
        <v>Automobili Lamborghini S.p.A., Sant'Agata Bolognese Plant</v>
      </c>
      <c r="E867" s="8" t="s">
        <v>616</v>
      </c>
      <c r="F867" s="8" t="s">
        <v>17</v>
      </c>
      <c r="G867" s="8" t="s">
        <v>70</v>
      </c>
      <c r="H867" s="8"/>
      <c r="I867" s="10">
        <v>45133</v>
      </c>
      <c r="J867" s="8" t="s">
        <v>617</v>
      </c>
    </row>
    <row r="868" spans="1:10" x14ac:dyDescent="0.15">
      <c r="A868" s="7">
        <v>45135</v>
      </c>
      <c r="B868" s="8" t="s">
        <v>68</v>
      </c>
      <c r="C868" s="8" t="s">
        <v>68</v>
      </c>
      <c r="D868" s="9" t="str">
        <f>HYPERLINK("https://www.marklines.com/en/global/1939","Stellantis, Peugeot Citroen Automoviles Espana S.A., Vigo Plant")</f>
        <v>Stellantis, Peugeot Citroen Automoviles Espana S.A., Vigo Plant</v>
      </c>
      <c r="E868" s="8" t="s">
        <v>158</v>
      </c>
      <c r="F868" s="8" t="s">
        <v>17</v>
      </c>
      <c r="G868" s="8" t="s">
        <v>114</v>
      </c>
      <c r="H868" s="8"/>
      <c r="I868" s="10">
        <v>45133</v>
      </c>
      <c r="J868" s="8" t="s">
        <v>618</v>
      </c>
    </row>
    <row r="869" spans="1:10" x14ac:dyDescent="0.15">
      <c r="A869" s="7">
        <v>45135</v>
      </c>
      <c r="B869" s="8" t="s">
        <v>39</v>
      </c>
      <c r="C869" s="8" t="s">
        <v>39</v>
      </c>
      <c r="D869" s="9" t="str">
        <f>HYPERLINK("https://www.marklines.com/en/global/10545","BMW Group Future Mobility Development Center (FMDC), Sokolov ")</f>
        <v xml:space="preserve">BMW Group Future Mobility Development Center (FMDC), Sokolov </v>
      </c>
      <c r="E869" s="8" t="s">
        <v>619</v>
      </c>
      <c r="F869" s="8" t="s">
        <v>18</v>
      </c>
      <c r="G869" s="8" t="s">
        <v>349</v>
      </c>
      <c r="H869" s="8"/>
      <c r="I869" s="10">
        <v>45133</v>
      </c>
      <c r="J869" s="8" t="s">
        <v>620</v>
      </c>
    </row>
    <row r="870" spans="1:10" x14ac:dyDescent="0.15">
      <c r="A870" s="7">
        <v>45135</v>
      </c>
      <c r="B870" s="8" t="s">
        <v>34</v>
      </c>
      <c r="C870" s="8" t="s">
        <v>34</v>
      </c>
      <c r="D870" s="9" t="str">
        <f>HYPERLINK("https://www.marklines.com/en/global/10671","Tesla Gigafactory Mexico")</f>
        <v>Tesla Gigafactory Mexico</v>
      </c>
      <c r="E870" s="8" t="s">
        <v>429</v>
      </c>
      <c r="F870" s="8" t="s">
        <v>16</v>
      </c>
      <c r="G870" s="8" t="s">
        <v>430</v>
      </c>
      <c r="H870" s="8"/>
      <c r="I870" s="10">
        <v>45131</v>
      </c>
      <c r="J870" s="8" t="s">
        <v>621</v>
      </c>
    </row>
    <row r="871" spans="1:10" x14ac:dyDescent="0.15">
      <c r="A871" s="7">
        <v>45134</v>
      </c>
      <c r="B871" s="8" t="s">
        <v>43</v>
      </c>
      <c r="C871" s="8" t="s">
        <v>127</v>
      </c>
      <c r="D871" s="9" t="str">
        <f>HYPERLINK("https://www.marklines.com/en/global/2199","Audi AG, Ingolstadt Plant")</f>
        <v>Audi AG, Ingolstadt Plant</v>
      </c>
      <c r="E871" s="8" t="s">
        <v>179</v>
      </c>
      <c r="F871" s="8" t="s">
        <v>17</v>
      </c>
      <c r="G871" s="8" t="s">
        <v>21</v>
      </c>
      <c r="H871" s="8"/>
      <c r="I871" s="10">
        <v>45133</v>
      </c>
      <c r="J871" s="8" t="s">
        <v>622</v>
      </c>
    </row>
    <row r="872" spans="1:10" x14ac:dyDescent="0.15">
      <c r="A872" s="7">
        <v>45134</v>
      </c>
      <c r="B872" s="8" t="s">
        <v>43</v>
      </c>
      <c r="C872" s="8" t="s">
        <v>623</v>
      </c>
      <c r="D872" s="9" t="str">
        <f>HYPERLINK("https://www.marklines.com/en/global/1378","Bentley Motors Ltd., Crewe Plant")</f>
        <v>Bentley Motors Ltd., Crewe Plant</v>
      </c>
      <c r="E872" s="8" t="s">
        <v>624</v>
      </c>
      <c r="F872" s="8" t="s">
        <v>17</v>
      </c>
      <c r="G872" s="8" t="s">
        <v>73</v>
      </c>
      <c r="H872" s="8"/>
      <c r="I872" s="10">
        <v>45133</v>
      </c>
      <c r="J872" s="8" t="s">
        <v>625</v>
      </c>
    </row>
    <row r="873" spans="1:10" x14ac:dyDescent="0.15">
      <c r="A873" s="7">
        <v>45134</v>
      </c>
      <c r="B873" s="8" t="s">
        <v>22</v>
      </c>
      <c r="C873" s="8" t="s">
        <v>398</v>
      </c>
      <c r="D873" s="9" t="str">
        <f>HYPERLINK("https://www.marklines.com/en/global/10320","Hino Motors Manufacturing Thailand, Ltd. Suvarnabhumi Monozukuri Center")</f>
        <v>Hino Motors Manufacturing Thailand, Ltd. Suvarnabhumi Monozukuri Center</v>
      </c>
      <c r="E873" s="8" t="s">
        <v>626</v>
      </c>
      <c r="F873" s="8" t="s">
        <v>49</v>
      </c>
      <c r="G873" s="8" t="s">
        <v>170</v>
      </c>
      <c r="H873" s="8" t="s">
        <v>627</v>
      </c>
      <c r="I873" s="10">
        <v>45133</v>
      </c>
      <c r="J873" s="8" t="s">
        <v>628</v>
      </c>
    </row>
    <row r="874" spans="1:10" x14ac:dyDescent="0.15">
      <c r="A874" s="7">
        <v>45134</v>
      </c>
      <c r="B874" s="8" t="s">
        <v>60</v>
      </c>
      <c r="C874" s="8" t="s">
        <v>61</v>
      </c>
      <c r="D874" s="9" t="str">
        <f>HYPERLINK("https://www.marklines.com/en/global/10245","Group Research &amp; MBC Development (Sindelfingen)")</f>
        <v>Group Research &amp; MBC Development (Sindelfingen)</v>
      </c>
      <c r="E874" s="8" t="s">
        <v>629</v>
      </c>
      <c r="F874" s="8" t="s">
        <v>17</v>
      </c>
      <c r="G874" s="8" t="s">
        <v>21</v>
      </c>
      <c r="H874" s="8"/>
      <c r="I874" s="10">
        <v>45132</v>
      </c>
      <c r="J874" s="8" t="s">
        <v>630</v>
      </c>
    </row>
    <row r="875" spans="1:10" x14ac:dyDescent="0.15">
      <c r="A875" s="7">
        <v>45134</v>
      </c>
      <c r="B875" s="8" t="s">
        <v>60</v>
      </c>
      <c r="C875" s="8" t="s">
        <v>61</v>
      </c>
      <c r="D875" s="9" t="str">
        <f>HYPERLINK("https://www.marklines.com/en/global/2235","Mercedes-Benz Group AG, Berlin Plant")</f>
        <v>Mercedes-Benz Group AG, Berlin Plant</v>
      </c>
      <c r="E875" s="8" t="s">
        <v>631</v>
      </c>
      <c r="F875" s="8" t="s">
        <v>17</v>
      </c>
      <c r="G875" s="8" t="s">
        <v>21</v>
      </c>
      <c r="H875" s="8"/>
      <c r="I875" s="10">
        <v>45132</v>
      </c>
      <c r="J875" s="8" t="s">
        <v>630</v>
      </c>
    </row>
    <row r="876" spans="1:10" x14ac:dyDescent="0.15">
      <c r="A876" s="7">
        <v>45134</v>
      </c>
      <c r="B876" s="8" t="s">
        <v>60</v>
      </c>
      <c r="C876" s="8" t="s">
        <v>61</v>
      </c>
      <c r="D876" s="9" t="str">
        <f>HYPERLINK("https://www.marklines.com/en/global/2233","Mercedes-Benz Group AG, Stuttgart-Untertürkheim Plant")</f>
        <v>Mercedes-Benz Group AG, Stuttgart-Untertürkheim Plant</v>
      </c>
      <c r="E876" s="8" t="s">
        <v>632</v>
      </c>
      <c r="F876" s="8" t="s">
        <v>17</v>
      </c>
      <c r="G876" s="8" t="s">
        <v>21</v>
      </c>
      <c r="H876" s="8"/>
      <c r="I876" s="10">
        <v>45132</v>
      </c>
      <c r="J876" s="8" t="s">
        <v>630</v>
      </c>
    </row>
    <row r="877" spans="1:10" x14ac:dyDescent="0.15">
      <c r="A877" s="7">
        <v>45134</v>
      </c>
      <c r="B877" s="8" t="s">
        <v>60</v>
      </c>
      <c r="C877" s="8" t="s">
        <v>61</v>
      </c>
      <c r="D877" s="9" t="str">
        <f>HYPERLINK("https://www.marklines.com/en/global/2225","Mercedes-Benz Group AG, Sindelfingen Plant")</f>
        <v>Mercedes-Benz Group AG, Sindelfingen Plant</v>
      </c>
      <c r="E877" s="8" t="s">
        <v>633</v>
      </c>
      <c r="F877" s="8" t="s">
        <v>17</v>
      </c>
      <c r="G877" s="8" t="s">
        <v>21</v>
      </c>
      <c r="H877" s="8"/>
      <c r="I877" s="10">
        <v>45132</v>
      </c>
      <c r="J877" s="8" t="s">
        <v>630</v>
      </c>
    </row>
    <row r="878" spans="1:10" x14ac:dyDescent="0.15">
      <c r="A878" s="7">
        <v>45134</v>
      </c>
      <c r="B878" s="8" t="s">
        <v>100</v>
      </c>
      <c r="C878" s="8" t="s">
        <v>100</v>
      </c>
      <c r="D878" s="9" t="str">
        <f>HYPERLINK("https://www.marklines.com/en/global/1089","Renault Nissan Automotive India (RNAIPL), Oragadam (Chennai) Plant")</f>
        <v>Renault Nissan Automotive India (RNAIPL), Oragadam (Chennai) Plant</v>
      </c>
      <c r="E878" s="8" t="s">
        <v>634</v>
      </c>
      <c r="F878" s="8" t="s">
        <v>25</v>
      </c>
      <c r="G878" s="8" t="s">
        <v>26</v>
      </c>
      <c r="H878" s="8" t="s">
        <v>635</v>
      </c>
      <c r="I878" s="10">
        <v>45132</v>
      </c>
      <c r="J878" s="8" t="s">
        <v>636</v>
      </c>
    </row>
    <row r="879" spans="1:10" x14ac:dyDescent="0.15">
      <c r="A879" s="7">
        <v>45134</v>
      </c>
      <c r="B879" s="8" t="s">
        <v>93</v>
      </c>
      <c r="C879" s="8" t="s">
        <v>93</v>
      </c>
      <c r="D879" s="9" t="str">
        <f>HYPERLINK("https://www.marklines.com/en/global/1089","Renault Nissan Automotive India (RNAIPL), Oragadam (Chennai) Plant")</f>
        <v>Renault Nissan Automotive India (RNAIPL), Oragadam (Chennai) Plant</v>
      </c>
      <c r="E879" s="8" t="s">
        <v>634</v>
      </c>
      <c r="F879" s="8" t="s">
        <v>25</v>
      </c>
      <c r="G879" s="8" t="s">
        <v>26</v>
      </c>
      <c r="H879" s="8" t="s">
        <v>635</v>
      </c>
      <c r="I879" s="10">
        <v>45132</v>
      </c>
      <c r="J879" s="8" t="s">
        <v>636</v>
      </c>
    </row>
    <row r="880" spans="1:10" x14ac:dyDescent="0.15">
      <c r="A880" s="7">
        <v>45134</v>
      </c>
      <c r="B880" s="8" t="s">
        <v>12</v>
      </c>
      <c r="C880" s="8" t="s">
        <v>12</v>
      </c>
      <c r="D880" s="9" t="str">
        <f>HYPERLINK("https://www.marklines.com/en/global/9976","Ultium Cells LLC, Warren Plant ")</f>
        <v xml:space="preserve">Ultium Cells LLC, Warren Plant </v>
      </c>
      <c r="E880" s="8" t="s">
        <v>586</v>
      </c>
      <c r="F880" s="8" t="s">
        <v>16</v>
      </c>
      <c r="G880" s="8" t="s">
        <v>11</v>
      </c>
      <c r="H880" s="8" t="s">
        <v>587</v>
      </c>
      <c r="I880" s="10">
        <v>45132</v>
      </c>
      <c r="J880" s="8" t="s">
        <v>637</v>
      </c>
    </row>
    <row r="881" spans="1:10" x14ac:dyDescent="0.15">
      <c r="A881" s="7">
        <v>45134</v>
      </c>
      <c r="B881" s="8" t="s">
        <v>12</v>
      </c>
      <c r="C881" s="8" t="s">
        <v>12</v>
      </c>
      <c r="D881" s="9" t="str">
        <f>HYPERLINK("https://www.marklines.com/en/global/2523","General Motors, Spring Hill Manufacturing (formerly Spring Hill Assembly)")</f>
        <v>General Motors, Spring Hill Manufacturing (formerly Spring Hill Assembly)</v>
      </c>
      <c r="E881" s="8" t="s">
        <v>638</v>
      </c>
      <c r="F881" s="8" t="s">
        <v>16</v>
      </c>
      <c r="G881" s="8" t="s">
        <v>11</v>
      </c>
      <c r="H881" s="8" t="s">
        <v>498</v>
      </c>
      <c r="I881" s="10">
        <v>45132</v>
      </c>
      <c r="J881" s="8" t="s">
        <v>637</v>
      </c>
    </row>
    <row r="882" spans="1:10" x14ac:dyDescent="0.15">
      <c r="A882" s="7">
        <v>45134</v>
      </c>
      <c r="B882" s="8" t="s">
        <v>12</v>
      </c>
      <c r="C882" s="8" t="s">
        <v>12</v>
      </c>
      <c r="D882" s="9" t="str">
        <f>HYPERLINK("https://www.marklines.com/en/global/2459","General Motors, Factory ZERO (Detroit-Hamtramck Plant) ")</f>
        <v xml:space="preserve">General Motors, Factory ZERO (Detroit-Hamtramck Plant) </v>
      </c>
      <c r="E882" s="8" t="s">
        <v>352</v>
      </c>
      <c r="F882" s="8" t="s">
        <v>16</v>
      </c>
      <c r="G882" s="8" t="s">
        <v>11</v>
      </c>
      <c r="H882" s="8" t="s">
        <v>59</v>
      </c>
      <c r="I882" s="10">
        <v>45132</v>
      </c>
      <c r="J882" s="8" t="s">
        <v>637</v>
      </c>
    </row>
    <row r="883" spans="1:10" x14ac:dyDescent="0.15">
      <c r="A883" s="7">
        <v>45134</v>
      </c>
      <c r="B883" s="8" t="s">
        <v>12</v>
      </c>
      <c r="C883" s="8" t="s">
        <v>12</v>
      </c>
      <c r="D883" s="9" t="str">
        <f>HYPERLINK("https://www.marklines.com/en/global/867","General Motors Mexico, Ramos Arizpe Plant")</f>
        <v>General Motors Mexico, Ramos Arizpe Plant</v>
      </c>
      <c r="E883" s="8" t="s">
        <v>639</v>
      </c>
      <c r="F883" s="8" t="s">
        <v>16</v>
      </c>
      <c r="G883" s="8" t="s">
        <v>430</v>
      </c>
      <c r="H883" s="8"/>
      <c r="I883" s="10">
        <v>45132</v>
      </c>
      <c r="J883" s="8" t="s">
        <v>637</v>
      </c>
    </row>
    <row r="884" spans="1:10" x14ac:dyDescent="0.15">
      <c r="A884" s="7">
        <v>45134</v>
      </c>
      <c r="B884" s="8" t="s">
        <v>12</v>
      </c>
      <c r="C884" s="8" t="s">
        <v>12</v>
      </c>
      <c r="D884" s="9" t="str">
        <f>HYPERLINK("https://www.marklines.com/en/global/2541","General Motors Canada, Ingersoll Plant")</f>
        <v>General Motors Canada, Ingersoll Plant</v>
      </c>
      <c r="E884" s="8" t="s">
        <v>584</v>
      </c>
      <c r="F884" s="8" t="s">
        <v>16</v>
      </c>
      <c r="G884" s="8" t="s">
        <v>82</v>
      </c>
      <c r="H884" s="8"/>
      <c r="I884" s="10">
        <v>45132</v>
      </c>
      <c r="J884" s="8" t="s">
        <v>637</v>
      </c>
    </row>
    <row r="885" spans="1:10" x14ac:dyDescent="0.15">
      <c r="A885" s="7">
        <v>45134</v>
      </c>
      <c r="B885" s="8" t="s">
        <v>22</v>
      </c>
      <c r="C885" s="8" t="s">
        <v>22</v>
      </c>
      <c r="D885" s="9" t="str">
        <f>HYPERLINK("https://www.marklines.com/en/global/10334","GAC Toyota Motor Co., Ltd. (GTMC) Nansha Plant Third &amp; Forth Production Line")</f>
        <v>GAC Toyota Motor Co., Ltd. (GTMC) Nansha Plant Third &amp; Forth Production Line</v>
      </c>
      <c r="E885" s="8" t="s">
        <v>640</v>
      </c>
      <c r="F885" s="8" t="s">
        <v>20</v>
      </c>
      <c r="G885" s="8" t="s">
        <v>27</v>
      </c>
      <c r="H885" s="8" t="s">
        <v>31</v>
      </c>
      <c r="I885" s="10">
        <v>45132</v>
      </c>
      <c r="J885" s="8" t="s">
        <v>641</v>
      </c>
    </row>
    <row r="886" spans="1:10" x14ac:dyDescent="0.15">
      <c r="A886" s="7">
        <v>45134</v>
      </c>
      <c r="B886" s="8" t="s">
        <v>22</v>
      </c>
      <c r="C886" s="8" t="s">
        <v>22</v>
      </c>
      <c r="D886" s="9" t="str">
        <f>HYPERLINK("https://www.marklines.com/en/global/10503","GAC Toyota Motor Co., Ltd. (GTMC) Nansha Plant Fifth Production Line")</f>
        <v>GAC Toyota Motor Co., Ltd. (GTMC) Nansha Plant Fifth Production Line</v>
      </c>
      <c r="E886" s="8" t="s">
        <v>642</v>
      </c>
      <c r="F886" s="8" t="s">
        <v>20</v>
      </c>
      <c r="G886" s="8" t="s">
        <v>27</v>
      </c>
      <c r="H886" s="8" t="s">
        <v>31</v>
      </c>
      <c r="I886" s="10">
        <v>45132</v>
      </c>
      <c r="J886" s="8" t="s">
        <v>641</v>
      </c>
    </row>
    <row r="887" spans="1:10" x14ac:dyDescent="0.15">
      <c r="A887" s="7">
        <v>45134</v>
      </c>
      <c r="B887" s="8" t="s">
        <v>22</v>
      </c>
      <c r="C887" s="8" t="s">
        <v>22</v>
      </c>
      <c r="D887" s="9" t="str">
        <f>HYPERLINK("https://www.marklines.com/en/global/4093","GAC Toyota Motor Co., Ltd. (GTMC)")</f>
        <v>GAC Toyota Motor Co., Ltd. (GTMC)</v>
      </c>
      <c r="E887" s="8" t="s">
        <v>551</v>
      </c>
      <c r="F887" s="8" t="s">
        <v>20</v>
      </c>
      <c r="G887" s="8" t="s">
        <v>27</v>
      </c>
      <c r="H887" s="8" t="s">
        <v>31</v>
      </c>
      <c r="I887" s="10">
        <v>45132</v>
      </c>
      <c r="J887" s="8" t="s">
        <v>641</v>
      </c>
    </row>
    <row r="888" spans="1:10" x14ac:dyDescent="0.15">
      <c r="A888" s="7">
        <v>45133</v>
      </c>
      <c r="B888" s="8" t="s">
        <v>90</v>
      </c>
      <c r="C888" s="8" t="s">
        <v>91</v>
      </c>
      <c r="D888" s="9" t="str">
        <f>HYPERLINK("https://www.marklines.com/en/global/729","LLC ""LADA Izhevsk"", LADA Izhevsk Automotive Plant (formerly OJSC Izh-Avto, Izhevsk Automobilny Zavod) ")</f>
        <v xml:space="preserve">LLC "LADA Izhevsk", LADA Izhevsk Automotive Plant (formerly OJSC Izh-Avto, Izhevsk Automobilny Zavod) </v>
      </c>
      <c r="E888" s="8" t="s">
        <v>613</v>
      </c>
      <c r="F888" s="8" t="s">
        <v>18</v>
      </c>
      <c r="G888" s="8" t="s">
        <v>14</v>
      </c>
      <c r="H888" s="8"/>
      <c r="I888" s="10">
        <v>45133</v>
      </c>
      <c r="J888" s="8" t="s">
        <v>643</v>
      </c>
    </row>
    <row r="889" spans="1:10" x14ac:dyDescent="0.15">
      <c r="A889" s="7">
        <v>45133</v>
      </c>
      <c r="B889" s="8" t="s">
        <v>90</v>
      </c>
      <c r="C889" s="8" t="s">
        <v>91</v>
      </c>
      <c r="D889" s="9" t="str">
        <f>HYPERLINK("https://www.marklines.com/en/global/675","AvtoVAZ, Togliatti Plant")</f>
        <v>AvtoVAZ, Togliatti Plant</v>
      </c>
      <c r="E889" s="8" t="s">
        <v>92</v>
      </c>
      <c r="F889" s="8" t="s">
        <v>18</v>
      </c>
      <c r="G889" s="8" t="s">
        <v>14</v>
      </c>
      <c r="H889" s="8"/>
      <c r="I889" s="10">
        <v>45133</v>
      </c>
      <c r="J889" s="8" t="s">
        <v>643</v>
      </c>
    </row>
    <row r="890" spans="1:10" x14ac:dyDescent="0.15">
      <c r="A890" s="7">
        <v>45133</v>
      </c>
      <c r="B890" s="8" t="s">
        <v>321</v>
      </c>
      <c r="C890" s="8" t="s">
        <v>322</v>
      </c>
      <c r="D890" s="9" t="str">
        <f>HYPERLINK("https://www.marklines.com/en/global/2033","Mitsubishi Motors (Thailand) Co., Ltd. (MMTh), Laemchabang Plant")</f>
        <v>Mitsubishi Motors (Thailand) Co., Ltd. (MMTh), Laemchabang Plant</v>
      </c>
      <c r="E890" s="8" t="s">
        <v>644</v>
      </c>
      <c r="F890" s="8" t="s">
        <v>49</v>
      </c>
      <c r="G890" s="8" t="s">
        <v>170</v>
      </c>
      <c r="H890" s="8" t="s">
        <v>560</v>
      </c>
      <c r="I890" s="10">
        <v>45133</v>
      </c>
      <c r="J890" s="8" t="s">
        <v>645</v>
      </c>
    </row>
    <row r="891" spans="1:10" x14ac:dyDescent="0.15">
      <c r="A891" s="7">
        <v>45133</v>
      </c>
      <c r="B891" s="8" t="s">
        <v>437</v>
      </c>
      <c r="C891" s="8" t="s">
        <v>437</v>
      </c>
      <c r="D891" s="9" t="str">
        <f>HYPERLINK("https://www.marklines.com/en/global/3971","Dongfeng Motor Corporation ")</f>
        <v xml:space="preserve">Dongfeng Motor Corporation </v>
      </c>
      <c r="E891" s="8" t="s">
        <v>646</v>
      </c>
      <c r="F891" s="8" t="s">
        <v>20</v>
      </c>
      <c r="G891" s="8" t="s">
        <v>27</v>
      </c>
      <c r="H891" s="8" t="s">
        <v>46</v>
      </c>
      <c r="I891" s="10">
        <v>45130</v>
      </c>
      <c r="J891" s="8" t="s">
        <v>647</v>
      </c>
    </row>
    <row r="892" spans="1:10" x14ac:dyDescent="0.15">
      <c r="A892" s="7">
        <v>45133</v>
      </c>
      <c r="B892" s="8" t="s">
        <v>68</v>
      </c>
      <c r="C892" s="8" t="s">
        <v>68</v>
      </c>
      <c r="D892" s="9" t="str">
        <f>HYPERLINK("https://www.marklines.com/en/global/10380","Symbio S.A.S (formerly Symbio FCell SA)")</f>
        <v>Symbio S.A.S (formerly Symbio FCell SA)</v>
      </c>
      <c r="E892" s="8" t="s">
        <v>648</v>
      </c>
      <c r="F892" s="8" t="s">
        <v>17</v>
      </c>
      <c r="G892" s="8" t="s">
        <v>40</v>
      </c>
      <c r="H892" s="8"/>
      <c r="I892" s="10">
        <v>45128</v>
      </c>
      <c r="J892" s="8" t="s">
        <v>649</v>
      </c>
    </row>
    <row r="893" spans="1:10" x14ac:dyDescent="0.15">
      <c r="A893" s="7">
        <v>45133</v>
      </c>
      <c r="B893" s="8" t="s">
        <v>43</v>
      </c>
      <c r="C893" s="8" t="s">
        <v>650</v>
      </c>
      <c r="D893" s="9" t="str">
        <f>HYPERLINK("https://www.marklines.com/en/global/1691","Scania Production Słupsk S.A., Słupsk Plant")</f>
        <v>Scania Production Słupsk S.A., Słupsk Plant</v>
      </c>
      <c r="E893" s="8" t="s">
        <v>651</v>
      </c>
      <c r="F893" s="8" t="s">
        <v>18</v>
      </c>
      <c r="G893" s="8" t="s">
        <v>32</v>
      </c>
      <c r="H893" s="8"/>
      <c r="I893" s="10">
        <v>45128</v>
      </c>
      <c r="J893" s="8" t="s">
        <v>652</v>
      </c>
    </row>
    <row r="894" spans="1:10" x14ac:dyDescent="0.15">
      <c r="A894" s="7">
        <v>45133</v>
      </c>
      <c r="B894" s="8" t="s">
        <v>13</v>
      </c>
      <c r="C894" s="8" t="s">
        <v>653</v>
      </c>
      <c r="D894" s="9" t="str">
        <f>HYPERLINK("https://www.marklines.com/en/global/10672","Irizar, Ormaiztegi plant")</f>
        <v>Irizar, Ormaiztegi plant</v>
      </c>
      <c r="E894" s="8" t="s">
        <v>654</v>
      </c>
      <c r="F894" s="8" t="s">
        <v>17</v>
      </c>
      <c r="G894" s="8" t="s">
        <v>114</v>
      </c>
      <c r="H894" s="8"/>
      <c r="I894" s="10">
        <v>45128</v>
      </c>
      <c r="J894" s="8" t="s">
        <v>652</v>
      </c>
    </row>
    <row r="895" spans="1:10" x14ac:dyDescent="0.15">
      <c r="A895" s="7">
        <v>45133</v>
      </c>
      <c r="B895" s="8" t="s">
        <v>63</v>
      </c>
      <c r="C895" s="8" t="s">
        <v>64</v>
      </c>
      <c r="D895" s="9" t="str">
        <f>HYPERLINK("https://www.marklines.com/en/global/3425","Beiqi Foton Motor Co., Ltd.")</f>
        <v>Beiqi Foton Motor Co., Ltd.</v>
      </c>
      <c r="E895" s="8" t="s">
        <v>505</v>
      </c>
      <c r="F895" s="8" t="s">
        <v>20</v>
      </c>
      <c r="G895" s="8" t="s">
        <v>27</v>
      </c>
      <c r="H895" s="8" t="s">
        <v>37</v>
      </c>
      <c r="I895" s="10">
        <v>45128</v>
      </c>
      <c r="J895" s="8" t="s">
        <v>655</v>
      </c>
    </row>
    <row r="896" spans="1:10" x14ac:dyDescent="0.15">
      <c r="A896" s="7">
        <v>45133</v>
      </c>
      <c r="B896" s="8" t="s">
        <v>63</v>
      </c>
      <c r="C896" s="8" t="s">
        <v>64</v>
      </c>
      <c r="D896" s="9" t="str">
        <f>HYPERLINK("https://www.marklines.com/en/global/3685","Beiqi Foton Motor Co., Ltd. Forland Truck Plant (formerly Beiqi Foton Motor Co., Ltd. Zhucheng Ollin Automobile Factory)")</f>
        <v>Beiqi Foton Motor Co., Ltd. Forland Truck Plant (formerly Beiqi Foton Motor Co., Ltd. Zhucheng Ollin Automobile Factory)</v>
      </c>
      <c r="E896" s="8" t="s">
        <v>656</v>
      </c>
      <c r="F896" s="8" t="s">
        <v>20</v>
      </c>
      <c r="G896" s="8" t="s">
        <v>27</v>
      </c>
      <c r="H896" s="8" t="s">
        <v>469</v>
      </c>
      <c r="I896" s="10">
        <v>45128</v>
      </c>
      <c r="J896" s="8" t="s">
        <v>655</v>
      </c>
    </row>
    <row r="897" spans="1:10" x14ac:dyDescent="0.15">
      <c r="A897" s="7">
        <v>45133</v>
      </c>
      <c r="B897" s="8" t="s">
        <v>13</v>
      </c>
      <c r="C897" s="8" t="s">
        <v>657</v>
      </c>
      <c r="D897" s="9" t="str">
        <f>HYPERLINK("https://www.marklines.com/en/global/4229","Sichuan Yema Automobile Co., Ltd.")</f>
        <v>Sichuan Yema Automobile Co., Ltd.</v>
      </c>
      <c r="E897" s="8" t="s">
        <v>658</v>
      </c>
      <c r="F897" s="8" t="s">
        <v>20</v>
      </c>
      <c r="G897" s="8" t="s">
        <v>27</v>
      </c>
      <c r="H897" s="8" t="s">
        <v>659</v>
      </c>
      <c r="I897" s="10">
        <v>45128</v>
      </c>
      <c r="J897" s="8" t="s">
        <v>660</v>
      </c>
    </row>
    <row r="898" spans="1:10" x14ac:dyDescent="0.15">
      <c r="A898" s="7">
        <v>45133</v>
      </c>
      <c r="B898" s="8" t="s">
        <v>13</v>
      </c>
      <c r="C898" s="8" t="s">
        <v>661</v>
      </c>
      <c r="D898" s="9" t="str">
        <f>HYPERLINK("https://www.marklines.com/en/global/10529","Letin Motor Group Ltd")</f>
        <v>Letin Motor Group Ltd</v>
      </c>
      <c r="E898" s="8" t="s">
        <v>662</v>
      </c>
      <c r="F898" s="8" t="s">
        <v>20</v>
      </c>
      <c r="G898" s="8" t="s">
        <v>27</v>
      </c>
      <c r="H898" s="8" t="s">
        <v>469</v>
      </c>
      <c r="I898" s="10">
        <v>45128</v>
      </c>
      <c r="J898" s="8" t="s">
        <v>660</v>
      </c>
    </row>
    <row r="899" spans="1:10" x14ac:dyDescent="0.15">
      <c r="A899" s="7">
        <v>45133</v>
      </c>
      <c r="B899" s="8" t="s">
        <v>41</v>
      </c>
      <c r="C899" s="8" t="s">
        <v>41</v>
      </c>
      <c r="D899" s="9" t="str">
        <f>HYPERLINK("https://www.marklines.com/en/global/3687","SAIC GM Wuling Automobile Co., Ltd. Qingdao Branch (SGMW Qingdao Branch)")</f>
        <v>SAIC GM Wuling Automobile Co., Ltd. Qingdao Branch (SGMW Qingdao Branch)</v>
      </c>
      <c r="E899" s="8" t="s">
        <v>663</v>
      </c>
      <c r="F899" s="8" t="s">
        <v>20</v>
      </c>
      <c r="G899" s="8" t="s">
        <v>27</v>
      </c>
      <c r="H899" s="8" t="s">
        <v>469</v>
      </c>
      <c r="I899" s="10">
        <v>45128</v>
      </c>
      <c r="J899" s="8" t="s">
        <v>664</v>
      </c>
    </row>
    <row r="900" spans="1:10" x14ac:dyDescent="0.15">
      <c r="A900" s="7">
        <v>45133</v>
      </c>
      <c r="B900" s="8" t="s">
        <v>41</v>
      </c>
      <c r="C900" s="8" t="s">
        <v>41</v>
      </c>
      <c r="D900" s="9" t="str">
        <f>HYPERLINK("https://www.marklines.com/en/global/9039","SAIC GM Wuling Automobile Co., Ltd. Chongqing Branch (SGMW Chongqing Branch)")</f>
        <v>SAIC GM Wuling Automobile Co., Ltd. Chongqing Branch (SGMW Chongqing Branch)</v>
      </c>
      <c r="E900" s="8" t="s">
        <v>665</v>
      </c>
      <c r="F900" s="8" t="s">
        <v>20</v>
      </c>
      <c r="G900" s="8" t="s">
        <v>27</v>
      </c>
      <c r="H900" s="8" t="s">
        <v>30</v>
      </c>
      <c r="I900" s="10">
        <v>45128</v>
      </c>
      <c r="J900" s="8" t="s">
        <v>664</v>
      </c>
    </row>
    <row r="901" spans="1:10" x14ac:dyDescent="0.15">
      <c r="A901" s="7">
        <v>45133</v>
      </c>
      <c r="B901" s="8" t="s">
        <v>41</v>
      </c>
      <c r="C901" s="8" t="s">
        <v>41</v>
      </c>
      <c r="D901" s="9" t="str">
        <f>HYPERLINK("https://www.marklines.com/en/global/4153","SAIC-GM-Wuling Automobile Co., Ltd. (SGMW)　")</f>
        <v>SAIC-GM-Wuling Automobile Co., Ltd. (SGMW)　</v>
      </c>
      <c r="E901" s="8" t="s">
        <v>666</v>
      </c>
      <c r="F901" s="8" t="s">
        <v>20</v>
      </c>
      <c r="G901" s="8" t="s">
        <v>27</v>
      </c>
      <c r="H901" s="8" t="s">
        <v>48</v>
      </c>
      <c r="I901" s="10">
        <v>45128</v>
      </c>
      <c r="J901" s="8" t="s">
        <v>664</v>
      </c>
    </row>
    <row r="902" spans="1:10" x14ac:dyDescent="0.15">
      <c r="A902" s="7">
        <v>45133</v>
      </c>
      <c r="B902" s="8" t="s">
        <v>13</v>
      </c>
      <c r="C902" s="8" t="s">
        <v>667</v>
      </c>
      <c r="D902" s="9" t="str">
        <f>HYPERLINK("https://www.marklines.com/en/global/10520","Beijing Automobile Works Co., Ltd. Dezhou Branch")</f>
        <v>Beijing Automobile Works Co., Ltd. Dezhou Branch</v>
      </c>
      <c r="E902" s="8" t="s">
        <v>668</v>
      </c>
      <c r="F902" s="8" t="s">
        <v>20</v>
      </c>
      <c r="G902" s="8" t="s">
        <v>27</v>
      </c>
      <c r="H902" s="8" t="s">
        <v>469</v>
      </c>
      <c r="I902" s="10">
        <v>45128</v>
      </c>
      <c r="J902" s="8" t="s">
        <v>669</v>
      </c>
    </row>
    <row r="903" spans="1:10" x14ac:dyDescent="0.15">
      <c r="A903" s="7">
        <v>45133</v>
      </c>
      <c r="B903" s="8" t="s">
        <v>13</v>
      </c>
      <c r="C903" s="8" t="s">
        <v>667</v>
      </c>
      <c r="D903" s="9" t="str">
        <f>HYPERLINK("https://www.marklines.com/en/global/10447","Beijing Automobile Works (Qingdao) Co., Ltd.")</f>
        <v>Beijing Automobile Works (Qingdao) Co., Ltd.</v>
      </c>
      <c r="E903" s="8" t="s">
        <v>670</v>
      </c>
      <c r="F903" s="8" t="s">
        <v>20</v>
      </c>
      <c r="G903" s="8" t="s">
        <v>27</v>
      </c>
      <c r="H903" s="8" t="s">
        <v>469</v>
      </c>
      <c r="I903" s="10">
        <v>45128</v>
      </c>
      <c r="J903" s="8" t="s">
        <v>669</v>
      </c>
    </row>
    <row r="904" spans="1:10" x14ac:dyDescent="0.15">
      <c r="A904" s="7">
        <v>45133</v>
      </c>
      <c r="B904" s="8" t="s">
        <v>671</v>
      </c>
      <c r="C904" s="8" t="s">
        <v>671</v>
      </c>
      <c r="D904" s="9" t="str">
        <f>HYPERLINK("https://www.marklines.com/en/global/9552","Aiways Automobile Co., Ltd. ")</f>
        <v xml:space="preserve">Aiways Automobile Co., Ltd. </v>
      </c>
      <c r="E904" s="8" t="s">
        <v>672</v>
      </c>
      <c r="F904" s="8" t="s">
        <v>20</v>
      </c>
      <c r="G904" s="8" t="s">
        <v>27</v>
      </c>
      <c r="H904" s="8" t="s">
        <v>370</v>
      </c>
      <c r="I904" s="10">
        <v>45128</v>
      </c>
      <c r="J904" s="8" t="s">
        <v>673</v>
      </c>
    </row>
    <row r="905" spans="1:10" x14ac:dyDescent="0.15">
      <c r="A905" s="7">
        <v>45133</v>
      </c>
      <c r="B905" s="8" t="s">
        <v>671</v>
      </c>
      <c r="C905" s="8" t="s">
        <v>671</v>
      </c>
      <c r="D905" s="9" t="str">
        <f>HYPERLINK("https://www.marklines.com/en/global/9583","Jiangxi Yiwei Automobile Manufacturing Co., Ltd.")</f>
        <v>Jiangxi Yiwei Automobile Manufacturing Co., Ltd.</v>
      </c>
      <c r="E905" s="8" t="s">
        <v>674</v>
      </c>
      <c r="F905" s="8" t="s">
        <v>20</v>
      </c>
      <c r="G905" s="8" t="s">
        <v>27</v>
      </c>
      <c r="H905" s="8" t="s">
        <v>370</v>
      </c>
      <c r="I905" s="10">
        <v>45128</v>
      </c>
      <c r="J905" s="8" t="s">
        <v>673</v>
      </c>
    </row>
    <row r="906" spans="1:10" x14ac:dyDescent="0.15">
      <c r="A906" s="7">
        <v>45133</v>
      </c>
      <c r="B906" s="8" t="s">
        <v>43</v>
      </c>
      <c r="C906" s="8" t="s">
        <v>67</v>
      </c>
      <c r="D906" s="9" t="str">
        <f>HYPERLINK("https://www.marklines.com/en/global/3481","Volkswagen (China) Investment Co., Ltd. ")</f>
        <v xml:space="preserve">Volkswagen (China) Investment Co., Ltd. </v>
      </c>
      <c r="E906" s="8" t="s">
        <v>545</v>
      </c>
      <c r="F906" s="8" t="s">
        <v>20</v>
      </c>
      <c r="G906" s="8" t="s">
        <v>27</v>
      </c>
      <c r="H906" s="8" t="s">
        <v>37</v>
      </c>
      <c r="I906" s="10">
        <v>45127</v>
      </c>
      <c r="J906" s="8" t="s">
        <v>675</v>
      </c>
    </row>
    <row r="907" spans="1:10" x14ac:dyDescent="0.15">
      <c r="A907" s="7">
        <v>45133</v>
      </c>
      <c r="B907" s="8" t="s">
        <v>41</v>
      </c>
      <c r="C907" s="8" t="s">
        <v>41</v>
      </c>
      <c r="D907" s="9" t="str">
        <f>HYPERLINK("https://www.marklines.com/en/global/3609","SAIC Motor Corporation Limited")</f>
        <v>SAIC Motor Corporation Limited</v>
      </c>
      <c r="E907" s="8" t="s">
        <v>120</v>
      </c>
      <c r="F907" s="8" t="s">
        <v>20</v>
      </c>
      <c r="G907" s="8" t="s">
        <v>27</v>
      </c>
      <c r="H907" s="8" t="s">
        <v>106</v>
      </c>
      <c r="I907" s="10">
        <v>45127</v>
      </c>
      <c r="J907" s="8" t="s">
        <v>675</v>
      </c>
    </row>
    <row r="908" spans="1:10" x14ac:dyDescent="0.15">
      <c r="A908" s="7">
        <v>45133</v>
      </c>
      <c r="B908" s="8" t="s">
        <v>41</v>
      </c>
      <c r="C908" s="8" t="s">
        <v>676</v>
      </c>
      <c r="D908" s="9" t="str">
        <f>HYPERLINK("https://www.marklines.com/en/global/10383","Zhiji Motor Technology Co., Ltd.")</f>
        <v>Zhiji Motor Technology Co., Ltd.</v>
      </c>
      <c r="E908" s="8" t="s">
        <v>677</v>
      </c>
      <c r="F908" s="8" t="s">
        <v>20</v>
      </c>
      <c r="G908" s="8" t="s">
        <v>27</v>
      </c>
      <c r="H908" s="8" t="s">
        <v>106</v>
      </c>
      <c r="I908" s="10">
        <v>45127</v>
      </c>
      <c r="J908" s="8" t="s">
        <v>675</v>
      </c>
    </row>
    <row r="909" spans="1:10" x14ac:dyDescent="0.15">
      <c r="A909" s="7">
        <v>45133</v>
      </c>
      <c r="B909" s="8" t="s">
        <v>29</v>
      </c>
      <c r="C909" s="8" t="s">
        <v>29</v>
      </c>
      <c r="D909" s="9" t="str">
        <f>HYPERLINK("https://www.marklines.com/en/global/3807","Zhejiang Geely Holding Group Co., Ltd.")</f>
        <v>Zhejiang Geely Holding Group Co., Ltd.</v>
      </c>
      <c r="E909" s="8" t="s">
        <v>76</v>
      </c>
      <c r="F909" s="8" t="s">
        <v>20</v>
      </c>
      <c r="G909" s="8" t="s">
        <v>27</v>
      </c>
      <c r="H909" s="8" t="s">
        <v>51</v>
      </c>
      <c r="I909" s="10">
        <v>45127</v>
      </c>
      <c r="J909" s="8" t="s">
        <v>678</v>
      </c>
    </row>
    <row r="910" spans="1:10" x14ac:dyDescent="0.15">
      <c r="A910" s="7">
        <v>45133</v>
      </c>
      <c r="B910" s="8" t="s">
        <v>679</v>
      </c>
      <c r="C910" s="8" t="s">
        <v>679</v>
      </c>
      <c r="D910" s="9" t="str">
        <f>HYPERLINK("https://www.marklines.com/en/global/3865","Anhui Jianghuai Automobile Group Corp., Ltd. (JAC)")</f>
        <v>Anhui Jianghuai Automobile Group Corp., Ltd. (JAC)</v>
      </c>
      <c r="E910" s="8" t="s">
        <v>680</v>
      </c>
      <c r="F910" s="8" t="s">
        <v>20</v>
      </c>
      <c r="G910" s="8" t="s">
        <v>27</v>
      </c>
      <c r="H910" s="8" t="s">
        <v>326</v>
      </c>
      <c r="I910" s="10">
        <v>45127</v>
      </c>
      <c r="J910" s="8" t="s">
        <v>681</v>
      </c>
    </row>
    <row r="911" spans="1:10" x14ac:dyDescent="0.15">
      <c r="A911" s="7">
        <v>45132</v>
      </c>
      <c r="B911" s="8" t="s">
        <v>28</v>
      </c>
      <c r="C911" s="8" t="s">
        <v>488</v>
      </c>
      <c r="D911" s="9" t="str">
        <f>HYPERLINK("https://www.marklines.com/en/global/2243","Daimler Truck AG, Wörth Plant")</f>
        <v>Daimler Truck AG, Wörth Plant</v>
      </c>
      <c r="E911" s="8" t="s">
        <v>489</v>
      </c>
      <c r="F911" s="8" t="s">
        <v>17</v>
      </c>
      <c r="G911" s="8" t="s">
        <v>21</v>
      </c>
      <c r="H911" s="8"/>
      <c r="I911" s="10">
        <v>45131</v>
      </c>
      <c r="J911" s="8" t="s">
        <v>682</v>
      </c>
    </row>
    <row r="912" spans="1:10" x14ac:dyDescent="0.15">
      <c r="A912" s="7">
        <v>45132</v>
      </c>
      <c r="B912" s="8" t="s">
        <v>174</v>
      </c>
      <c r="C912" s="8" t="s">
        <v>174</v>
      </c>
      <c r="D912" s="9" t="str">
        <f>HYPERLINK("https://www.marklines.com/en/global/737","Kamaz, Naberezhnye Chelny Plant")</f>
        <v>Kamaz, Naberezhnye Chelny Plant</v>
      </c>
      <c r="E912" s="8" t="s">
        <v>593</v>
      </c>
      <c r="F912" s="8" t="s">
        <v>18</v>
      </c>
      <c r="G912" s="8" t="s">
        <v>14</v>
      </c>
      <c r="H912" s="8"/>
      <c r="I912" s="10">
        <v>45131</v>
      </c>
      <c r="J912" s="8" t="s">
        <v>683</v>
      </c>
    </row>
    <row r="913" spans="1:10" x14ac:dyDescent="0.15">
      <c r="A913" s="7">
        <v>45132</v>
      </c>
      <c r="B913" s="8" t="s">
        <v>174</v>
      </c>
      <c r="C913" s="8" t="s">
        <v>174</v>
      </c>
      <c r="D913" s="9" t="str">
        <f>HYPERLINK("https://www.marklines.com/en/global/9057","Neftekamsk Motor Plant OJSC (OAO Neftekamskij avtozavod (NefAZ))")</f>
        <v>Neftekamsk Motor Plant OJSC (OAO Neftekamskij avtozavod (NefAZ))</v>
      </c>
      <c r="E913" s="8" t="s">
        <v>684</v>
      </c>
      <c r="F913" s="8" t="s">
        <v>18</v>
      </c>
      <c r="G913" s="8" t="s">
        <v>14</v>
      </c>
      <c r="H913" s="8"/>
      <c r="I913" s="10">
        <v>45131</v>
      </c>
      <c r="J913" s="8" t="s">
        <v>683</v>
      </c>
    </row>
    <row r="914" spans="1:10" x14ac:dyDescent="0.15">
      <c r="A914" s="7">
        <v>45132</v>
      </c>
      <c r="B914" s="8" t="s">
        <v>174</v>
      </c>
      <c r="C914" s="8" t="s">
        <v>174</v>
      </c>
      <c r="D914" s="9" t="str">
        <f>HYPERLINK("https://www.marklines.com/en/global/10385","Sokolnichesky Carriage Repair and Construction Plant (SVARZ)")</f>
        <v>Sokolnichesky Carriage Repair and Construction Plant (SVARZ)</v>
      </c>
      <c r="E914" s="8" t="s">
        <v>685</v>
      </c>
      <c r="F914" s="8" t="s">
        <v>18</v>
      </c>
      <c r="G914" s="8" t="s">
        <v>14</v>
      </c>
      <c r="H914" s="8"/>
      <c r="I914" s="10">
        <v>45131</v>
      </c>
      <c r="J914" s="8" t="s">
        <v>683</v>
      </c>
    </row>
    <row r="915" spans="1:10" x14ac:dyDescent="0.15">
      <c r="A915" s="7">
        <v>45132</v>
      </c>
      <c r="B915" s="8" t="s">
        <v>174</v>
      </c>
      <c r="C915" s="8" t="s">
        <v>174</v>
      </c>
      <c r="D915" s="9" t="str">
        <f>HYPERLINK("https://www.marklines.com/en/global/741","Trucks Vostok Rus LLC (TVR), Naberezhnye Chelny Plant (formerly OOO Daimler Kamaz Rus (DK Rus), OOO Mercedes-Benz Trucks Vostok) ")</f>
        <v xml:space="preserve">Trucks Vostok Rus LLC (TVR), Naberezhnye Chelny Plant (formerly OOO Daimler Kamaz Rus (DK Rus), OOO Mercedes-Benz Trucks Vostok) </v>
      </c>
      <c r="E915" s="8" t="s">
        <v>175</v>
      </c>
      <c r="F915" s="8" t="s">
        <v>18</v>
      </c>
      <c r="G915" s="8" t="s">
        <v>14</v>
      </c>
      <c r="H915" s="8"/>
      <c r="I915" s="10">
        <v>45131</v>
      </c>
      <c r="J915" s="8" t="s">
        <v>683</v>
      </c>
    </row>
    <row r="916" spans="1:10" x14ac:dyDescent="0.15">
      <c r="A916" s="7">
        <v>45132</v>
      </c>
      <c r="B916" s="8" t="s">
        <v>24</v>
      </c>
      <c r="C916" s="8" t="s">
        <v>24</v>
      </c>
      <c r="D916" s="9" t="str">
        <f>HYPERLINK("https://www.marklines.com/en/global/1419","Ford Otomotiv Sanayi A.Ş. (Ford Otosan), Gölcük Plant (Kocaeli Plant)")</f>
        <v>Ford Otomotiv Sanayi A.Ş. (Ford Otosan), Gölcük Plant (Kocaeli Plant)</v>
      </c>
      <c r="E916" s="8" t="s">
        <v>686</v>
      </c>
      <c r="F916" s="8" t="s">
        <v>687</v>
      </c>
      <c r="G916" s="8" t="s">
        <v>688</v>
      </c>
      <c r="H916" s="8"/>
      <c r="I916" s="10">
        <v>45131</v>
      </c>
      <c r="J916" s="8" t="s">
        <v>689</v>
      </c>
    </row>
    <row r="917" spans="1:10" x14ac:dyDescent="0.15">
      <c r="A917" s="7">
        <v>45132</v>
      </c>
      <c r="B917" s="8" t="s">
        <v>24</v>
      </c>
      <c r="C917" s="8" t="s">
        <v>24</v>
      </c>
      <c r="D917" s="9" t="str">
        <f>HYPERLINK("https://www.marklines.com/en/global/1861","Ford Otomotiv Sanayi A.S., Craiova Plant (formerly Ford Romania S.A.)")</f>
        <v>Ford Otomotiv Sanayi A.S., Craiova Plant (formerly Ford Romania S.A.)</v>
      </c>
      <c r="E917" s="8" t="s">
        <v>690</v>
      </c>
      <c r="F917" s="8" t="s">
        <v>18</v>
      </c>
      <c r="G917" s="8" t="s">
        <v>691</v>
      </c>
      <c r="H917" s="8"/>
      <c r="I917" s="10">
        <v>45131</v>
      </c>
      <c r="J917" s="8" t="s">
        <v>689</v>
      </c>
    </row>
    <row r="918" spans="1:10" x14ac:dyDescent="0.15">
      <c r="A918" s="7">
        <v>45132</v>
      </c>
      <c r="B918" s="8" t="s">
        <v>24</v>
      </c>
      <c r="C918" s="8" t="s">
        <v>24</v>
      </c>
      <c r="D918" s="9" t="str">
        <f>HYPERLINK("https://www.marklines.com/en/global/8682","Ford Otomotiv Sanayi A.Ş. (Ford Otosan), Yeniköy Plant (Kocaeli Plant) ")</f>
        <v xml:space="preserve">Ford Otomotiv Sanayi A.Ş. (Ford Otosan), Yeniköy Plant (Kocaeli Plant) </v>
      </c>
      <c r="E918" s="8" t="s">
        <v>692</v>
      </c>
      <c r="F918" s="8" t="s">
        <v>687</v>
      </c>
      <c r="G918" s="8" t="s">
        <v>688</v>
      </c>
      <c r="H918" s="8"/>
      <c r="I918" s="10">
        <v>45131</v>
      </c>
      <c r="J918" s="8" t="s">
        <v>689</v>
      </c>
    </row>
    <row r="919" spans="1:10" x14ac:dyDescent="0.15">
      <c r="A919" s="7">
        <v>45132</v>
      </c>
      <c r="B919" s="8" t="s">
        <v>24</v>
      </c>
      <c r="C919" s="8" t="s">
        <v>24</v>
      </c>
      <c r="D919" s="9" t="str">
        <f>HYPERLINK("https://www.marklines.com/en/global/1420","Ford Otomotiv Sanayi A.Ş. (Ford Otosan), Eskisehir (Inonu) Plant  ")</f>
        <v xml:space="preserve">Ford Otomotiv Sanayi A.Ş. (Ford Otosan), Eskisehir (Inonu) Plant  </v>
      </c>
      <c r="E919" s="8" t="s">
        <v>693</v>
      </c>
      <c r="F919" s="8" t="s">
        <v>687</v>
      </c>
      <c r="G919" s="8" t="s">
        <v>688</v>
      </c>
      <c r="H919" s="8"/>
      <c r="I919" s="10">
        <v>45131</v>
      </c>
      <c r="J919" s="8" t="s">
        <v>689</v>
      </c>
    </row>
    <row r="920" spans="1:10" x14ac:dyDescent="0.15">
      <c r="A920" s="7">
        <v>45132</v>
      </c>
      <c r="B920" s="8" t="s">
        <v>43</v>
      </c>
      <c r="C920" s="8" t="s">
        <v>67</v>
      </c>
      <c r="D920" s="9" t="str">
        <f>HYPERLINK("https://www.marklines.com/en/global/2935","Volkswagen Brazil, Taubate Plant")</f>
        <v>Volkswagen Brazil, Taubate Plant</v>
      </c>
      <c r="E920" s="8" t="s">
        <v>397</v>
      </c>
      <c r="F920" s="8" t="s">
        <v>74</v>
      </c>
      <c r="G920" s="8" t="s">
        <v>75</v>
      </c>
      <c r="H920" s="8"/>
      <c r="I920" s="10">
        <v>45131</v>
      </c>
      <c r="J920" s="8" t="s">
        <v>694</v>
      </c>
    </row>
    <row r="921" spans="1:10" x14ac:dyDescent="0.15">
      <c r="A921" s="7">
        <v>45132</v>
      </c>
      <c r="B921" s="8" t="s">
        <v>610</v>
      </c>
      <c r="C921" s="8" t="s">
        <v>610</v>
      </c>
      <c r="D921" s="9" t="str">
        <f>HYPERLINK("https://www.marklines.com/en/global/1426","Anadolu Isuzu Otomotiv Sanayi Ve Ticaret A.S., Kocaeli Plant")</f>
        <v>Anadolu Isuzu Otomotiv Sanayi Ve Ticaret A.S., Kocaeli Plant</v>
      </c>
      <c r="E921" s="8" t="s">
        <v>695</v>
      </c>
      <c r="F921" s="8" t="s">
        <v>687</v>
      </c>
      <c r="G921" s="8" t="s">
        <v>688</v>
      </c>
      <c r="H921" s="8"/>
      <c r="I921" s="10">
        <v>45130</v>
      </c>
      <c r="J921" s="8" t="s">
        <v>696</v>
      </c>
    </row>
    <row r="922" spans="1:10" x14ac:dyDescent="0.15">
      <c r="A922" s="7">
        <v>45132</v>
      </c>
      <c r="B922" s="8" t="s">
        <v>39</v>
      </c>
      <c r="C922" s="8" t="s">
        <v>39</v>
      </c>
      <c r="D922" s="9" t="str">
        <f>HYPERLINK("https://www.marklines.com/en/global/2207","BMW AG, Dingolfing Plant")</f>
        <v>BMW AG, Dingolfing Plant</v>
      </c>
      <c r="E922" s="8" t="s">
        <v>483</v>
      </c>
      <c r="F922" s="8" t="s">
        <v>17</v>
      </c>
      <c r="G922" s="8" t="s">
        <v>21</v>
      </c>
      <c r="H922" s="8"/>
      <c r="I922" s="10">
        <v>45128</v>
      </c>
      <c r="J922" s="8" t="s">
        <v>697</v>
      </c>
    </row>
    <row r="923" spans="1:10" x14ac:dyDescent="0.15">
      <c r="A923" s="7">
        <v>45132</v>
      </c>
      <c r="B923" s="8" t="s">
        <v>580</v>
      </c>
      <c r="C923" s="8" t="s">
        <v>580</v>
      </c>
      <c r="D923" s="9" t="str">
        <f>HYPERLINK("https://www.marklines.com/en/global/10596","Lion Electric, Joliet plant")</f>
        <v>Lion Electric, Joliet plant</v>
      </c>
      <c r="E923" s="8" t="s">
        <v>581</v>
      </c>
      <c r="F923" s="8" t="s">
        <v>16</v>
      </c>
      <c r="G923" s="8" t="s">
        <v>11</v>
      </c>
      <c r="H923" s="8" t="s">
        <v>58</v>
      </c>
      <c r="I923" s="10">
        <v>45127</v>
      </c>
      <c r="J923" s="8" t="s">
        <v>698</v>
      </c>
    </row>
    <row r="924" spans="1:10" x14ac:dyDescent="0.15">
      <c r="A924" s="7">
        <v>45131</v>
      </c>
      <c r="B924" s="8" t="s">
        <v>53</v>
      </c>
      <c r="C924" s="8" t="s">
        <v>135</v>
      </c>
      <c r="D924" s="9" t="str">
        <f>HYPERLINK("https://www.marklines.com/en/global/9836","Great Wall Motor Co., Ltd. Xushui Branch")</f>
        <v>Great Wall Motor Co., Ltd. Xushui Branch</v>
      </c>
      <c r="E924" s="8" t="s">
        <v>699</v>
      </c>
      <c r="F924" s="8" t="s">
        <v>20</v>
      </c>
      <c r="G924" s="8" t="s">
        <v>27</v>
      </c>
      <c r="H924" s="8" t="s">
        <v>46</v>
      </c>
      <c r="I924" s="10">
        <v>45128</v>
      </c>
      <c r="J924" s="8" t="s">
        <v>700</v>
      </c>
    </row>
    <row r="925" spans="1:10" x14ac:dyDescent="0.15">
      <c r="A925" s="7">
        <v>45131</v>
      </c>
      <c r="B925" s="8" t="s">
        <v>43</v>
      </c>
      <c r="C925" s="8" t="s">
        <v>347</v>
      </c>
      <c r="D925" s="9" t="str">
        <f>HYPERLINK("https://www.marklines.com/en/global/1771","Volkswagen Slovakia, Bratislava Plant")</f>
        <v>Volkswagen Slovakia, Bratislava Plant</v>
      </c>
      <c r="E925" s="8" t="s">
        <v>701</v>
      </c>
      <c r="F925" s="8" t="s">
        <v>18</v>
      </c>
      <c r="G925" s="8" t="s">
        <v>94</v>
      </c>
      <c r="H925" s="8"/>
      <c r="I925" s="10">
        <v>45128</v>
      </c>
      <c r="J925" s="8" t="s">
        <v>702</v>
      </c>
    </row>
    <row r="926" spans="1:10" x14ac:dyDescent="0.15">
      <c r="A926" s="7">
        <v>45131</v>
      </c>
      <c r="B926" s="8" t="s">
        <v>13</v>
      </c>
      <c r="C926" s="8" t="s">
        <v>13</v>
      </c>
      <c r="D926" s="9" t="str">
        <f>HYPERLINK("https://www.marklines.com/en/global/1925","Barcelona Decarbonisation Hub (D-HUB) (former Nissan Motor Iberica, Barcelona Plant)")</f>
        <v>Barcelona Decarbonisation Hub (D-HUB) (former Nissan Motor Iberica, Barcelona Plant)</v>
      </c>
      <c r="E926" s="8" t="s">
        <v>703</v>
      </c>
      <c r="F926" s="8" t="s">
        <v>17</v>
      </c>
      <c r="G926" s="8" t="s">
        <v>114</v>
      </c>
      <c r="H926" s="8"/>
      <c r="I926" s="10">
        <v>45127</v>
      </c>
      <c r="J926" s="8" t="s">
        <v>704</v>
      </c>
    </row>
    <row r="927" spans="1:10" x14ac:dyDescent="0.15">
      <c r="A927" s="7">
        <v>45131</v>
      </c>
      <c r="B927" s="8" t="s">
        <v>29</v>
      </c>
      <c r="C927" s="8" t="s">
        <v>705</v>
      </c>
      <c r="D927" s="9" t="str">
        <f>HYPERLINK("https://www.marklines.com/en/global/9345","Geely Sichuan Commercial Vehicle Co., Ltd.")</f>
        <v>Geely Sichuan Commercial Vehicle Co., Ltd.</v>
      </c>
      <c r="E927" s="8" t="s">
        <v>706</v>
      </c>
      <c r="F927" s="8" t="s">
        <v>20</v>
      </c>
      <c r="G927" s="8" t="s">
        <v>27</v>
      </c>
      <c r="H927" s="8" t="s">
        <v>659</v>
      </c>
      <c r="I927" s="10">
        <v>45127</v>
      </c>
      <c r="J927" s="8" t="s">
        <v>707</v>
      </c>
    </row>
    <row r="928" spans="1:10" x14ac:dyDescent="0.15">
      <c r="A928" s="7">
        <v>45131</v>
      </c>
      <c r="B928" s="8" t="s">
        <v>60</v>
      </c>
      <c r="C928" s="8" t="s">
        <v>61</v>
      </c>
      <c r="D928" s="9" t="str">
        <f>HYPERLINK("https://www.marklines.com/en/global/1593","Mercedes-Benz Vietnam Pte. Ltd., Ho Chi Minh Plant")</f>
        <v>Mercedes-Benz Vietnam Pte. Ltd., Ho Chi Minh Plant</v>
      </c>
      <c r="E928" s="8" t="s">
        <v>708</v>
      </c>
      <c r="F928" s="8" t="s">
        <v>49</v>
      </c>
      <c r="G928" s="8" t="s">
        <v>709</v>
      </c>
      <c r="H928" s="8"/>
      <c r="I928" s="10">
        <v>45127</v>
      </c>
      <c r="J928" s="8" t="s">
        <v>710</v>
      </c>
    </row>
    <row r="929" spans="1:10" x14ac:dyDescent="0.15">
      <c r="A929" s="7">
        <v>45131</v>
      </c>
      <c r="B929" s="8" t="s">
        <v>39</v>
      </c>
      <c r="C929" s="8" t="s">
        <v>39</v>
      </c>
      <c r="D929" s="9" t="str">
        <f>HYPERLINK("https://www.marklines.com/en/global/10209","BMW China Services Ltd. Shanghai Branch (formerly BMW Group Research And Development Center Shanghai)")</f>
        <v>BMW China Services Ltd. Shanghai Branch (formerly BMW Group Research And Development Center Shanghai)</v>
      </c>
      <c r="E929" s="8" t="s">
        <v>711</v>
      </c>
      <c r="F929" s="8" t="s">
        <v>20</v>
      </c>
      <c r="G929" s="8" t="s">
        <v>27</v>
      </c>
      <c r="H929" s="8" t="s">
        <v>106</v>
      </c>
      <c r="I929" s="10">
        <v>45126</v>
      </c>
      <c r="J929" s="8" t="s">
        <v>712</v>
      </c>
    </row>
    <row r="930" spans="1:10" x14ac:dyDescent="0.15">
      <c r="A930" s="7">
        <v>45131</v>
      </c>
      <c r="B930" s="8" t="s">
        <v>39</v>
      </c>
      <c r="C930" s="8" t="s">
        <v>39</v>
      </c>
      <c r="D930" s="9" t="str">
        <f>HYPERLINK("https://www.marklines.com/en/global/10211","BMW Brilliance Research and Development Center Shenyang")</f>
        <v>BMW Brilliance Research and Development Center Shenyang</v>
      </c>
      <c r="E930" s="8" t="s">
        <v>713</v>
      </c>
      <c r="F930" s="8" t="s">
        <v>20</v>
      </c>
      <c r="G930" s="8" t="s">
        <v>27</v>
      </c>
      <c r="H930" s="8" t="s">
        <v>714</v>
      </c>
      <c r="I930" s="10">
        <v>45126</v>
      </c>
      <c r="J930" s="8" t="s">
        <v>712</v>
      </c>
    </row>
    <row r="931" spans="1:10" x14ac:dyDescent="0.15">
      <c r="A931" s="7">
        <v>45131</v>
      </c>
      <c r="B931" s="8" t="s">
        <v>39</v>
      </c>
      <c r="C931" s="8" t="s">
        <v>39</v>
      </c>
      <c r="D931" s="9" t="str">
        <f>HYPERLINK("https://www.marklines.com/en/global/3485","BMW China Automotive Trading Ltd.(Formerly BMW Group Posh China Area) ")</f>
        <v xml:space="preserve">BMW China Automotive Trading Ltd.(Formerly BMW Group Posh China Area) </v>
      </c>
      <c r="E931" s="8" t="s">
        <v>715</v>
      </c>
      <c r="F931" s="8" t="s">
        <v>20</v>
      </c>
      <c r="G931" s="8" t="s">
        <v>27</v>
      </c>
      <c r="H931" s="8" t="s">
        <v>37</v>
      </c>
      <c r="I931" s="10">
        <v>45126</v>
      </c>
      <c r="J931" s="8" t="s">
        <v>712</v>
      </c>
    </row>
    <row r="932" spans="1:10" x14ac:dyDescent="0.15">
      <c r="A932" s="7">
        <v>45131</v>
      </c>
      <c r="B932" s="8" t="s">
        <v>109</v>
      </c>
      <c r="C932" s="8" t="s">
        <v>109</v>
      </c>
      <c r="D932" s="9" t="str">
        <f>HYPERLINK("https://www.marklines.com/en/global/10678","BYD Automobile Industry Co., Ltd., Zhengzhou Branch")</f>
        <v>BYD Automobile Industry Co., Ltd., Zhengzhou Branch</v>
      </c>
      <c r="E932" s="8" t="s">
        <v>716</v>
      </c>
      <c r="F932" s="8" t="s">
        <v>20</v>
      </c>
      <c r="G932" s="8" t="s">
        <v>27</v>
      </c>
      <c r="H932" s="8" t="s">
        <v>47</v>
      </c>
      <c r="I932" s="10">
        <v>45126</v>
      </c>
      <c r="J932" s="8" t="s">
        <v>717</v>
      </c>
    </row>
    <row r="933" spans="1:10" x14ac:dyDescent="0.15">
      <c r="A933" s="7">
        <v>45131</v>
      </c>
      <c r="B933" s="8" t="s">
        <v>13</v>
      </c>
      <c r="C933" s="8" t="s">
        <v>718</v>
      </c>
      <c r="D933" s="9" t="str">
        <f>HYPERLINK("https://www.marklines.com/en/global/10327","Jiangsu Skywell Automobile Co., Ltd.")</f>
        <v>Jiangsu Skywell Automobile Co., Ltd.</v>
      </c>
      <c r="E933" s="8" t="s">
        <v>719</v>
      </c>
      <c r="F933" s="8" t="s">
        <v>20</v>
      </c>
      <c r="G933" s="8" t="s">
        <v>27</v>
      </c>
      <c r="H933" s="8" t="s">
        <v>52</v>
      </c>
      <c r="I933" s="10">
        <v>45126</v>
      </c>
      <c r="J933" s="8" t="s">
        <v>720</v>
      </c>
    </row>
    <row r="934" spans="1:10" x14ac:dyDescent="0.15">
      <c r="A934" s="7">
        <v>45131</v>
      </c>
      <c r="B934" s="8" t="s">
        <v>13</v>
      </c>
      <c r="C934" s="8" t="s">
        <v>718</v>
      </c>
      <c r="D934" s="9" t="str">
        <f>HYPERLINK("https://www.marklines.com/en/global/3749","Nanjing Golden Dragon Bus Co., Ltd.")</f>
        <v>Nanjing Golden Dragon Bus Co., Ltd.</v>
      </c>
      <c r="E934" s="8" t="s">
        <v>721</v>
      </c>
      <c r="F934" s="8" t="s">
        <v>20</v>
      </c>
      <c r="G934" s="8" t="s">
        <v>27</v>
      </c>
      <c r="H934" s="8" t="s">
        <v>52</v>
      </c>
      <c r="I934" s="10">
        <v>45126</v>
      </c>
      <c r="J934" s="8" t="s">
        <v>720</v>
      </c>
    </row>
    <row r="935" spans="1:10" x14ac:dyDescent="0.15">
      <c r="A935" s="7">
        <v>45131</v>
      </c>
      <c r="B935" s="8" t="s">
        <v>68</v>
      </c>
      <c r="C935" s="8" t="s">
        <v>68</v>
      </c>
      <c r="D935" s="9" t="str">
        <f>HYPERLINK("https://www.marklines.com/en/global/10380","Symbio S.A.S (formerly Symbio FCell SA)")</f>
        <v>Symbio S.A.S (formerly Symbio FCell SA)</v>
      </c>
      <c r="E935" s="8" t="s">
        <v>648</v>
      </c>
      <c r="F935" s="8" t="s">
        <v>17</v>
      </c>
      <c r="G935" s="8" t="s">
        <v>40</v>
      </c>
      <c r="H935" s="8"/>
      <c r="I935" s="10">
        <v>45125</v>
      </c>
      <c r="J935" s="8" t="s">
        <v>722</v>
      </c>
    </row>
    <row r="936" spans="1:10" x14ac:dyDescent="0.15">
      <c r="A936" s="7">
        <v>45131</v>
      </c>
      <c r="B936" s="8" t="s">
        <v>533</v>
      </c>
      <c r="C936" s="8" t="s">
        <v>533</v>
      </c>
      <c r="D936" s="9" t="str">
        <f>HYPERLINK("https://www.marklines.com/en/global/3335","FAW Jiefang Group Co., Ltd  ( Formerly FAW Car Co., Ltd. )")</f>
        <v>FAW Jiefang Group Co., Ltd  ( Formerly FAW Car Co., Ltd. )</v>
      </c>
      <c r="E936" s="8" t="s">
        <v>723</v>
      </c>
      <c r="F936" s="8" t="s">
        <v>20</v>
      </c>
      <c r="G936" s="8" t="s">
        <v>27</v>
      </c>
      <c r="H936" s="8" t="s">
        <v>536</v>
      </c>
      <c r="I936" s="10">
        <v>45125</v>
      </c>
      <c r="J936" s="8" t="s">
        <v>724</v>
      </c>
    </row>
    <row r="937" spans="1:10" x14ac:dyDescent="0.15">
      <c r="A937" s="7">
        <v>45131</v>
      </c>
      <c r="B937" s="8" t="s">
        <v>533</v>
      </c>
      <c r="C937" s="8" t="s">
        <v>533</v>
      </c>
      <c r="D937" s="9" t="str">
        <f>HYPERLINK("https://www.marklines.com/en/global/3333","China FAW Group Co., Ltd.  (Formerly China FAW Group Corporation)")</f>
        <v>China FAW Group Co., Ltd.  (Formerly China FAW Group Corporation)</v>
      </c>
      <c r="E937" s="8" t="s">
        <v>546</v>
      </c>
      <c r="F937" s="8" t="s">
        <v>20</v>
      </c>
      <c r="G937" s="8" t="s">
        <v>27</v>
      </c>
      <c r="H937" s="8" t="s">
        <v>536</v>
      </c>
      <c r="I937" s="10">
        <v>45125</v>
      </c>
      <c r="J937" s="8" t="s">
        <v>724</v>
      </c>
    </row>
    <row r="938" spans="1:10" x14ac:dyDescent="0.15">
      <c r="A938" s="7">
        <v>45131</v>
      </c>
      <c r="B938" s="8" t="s">
        <v>725</v>
      </c>
      <c r="C938" s="8" t="s">
        <v>726</v>
      </c>
      <c r="D938" s="9" t="str">
        <f>HYPERLINK("https://www.marklines.com/en/global/10712","Neta Zhihe New Energy Vehicle Technology (Shanghai) Co., Ltd.")</f>
        <v>Neta Zhihe New Energy Vehicle Technology (Shanghai) Co., Ltd.</v>
      </c>
      <c r="E938" s="8" t="s">
        <v>727</v>
      </c>
      <c r="F938" s="8" t="s">
        <v>20</v>
      </c>
      <c r="G938" s="8" t="s">
        <v>27</v>
      </c>
      <c r="H938" s="8" t="s">
        <v>106</v>
      </c>
      <c r="I938" s="10">
        <v>45124</v>
      </c>
      <c r="J938" s="8" t="s">
        <v>728</v>
      </c>
    </row>
    <row r="939" spans="1:10" x14ac:dyDescent="0.15">
      <c r="A939" s="7">
        <v>45129</v>
      </c>
      <c r="B939" s="8" t="s">
        <v>133</v>
      </c>
      <c r="C939" s="8" t="s">
        <v>134</v>
      </c>
      <c r="D939" s="9" t="str">
        <f>HYPERLINK("https://www.marklines.com/en/global/2834","Stellantis, FCA Brazil, Pernambuco (Goiana) Plant")</f>
        <v>Stellantis, FCA Brazil, Pernambuco (Goiana) Plant</v>
      </c>
      <c r="E939" s="8" t="s">
        <v>729</v>
      </c>
      <c r="F939" s="8" t="s">
        <v>74</v>
      </c>
      <c r="G939" s="8" t="s">
        <v>75</v>
      </c>
      <c r="H939" s="8"/>
      <c r="I939" s="10">
        <v>45127</v>
      </c>
      <c r="J939" s="8" t="s">
        <v>730</v>
      </c>
    </row>
    <row r="940" spans="1:10" x14ac:dyDescent="0.15">
      <c r="A940" s="7">
        <v>45129</v>
      </c>
      <c r="B940" s="8" t="s">
        <v>133</v>
      </c>
      <c r="C940" s="8" t="s">
        <v>731</v>
      </c>
      <c r="D940" s="9" t="str">
        <f>HYPERLINK("https://www.marklines.com/en/global/2834","Stellantis, FCA Brazil, Pernambuco (Goiana) Plant")</f>
        <v>Stellantis, FCA Brazil, Pernambuco (Goiana) Plant</v>
      </c>
      <c r="E940" s="8" t="s">
        <v>729</v>
      </c>
      <c r="F940" s="8" t="s">
        <v>74</v>
      </c>
      <c r="G940" s="8" t="s">
        <v>75</v>
      </c>
      <c r="H940" s="8"/>
      <c r="I940" s="10">
        <v>45127</v>
      </c>
      <c r="J940" s="8" t="s">
        <v>730</v>
      </c>
    </row>
    <row r="941" spans="1:10" x14ac:dyDescent="0.15">
      <c r="A941" s="7">
        <v>45129</v>
      </c>
      <c r="B941" s="8" t="s">
        <v>68</v>
      </c>
      <c r="C941" s="8" t="s">
        <v>79</v>
      </c>
      <c r="D941" s="9" t="str">
        <f>HYPERLINK("https://www.marklines.com/en/global/2834","Stellantis, FCA Brazil, Pernambuco (Goiana) Plant")</f>
        <v>Stellantis, FCA Brazil, Pernambuco (Goiana) Plant</v>
      </c>
      <c r="E941" s="8" t="s">
        <v>729</v>
      </c>
      <c r="F941" s="8" t="s">
        <v>74</v>
      </c>
      <c r="G941" s="8" t="s">
        <v>75</v>
      </c>
      <c r="H941" s="8"/>
      <c r="I941" s="10">
        <v>45127</v>
      </c>
      <c r="J941" s="8" t="s">
        <v>730</v>
      </c>
    </row>
    <row r="942" spans="1:10" x14ac:dyDescent="0.15">
      <c r="A942" s="7">
        <v>45128</v>
      </c>
      <c r="B942" s="8" t="s">
        <v>22</v>
      </c>
      <c r="C942" s="8" t="s">
        <v>22</v>
      </c>
      <c r="D942" s="9" t="str">
        <f>HYPERLINK("https://www.marklines.com/en/global/1065","Indus Motor Company Ltd. (IMC), Karachi Plant")</f>
        <v>Indus Motor Company Ltd. (IMC), Karachi Plant</v>
      </c>
      <c r="E942" s="8" t="s">
        <v>365</v>
      </c>
      <c r="F942" s="8" t="s">
        <v>25</v>
      </c>
      <c r="G942" s="8" t="s">
        <v>366</v>
      </c>
      <c r="H942" s="8"/>
      <c r="I942" s="10">
        <v>45127</v>
      </c>
      <c r="J942" s="8" t="s">
        <v>496</v>
      </c>
    </row>
    <row r="943" spans="1:10" x14ac:dyDescent="0.15">
      <c r="A943" s="7">
        <v>45128</v>
      </c>
      <c r="B943" s="8" t="s">
        <v>24</v>
      </c>
      <c r="C943" s="8" t="s">
        <v>24</v>
      </c>
      <c r="D943" s="9" t="str">
        <f>HYPERLINK("https://www.marklines.com/en/global/10431","Ford BlueOval City/ BlueOval SK battery plant")</f>
        <v>Ford BlueOval City/ BlueOval SK battery plant</v>
      </c>
      <c r="E943" s="8" t="s">
        <v>497</v>
      </c>
      <c r="F943" s="8" t="s">
        <v>16</v>
      </c>
      <c r="G943" s="8" t="s">
        <v>11</v>
      </c>
      <c r="H943" s="8" t="s">
        <v>498</v>
      </c>
      <c r="I943" s="10">
        <v>45127</v>
      </c>
      <c r="J943" s="8" t="s">
        <v>499</v>
      </c>
    </row>
    <row r="944" spans="1:10" x14ac:dyDescent="0.15">
      <c r="A944" s="7">
        <v>45128</v>
      </c>
      <c r="B944" s="8" t="s">
        <v>28</v>
      </c>
      <c r="C944" s="8" t="s">
        <v>488</v>
      </c>
      <c r="D944" s="9" t="str">
        <f>HYPERLINK("https://www.marklines.com/en/global/2769","Mercedes-Benz Argentina S.A., Juan Manuel Fangio Plant")</f>
        <v>Mercedes-Benz Argentina S.A., Juan Manuel Fangio Plant</v>
      </c>
      <c r="E944" s="8" t="s">
        <v>500</v>
      </c>
      <c r="F944" s="8" t="s">
        <v>74</v>
      </c>
      <c r="G944" s="8" t="s">
        <v>501</v>
      </c>
      <c r="H944" s="8"/>
      <c r="I944" s="10">
        <v>45127</v>
      </c>
      <c r="J944" s="8" t="s">
        <v>502</v>
      </c>
    </row>
    <row r="945" spans="1:10" x14ac:dyDescent="0.15">
      <c r="A945" s="7">
        <v>45128</v>
      </c>
      <c r="B945" s="8" t="s">
        <v>100</v>
      </c>
      <c r="C945" s="8" t="s">
        <v>100</v>
      </c>
      <c r="D945" s="9" t="str">
        <f>HYPERLINK("https://www.marklines.com/en/global/8604","Nissan do Brasil Automóveis Ltda., Resende Plant")</f>
        <v>Nissan do Brasil Automóveis Ltda., Resende Plant</v>
      </c>
      <c r="E945" s="8" t="s">
        <v>503</v>
      </c>
      <c r="F945" s="8" t="s">
        <v>74</v>
      </c>
      <c r="G945" s="8" t="s">
        <v>75</v>
      </c>
      <c r="H945" s="8"/>
      <c r="I945" s="10">
        <v>45125</v>
      </c>
      <c r="J945" s="8" t="s">
        <v>504</v>
      </c>
    </row>
    <row r="946" spans="1:10" x14ac:dyDescent="0.15">
      <c r="A946" s="7">
        <v>45128</v>
      </c>
      <c r="B946" s="8" t="s">
        <v>63</v>
      </c>
      <c r="C946" s="8" t="s">
        <v>64</v>
      </c>
      <c r="D946" s="9" t="str">
        <f>HYPERLINK("https://www.marklines.com/en/global/3425","Beiqi Foton Motor Co., Ltd.")</f>
        <v>Beiqi Foton Motor Co., Ltd.</v>
      </c>
      <c r="E946" s="8" t="s">
        <v>505</v>
      </c>
      <c r="F946" s="8" t="s">
        <v>20</v>
      </c>
      <c r="G946" s="8" t="s">
        <v>27</v>
      </c>
      <c r="H946" s="8" t="s">
        <v>37</v>
      </c>
      <c r="I946" s="10">
        <v>45125</v>
      </c>
      <c r="J946" s="8" t="s">
        <v>506</v>
      </c>
    </row>
    <row r="947" spans="1:10" x14ac:dyDescent="0.15">
      <c r="A947" s="7">
        <v>45128</v>
      </c>
      <c r="B947" s="8" t="s">
        <v>34</v>
      </c>
      <c r="C947" s="8" t="s">
        <v>34</v>
      </c>
      <c r="D947" s="9" t="str">
        <f>HYPERLINK("https://www.marklines.com/en/global/10321","Tesla Gigafactory Texas")</f>
        <v>Tesla Gigafactory Texas</v>
      </c>
      <c r="E947" s="8" t="s">
        <v>35</v>
      </c>
      <c r="F947" s="8" t="s">
        <v>16</v>
      </c>
      <c r="G947" s="8" t="s">
        <v>11</v>
      </c>
      <c r="H947" s="8" t="s">
        <v>36</v>
      </c>
      <c r="I947" s="10">
        <v>45124</v>
      </c>
      <c r="J947" s="8" t="s">
        <v>507</v>
      </c>
    </row>
    <row r="948" spans="1:10" x14ac:dyDescent="0.15">
      <c r="A948" s="7">
        <v>45128</v>
      </c>
      <c r="B948" s="8" t="s">
        <v>62</v>
      </c>
      <c r="C948" s="8" t="s">
        <v>62</v>
      </c>
      <c r="D948" s="9" t="str">
        <f>HYPERLINK("https://www.marklines.com/en/global/9872","Chery Holding Group Co., Ltd. (formerly Chery Holding Co., Ltd.)")</f>
        <v>Chery Holding Group Co., Ltd. (formerly Chery Holding Co., Ltd.)</v>
      </c>
      <c r="E948" s="8" t="s">
        <v>401</v>
      </c>
      <c r="F948" s="8" t="s">
        <v>20</v>
      </c>
      <c r="G948" s="8" t="s">
        <v>27</v>
      </c>
      <c r="H948" s="8" t="s">
        <v>326</v>
      </c>
      <c r="I948" s="10">
        <v>45124</v>
      </c>
      <c r="J948" s="8" t="s">
        <v>508</v>
      </c>
    </row>
    <row r="949" spans="1:10" x14ac:dyDescent="0.15">
      <c r="A949" s="7">
        <v>45128</v>
      </c>
      <c r="B949" s="8" t="s">
        <v>109</v>
      </c>
      <c r="C949" s="8" t="s">
        <v>109</v>
      </c>
      <c r="D949" s="9" t="str">
        <f>HYPERLINK("https://www.marklines.com/en/global/10441","BYD Automobile Co., Ltd. Changzhou Branch")</f>
        <v>BYD Automobile Co., Ltd. Changzhou Branch</v>
      </c>
      <c r="E949" s="8" t="s">
        <v>509</v>
      </c>
      <c r="F949" s="8" t="s">
        <v>20</v>
      </c>
      <c r="G949" s="8" t="s">
        <v>27</v>
      </c>
      <c r="H949" s="8" t="s">
        <v>52</v>
      </c>
      <c r="I949" s="10">
        <v>45122</v>
      </c>
      <c r="J949" s="8" t="s">
        <v>510</v>
      </c>
    </row>
    <row r="950" spans="1:10" x14ac:dyDescent="0.15">
      <c r="A950" s="7">
        <v>45128</v>
      </c>
      <c r="B950" s="8" t="s">
        <v>109</v>
      </c>
      <c r="C950" s="8" t="s">
        <v>109</v>
      </c>
      <c r="D950" s="9" t="str">
        <f>HYPERLINK("https://www.marklines.com/en/global/4125","BYD Automobile Industry Co., Ltd., Shenzhen Plant")</f>
        <v>BYD Automobile Industry Co., Ltd., Shenzhen Plant</v>
      </c>
      <c r="E950" s="8" t="s">
        <v>137</v>
      </c>
      <c r="F950" s="8" t="s">
        <v>20</v>
      </c>
      <c r="G950" s="8" t="s">
        <v>27</v>
      </c>
      <c r="H950" s="8" t="s">
        <v>31</v>
      </c>
      <c r="I950" s="10">
        <v>45122</v>
      </c>
      <c r="J950" s="8" t="s">
        <v>510</v>
      </c>
    </row>
    <row r="951" spans="1:10" x14ac:dyDescent="0.15">
      <c r="A951" s="7">
        <v>45128</v>
      </c>
      <c r="B951" s="8" t="s">
        <v>109</v>
      </c>
      <c r="C951" s="8" t="s">
        <v>109</v>
      </c>
      <c r="D951" s="9" t="str">
        <f>HYPERLINK("https://www.marklines.com/en/global/4043","BYD Automobile Industry Co., Ltd., Changsha Branch")</f>
        <v>BYD Automobile Industry Co., Ltd., Changsha Branch</v>
      </c>
      <c r="E951" s="8" t="s">
        <v>136</v>
      </c>
      <c r="F951" s="8" t="s">
        <v>20</v>
      </c>
      <c r="G951" s="8" t="s">
        <v>27</v>
      </c>
      <c r="H951" s="8" t="s">
        <v>112</v>
      </c>
      <c r="I951" s="10">
        <v>45122</v>
      </c>
      <c r="J951" s="8" t="s">
        <v>510</v>
      </c>
    </row>
    <row r="952" spans="1:10" x14ac:dyDescent="0.15">
      <c r="A952" s="7">
        <v>45127</v>
      </c>
      <c r="B952" s="8" t="s">
        <v>68</v>
      </c>
      <c r="C952" s="8" t="s">
        <v>72</v>
      </c>
      <c r="D952" s="9" t="str">
        <f>HYPERLINK("https://www.marklines.com/en/global/10364","Punch Powertrain PSA e-Transmissions NV")</f>
        <v>Punch Powertrain PSA e-Transmissions NV</v>
      </c>
      <c r="E952" s="8" t="s">
        <v>511</v>
      </c>
      <c r="F952" s="8" t="s">
        <v>17</v>
      </c>
      <c r="G952" s="8" t="s">
        <v>138</v>
      </c>
      <c r="H952" s="8"/>
      <c r="I952" s="10">
        <v>45126</v>
      </c>
      <c r="J952" s="8" t="s">
        <v>512</v>
      </c>
    </row>
    <row r="953" spans="1:10" x14ac:dyDescent="0.15">
      <c r="A953" s="7">
        <v>45127</v>
      </c>
      <c r="B953" s="8" t="s">
        <v>68</v>
      </c>
      <c r="C953" s="8" t="s">
        <v>68</v>
      </c>
      <c r="D953" s="9" t="str">
        <f>HYPERLINK("https://www.marklines.com/en/global/153","Stellantis, PSA, Metz-Borny Plant")</f>
        <v>Stellantis, PSA, Metz-Borny Plant</v>
      </c>
      <c r="E953" s="8" t="s">
        <v>513</v>
      </c>
      <c r="F953" s="8" t="s">
        <v>17</v>
      </c>
      <c r="G953" s="8" t="s">
        <v>40</v>
      </c>
      <c r="H953" s="8"/>
      <c r="I953" s="10">
        <v>45126</v>
      </c>
      <c r="J953" s="8" t="s">
        <v>512</v>
      </c>
    </row>
    <row r="954" spans="1:10" x14ac:dyDescent="0.15">
      <c r="A954" s="7">
        <v>45127</v>
      </c>
      <c r="B954" s="8" t="s">
        <v>514</v>
      </c>
      <c r="C954" s="8" t="s">
        <v>515</v>
      </c>
      <c r="D954" s="9" t="str">
        <f>HYPERLINK("https://www.marklines.com/en/global/10565","VinFast Manufacturing US- North Carolina plant")</f>
        <v>VinFast Manufacturing US- North Carolina plant</v>
      </c>
      <c r="E954" s="8" t="s">
        <v>516</v>
      </c>
      <c r="F954" s="8" t="s">
        <v>16</v>
      </c>
      <c r="G954" s="8" t="s">
        <v>11</v>
      </c>
      <c r="H954" s="8" t="s">
        <v>517</v>
      </c>
      <c r="I954" s="10">
        <v>45126</v>
      </c>
      <c r="J954" s="8" t="s">
        <v>518</v>
      </c>
    </row>
    <row r="955" spans="1:10" x14ac:dyDescent="0.15">
      <c r="A955" s="7">
        <v>45127</v>
      </c>
      <c r="B955" s="8" t="s">
        <v>100</v>
      </c>
      <c r="C955" s="8" t="s">
        <v>100</v>
      </c>
      <c r="D955" s="9" t="str">
        <f>HYPERLINK("https://www.marklines.com/en/global/3187","Nissan North America, Canton Plant")</f>
        <v>Nissan North America, Canton Plant</v>
      </c>
      <c r="E955" s="8" t="s">
        <v>519</v>
      </c>
      <c r="F955" s="8" t="s">
        <v>16</v>
      </c>
      <c r="G955" s="8" t="s">
        <v>11</v>
      </c>
      <c r="H955" s="8" t="s">
        <v>520</v>
      </c>
      <c r="I955" s="10">
        <v>45126</v>
      </c>
      <c r="J955" s="8" t="s">
        <v>521</v>
      </c>
    </row>
    <row r="956" spans="1:10" x14ac:dyDescent="0.15">
      <c r="A956" s="7">
        <v>45127</v>
      </c>
      <c r="B956" s="8" t="s">
        <v>100</v>
      </c>
      <c r="C956" s="8" t="s">
        <v>100</v>
      </c>
      <c r="D956" s="9" t="str">
        <f>HYPERLINK("https://www.marklines.com/en/global/459","Nissan Motor, Yokohama Plant")</f>
        <v>Nissan Motor, Yokohama Plant</v>
      </c>
      <c r="E956" s="8" t="s">
        <v>522</v>
      </c>
      <c r="F956" s="8" t="s">
        <v>20</v>
      </c>
      <c r="G956" s="8" t="s">
        <v>23</v>
      </c>
      <c r="H956" s="8" t="s">
        <v>132</v>
      </c>
      <c r="I956" s="10">
        <v>45126</v>
      </c>
      <c r="J956" s="8" t="s">
        <v>523</v>
      </c>
    </row>
    <row r="957" spans="1:10" x14ac:dyDescent="0.15">
      <c r="A957" s="7">
        <v>45127</v>
      </c>
      <c r="B957" s="8" t="s">
        <v>28</v>
      </c>
      <c r="C957" s="8" t="s">
        <v>488</v>
      </c>
      <c r="D957" s="9" t="str">
        <f>HYPERLINK("https://www.marklines.com/en/global/2829","Daimler Truck, São Bernardo do Campo Plant, Mercedes-Benz do Brasil Ltda. ")</f>
        <v xml:space="preserve">Daimler Truck, São Bernardo do Campo Plant, Mercedes-Benz do Brasil Ltda. </v>
      </c>
      <c r="E957" s="8" t="s">
        <v>494</v>
      </c>
      <c r="F957" s="8" t="s">
        <v>74</v>
      </c>
      <c r="G957" s="8" t="s">
        <v>75</v>
      </c>
      <c r="H957" s="8"/>
      <c r="I957" s="10">
        <v>45125</v>
      </c>
      <c r="J957" s="8" t="s">
        <v>524</v>
      </c>
    </row>
    <row r="958" spans="1:10" x14ac:dyDescent="0.15">
      <c r="A958" s="7">
        <v>45127</v>
      </c>
      <c r="B958" s="8" t="s">
        <v>22</v>
      </c>
      <c r="C958" s="8" t="s">
        <v>398</v>
      </c>
      <c r="D958" s="9" t="str">
        <f>HYPERLINK("https://www.marklines.com/en/global/570","Hino Motors, Koga Plant")</f>
        <v>Hino Motors, Koga Plant</v>
      </c>
      <c r="E958" s="8" t="s">
        <v>525</v>
      </c>
      <c r="F958" s="8" t="s">
        <v>20</v>
      </c>
      <c r="G958" s="8" t="s">
        <v>23</v>
      </c>
      <c r="H958" s="8" t="s">
        <v>107</v>
      </c>
      <c r="I958" s="10">
        <v>45125</v>
      </c>
      <c r="J958" s="8" t="s">
        <v>526</v>
      </c>
    </row>
    <row r="959" spans="1:10" x14ac:dyDescent="0.15">
      <c r="A959" s="7">
        <v>45127</v>
      </c>
      <c r="B959" s="8" t="s">
        <v>13</v>
      </c>
      <c r="C959" s="8" t="s">
        <v>527</v>
      </c>
      <c r="D959" s="9" t="str">
        <f>HYPERLINK("https://www.marklines.com/en/global/10346","Amita Technology Thailand, Chachoengsao plant")</f>
        <v>Amita Technology Thailand, Chachoengsao plant</v>
      </c>
      <c r="E959" s="8" t="s">
        <v>528</v>
      </c>
      <c r="F959" s="8" t="s">
        <v>49</v>
      </c>
      <c r="G959" s="8" t="s">
        <v>170</v>
      </c>
      <c r="H959" s="8" t="s">
        <v>529</v>
      </c>
      <c r="I959" s="10">
        <v>45125</v>
      </c>
      <c r="J959" s="8" t="s">
        <v>530</v>
      </c>
    </row>
    <row r="960" spans="1:10" x14ac:dyDescent="0.15">
      <c r="A960" s="7">
        <v>45127</v>
      </c>
      <c r="B960" s="8" t="s">
        <v>29</v>
      </c>
      <c r="C960" s="8" t="s">
        <v>29</v>
      </c>
      <c r="D960" s="9" t="str">
        <f>HYPERLINK("https://www.marklines.com/en/global/3807","Zhejiang Geely Holding Group Co., Ltd.")</f>
        <v>Zhejiang Geely Holding Group Co., Ltd.</v>
      </c>
      <c r="E960" s="8" t="s">
        <v>76</v>
      </c>
      <c r="F960" s="8" t="s">
        <v>20</v>
      </c>
      <c r="G960" s="8" t="s">
        <v>27</v>
      </c>
      <c r="H960" s="8" t="s">
        <v>51</v>
      </c>
      <c r="I960" s="10">
        <v>45125</v>
      </c>
      <c r="J960" s="8" t="s">
        <v>531</v>
      </c>
    </row>
    <row r="961" spans="1:10" x14ac:dyDescent="0.15">
      <c r="A961" s="7">
        <v>45127</v>
      </c>
      <c r="B961" s="8" t="s">
        <v>43</v>
      </c>
      <c r="C961" s="8" t="s">
        <v>67</v>
      </c>
      <c r="D961" s="9" t="str">
        <f>HYPERLINK("https://www.marklines.com/en/global/2933","Volkswagen Brazil, Sao Jose dos Pinhais Plant")</f>
        <v>Volkswagen Brazil, Sao Jose dos Pinhais Plant</v>
      </c>
      <c r="E961" s="8" t="s">
        <v>394</v>
      </c>
      <c r="F961" s="8" t="s">
        <v>74</v>
      </c>
      <c r="G961" s="8" t="s">
        <v>75</v>
      </c>
      <c r="H961" s="8"/>
      <c r="I961" s="10">
        <v>45124</v>
      </c>
      <c r="J961" s="8" t="s">
        <v>532</v>
      </c>
    </row>
    <row r="962" spans="1:10" x14ac:dyDescent="0.15">
      <c r="A962" s="7">
        <v>45127</v>
      </c>
      <c r="B962" s="8" t="s">
        <v>43</v>
      </c>
      <c r="C962" s="8" t="s">
        <v>67</v>
      </c>
      <c r="D962" s="9" t="str">
        <f>HYPERLINK("https://www.marklines.com/en/global/2935","Volkswagen Brazil, Taubate Plant")</f>
        <v>Volkswagen Brazil, Taubate Plant</v>
      </c>
      <c r="E962" s="8" t="s">
        <v>397</v>
      </c>
      <c r="F962" s="8" t="s">
        <v>74</v>
      </c>
      <c r="G962" s="8" t="s">
        <v>75</v>
      </c>
      <c r="H962" s="8"/>
      <c r="I962" s="10">
        <v>45124</v>
      </c>
      <c r="J962" s="8" t="s">
        <v>532</v>
      </c>
    </row>
    <row r="963" spans="1:10" x14ac:dyDescent="0.15">
      <c r="A963" s="7">
        <v>45127</v>
      </c>
      <c r="B963" s="8" t="s">
        <v>533</v>
      </c>
      <c r="C963" s="8" t="s">
        <v>534</v>
      </c>
      <c r="D963" s="9" t="str">
        <f>HYPERLINK("https://www.marklines.com/en/global/3337","China FAW Corporation Limited Weishan 1st Plant")</f>
        <v>China FAW Corporation Limited Weishan 1st Plant</v>
      </c>
      <c r="E963" s="8" t="s">
        <v>535</v>
      </c>
      <c r="F963" s="8" t="s">
        <v>20</v>
      </c>
      <c r="G963" s="8" t="s">
        <v>27</v>
      </c>
      <c r="H963" s="8" t="s">
        <v>536</v>
      </c>
      <c r="I963" s="10">
        <v>45124</v>
      </c>
      <c r="J963" s="8" t="s">
        <v>537</v>
      </c>
    </row>
    <row r="964" spans="1:10" x14ac:dyDescent="0.15">
      <c r="A964" s="7">
        <v>45127</v>
      </c>
      <c r="B964" s="8" t="s">
        <v>15</v>
      </c>
      <c r="C964" s="8" t="s">
        <v>15</v>
      </c>
      <c r="D964" s="9" t="str">
        <f>HYPERLINK("https://www.marklines.com/en/global/3981","Dongfeng Honda Automobile Co., Ltd. ")</f>
        <v xml:space="preserve">Dongfeng Honda Automobile Co., Ltd. </v>
      </c>
      <c r="E964" s="8" t="s">
        <v>538</v>
      </c>
      <c r="F964" s="8" t="s">
        <v>20</v>
      </c>
      <c r="G964" s="8" t="s">
        <v>27</v>
      </c>
      <c r="H964" s="8" t="s">
        <v>46</v>
      </c>
      <c r="I964" s="10">
        <v>45123</v>
      </c>
      <c r="J964" s="8" t="s">
        <v>539</v>
      </c>
    </row>
    <row r="965" spans="1:10" x14ac:dyDescent="0.15">
      <c r="A965" s="7">
        <v>45127</v>
      </c>
      <c r="B965" s="8" t="s">
        <v>39</v>
      </c>
      <c r="C965" s="8" t="s">
        <v>39</v>
      </c>
      <c r="D965" s="9" t="str">
        <f>HYPERLINK("https://www.marklines.com/en/global/1801","BMW Motoren GmbH, Steyr Plant")</f>
        <v>BMW Motoren GmbH, Steyr Plant</v>
      </c>
      <c r="E965" s="8" t="s">
        <v>540</v>
      </c>
      <c r="F965" s="8" t="s">
        <v>17</v>
      </c>
      <c r="G965" s="8" t="s">
        <v>102</v>
      </c>
      <c r="H965" s="8"/>
      <c r="I965" s="10">
        <v>45122</v>
      </c>
      <c r="J965" s="8" t="s">
        <v>541</v>
      </c>
    </row>
    <row r="966" spans="1:10" x14ac:dyDescent="0.15">
      <c r="A966" s="7">
        <v>45127</v>
      </c>
      <c r="B966" s="8" t="s">
        <v>43</v>
      </c>
      <c r="C966" s="8" t="s">
        <v>67</v>
      </c>
      <c r="D966" s="9" t="str">
        <f>HYPERLINK("https://www.marklines.com/en/global/10714","Volkswagen (China) Technology Co., Ltd.")</f>
        <v>Volkswagen (China) Technology Co., Ltd.</v>
      </c>
      <c r="E966" s="8" t="s">
        <v>542</v>
      </c>
      <c r="F966" s="8" t="s">
        <v>20</v>
      </c>
      <c r="G966" s="8" t="s">
        <v>27</v>
      </c>
      <c r="H966" s="8" t="s">
        <v>326</v>
      </c>
      <c r="I966" s="10">
        <v>45122</v>
      </c>
      <c r="J966" s="8" t="s">
        <v>543</v>
      </c>
    </row>
    <row r="967" spans="1:10" x14ac:dyDescent="0.15">
      <c r="A967" s="7">
        <v>45127</v>
      </c>
      <c r="B967" s="8" t="s">
        <v>43</v>
      </c>
      <c r="C967" s="8" t="s">
        <v>127</v>
      </c>
      <c r="D967" s="9" t="str">
        <f>HYPERLINK("https://www.marklines.com/en/global/10485","Audi FAW New Energy Vehicle Co., Ltd.")</f>
        <v>Audi FAW New Energy Vehicle Co., Ltd.</v>
      </c>
      <c r="E967" s="8" t="s">
        <v>544</v>
      </c>
      <c r="F967" s="8" t="s">
        <v>20</v>
      </c>
      <c r="G967" s="8" t="s">
        <v>27</v>
      </c>
      <c r="H967" s="8" t="s">
        <v>536</v>
      </c>
      <c r="I967" s="10">
        <v>45122</v>
      </c>
      <c r="J967" s="8" t="s">
        <v>543</v>
      </c>
    </row>
    <row r="968" spans="1:10" x14ac:dyDescent="0.15">
      <c r="A968" s="7">
        <v>45127</v>
      </c>
      <c r="B968" s="8" t="s">
        <v>43</v>
      </c>
      <c r="C968" s="8" t="s">
        <v>67</v>
      </c>
      <c r="D968" s="9" t="str">
        <f>HYPERLINK("https://www.marklines.com/en/global/3481","Volkswagen (China) Investment Co., Ltd. ")</f>
        <v xml:space="preserve">Volkswagen (China) Investment Co., Ltd. </v>
      </c>
      <c r="E968" s="8" t="s">
        <v>545</v>
      </c>
      <c r="F968" s="8" t="s">
        <v>20</v>
      </c>
      <c r="G968" s="8" t="s">
        <v>27</v>
      </c>
      <c r="H968" s="8" t="s">
        <v>37</v>
      </c>
      <c r="I968" s="10">
        <v>45122</v>
      </c>
      <c r="J968" s="8" t="s">
        <v>543</v>
      </c>
    </row>
    <row r="969" spans="1:10" x14ac:dyDescent="0.15">
      <c r="A969" s="7">
        <v>45127</v>
      </c>
      <c r="B969" s="8" t="s">
        <v>533</v>
      </c>
      <c r="C969" s="8" t="s">
        <v>533</v>
      </c>
      <c r="D969" s="9" t="str">
        <f>HYPERLINK("https://www.marklines.com/en/global/3333","China FAW Group Co., Ltd.  (Formerly China FAW Group Corporation)")</f>
        <v>China FAW Group Co., Ltd.  (Formerly China FAW Group Corporation)</v>
      </c>
      <c r="E969" s="8" t="s">
        <v>546</v>
      </c>
      <c r="F969" s="8" t="s">
        <v>20</v>
      </c>
      <c r="G969" s="8" t="s">
        <v>27</v>
      </c>
      <c r="H969" s="8" t="s">
        <v>536</v>
      </c>
      <c r="I969" s="10">
        <v>45122</v>
      </c>
      <c r="J969" s="8" t="s">
        <v>543</v>
      </c>
    </row>
    <row r="970" spans="1:10" x14ac:dyDescent="0.15">
      <c r="A970" s="7">
        <v>45127</v>
      </c>
      <c r="B970" s="8" t="s">
        <v>13</v>
      </c>
      <c r="C970" s="8" t="s">
        <v>547</v>
      </c>
      <c r="D970" s="9" t="str">
        <f>HYPERLINK("https://www.marklines.com/en/global/3593","Beiben Trucks Group Co.,Ltd.")</f>
        <v>Beiben Trucks Group Co.,Ltd.</v>
      </c>
      <c r="E970" s="8" t="s">
        <v>548</v>
      </c>
      <c r="F970" s="8" t="s">
        <v>20</v>
      </c>
      <c r="G970" s="8" t="s">
        <v>27</v>
      </c>
      <c r="H970" s="8" t="s">
        <v>549</v>
      </c>
      <c r="I970" s="10">
        <v>45122</v>
      </c>
      <c r="J970" s="8" t="s">
        <v>550</v>
      </c>
    </row>
    <row r="971" spans="1:10" x14ac:dyDescent="0.15">
      <c r="A971" s="7">
        <v>45127</v>
      </c>
      <c r="B971" s="8" t="s">
        <v>22</v>
      </c>
      <c r="C971" s="8" t="s">
        <v>22</v>
      </c>
      <c r="D971" s="9" t="str">
        <f>HYPERLINK("https://www.marklines.com/en/global/4093","GAC Toyota Motor Co., Ltd. (GTMC)")</f>
        <v>GAC Toyota Motor Co., Ltd. (GTMC)</v>
      </c>
      <c r="E971" s="8" t="s">
        <v>551</v>
      </c>
      <c r="F971" s="8" t="s">
        <v>20</v>
      </c>
      <c r="G971" s="8" t="s">
        <v>27</v>
      </c>
      <c r="H971" s="8" t="s">
        <v>31</v>
      </c>
      <c r="I971" s="10">
        <v>45122</v>
      </c>
      <c r="J971" s="8" t="s">
        <v>552</v>
      </c>
    </row>
    <row r="972" spans="1:10" x14ac:dyDescent="0.15">
      <c r="A972" s="7">
        <v>45127</v>
      </c>
      <c r="B972" s="8" t="s">
        <v>124</v>
      </c>
      <c r="C972" s="8" t="s">
        <v>125</v>
      </c>
      <c r="D972" s="9" t="str">
        <f>HYPERLINK("https://www.marklines.com/en/global/3767","Jiangsu Yueda Kia Motors Co., Ltd. (First Plant) (formerly Kia Motors Co., Ltd. (First Plant))")</f>
        <v>Jiangsu Yueda Kia Motors Co., Ltd. (First Plant) (formerly Kia Motors Co., Ltd. (First Plant))</v>
      </c>
      <c r="E972" s="8" t="s">
        <v>126</v>
      </c>
      <c r="F972" s="8" t="s">
        <v>20</v>
      </c>
      <c r="G972" s="8" t="s">
        <v>27</v>
      </c>
      <c r="H972" s="8" t="s">
        <v>52</v>
      </c>
      <c r="I972" s="10">
        <v>45122</v>
      </c>
      <c r="J972" s="8" t="s">
        <v>553</v>
      </c>
    </row>
    <row r="973" spans="1:10" x14ac:dyDescent="0.15">
      <c r="A973" s="7">
        <v>45127</v>
      </c>
      <c r="B973" s="8" t="s">
        <v>22</v>
      </c>
      <c r="C973" s="8" t="s">
        <v>554</v>
      </c>
      <c r="D973" s="9" t="str">
        <f>HYPERLINK("https://www.marklines.com/en/global/393","Toyota Motor Kyushu, Miyata Plant")</f>
        <v>Toyota Motor Kyushu, Miyata Plant</v>
      </c>
      <c r="E973" s="8" t="s">
        <v>421</v>
      </c>
      <c r="F973" s="8" t="s">
        <v>20</v>
      </c>
      <c r="G973" s="8" t="s">
        <v>23</v>
      </c>
      <c r="H973" s="8" t="s">
        <v>418</v>
      </c>
      <c r="I973" s="10">
        <v>45121</v>
      </c>
      <c r="J973" s="8" t="s">
        <v>555</v>
      </c>
    </row>
    <row r="974" spans="1:10" x14ac:dyDescent="0.15">
      <c r="A974" s="7">
        <v>45127</v>
      </c>
      <c r="B974" s="8" t="s">
        <v>53</v>
      </c>
      <c r="C974" s="8" t="s">
        <v>53</v>
      </c>
      <c r="D974" s="9" t="str">
        <f>HYPERLINK("https://www.marklines.com/en/global/3533","Great Wall Motor Company Limited (GWM)")</f>
        <v>Great Wall Motor Company Limited (GWM)</v>
      </c>
      <c r="E974" s="8" t="s">
        <v>556</v>
      </c>
      <c r="F974" s="8" t="s">
        <v>20</v>
      </c>
      <c r="G974" s="8" t="s">
        <v>27</v>
      </c>
      <c r="H974" s="8" t="s">
        <v>557</v>
      </c>
      <c r="I974" s="10">
        <v>45121</v>
      </c>
      <c r="J974" s="8" t="s">
        <v>558</v>
      </c>
    </row>
    <row r="975" spans="1:10" x14ac:dyDescent="0.15">
      <c r="A975" s="7">
        <v>45127</v>
      </c>
      <c r="B975" s="8" t="s">
        <v>53</v>
      </c>
      <c r="C975" s="8" t="s">
        <v>53</v>
      </c>
      <c r="D975" s="9" t="str">
        <f>HYPERLINK("https://www.marklines.com/en/global/10739","SVOLT Energy Thailand, Chon Buri plant")</f>
        <v>SVOLT Energy Thailand, Chon Buri plant</v>
      </c>
      <c r="E975" s="8" t="s">
        <v>559</v>
      </c>
      <c r="F975" s="8" t="s">
        <v>49</v>
      </c>
      <c r="G975" s="8" t="s">
        <v>170</v>
      </c>
      <c r="H975" s="8" t="s">
        <v>560</v>
      </c>
      <c r="I975" s="10">
        <v>45117</v>
      </c>
      <c r="J975" s="8" t="s">
        <v>561</v>
      </c>
    </row>
    <row r="976" spans="1:10" x14ac:dyDescent="0.15">
      <c r="A976" s="7">
        <v>45127</v>
      </c>
      <c r="B976" s="8" t="s">
        <v>22</v>
      </c>
      <c r="C976" s="8" t="s">
        <v>168</v>
      </c>
      <c r="D976" s="9" t="str">
        <f>HYPERLINK("https://www.marklines.com/en/global/265","PT. Astra Daihatsu Motor (ADM)")</f>
        <v>PT. Astra Daihatsu Motor (ADM)</v>
      </c>
      <c r="E976" s="8" t="s">
        <v>562</v>
      </c>
      <c r="F976" s="8" t="s">
        <v>49</v>
      </c>
      <c r="G976" s="8" t="s">
        <v>387</v>
      </c>
      <c r="H976" s="8"/>
      <c r="I976" s="10">
        <v>45114</v>
      </c>
      <c r="J976" s="8" t="s">
        <v>563</v>
      </c>
    </row>
    <row r="977" spans="1:10" x14ac:dyDescent="0.15">
      <c r="A977" s="7">
        <v>45127</v>
      </c>
      <c r="B977" s="8" t="s">
        <v>22</v>
      </c>
      <c r="C977" s="8" t="s">
        <v>168</v>
      </c>
      <c r="D977" s="9" t="str">
        <f>HYPERLINK("https://www.marklines.com/en/global/267","PT. Astra Daihatsu Motor (ADM), Sunter (Jakarta) Plant")</f>
        <v>PT. Astra Daihatsu Motor (ADM), Sunter (Jakarta) Plant</v>
      </c>
      <c r="E977" s="8" t="s">
        <v>564</v>
      </c>
      <c r="F977" s="8" t="s">
        <v>49</v>
      </c>
      <c r="G977" s="8" t="s">
        <v>387</v>
      </c>
      <c r="H977" s="8"/>
      <c r="I977" s="10">
        <v>45114</v>
      </c>
      <c r="J977" s="8" t="s">
        <v>563</v>
      </c>
    </row>
    <row r="978" spans="1:10" x14ac:dyDescent="0.15">
      <c r="A978" s="7">
        <v>45127</v>
      </c>
      <c r="B978" s="8" t="s">
        <v>22</v>
      </c>
      <c r="C978" s="8" t="s">
        <v>168</v>
      </c>
      <c r="D978" s="9" t="str">
        <f>HYPERLINK("https://www.marklines.com/en/global/4301","PT. Astra Daihatsu Motor (ADM), Karawang Assembly Plant")</f>
        <v>PT. Astra Daihatsu Motor (ADM), Karawang Assembly Plant</v>
      </c>
      <c r="E978" s="8" t="s">
        <v>565</v>
      </c>
      <c r="F978" s="8" t="s">
        <v>49</v>
      </c>
      <c r="G978" s="8" t="s">
        <v>387</v>
      </c>
      <c r="H978" s="8"/>
      <c r="I978" s="10">
        <v>45114</v>
      </c>
      <c r="J978" s="8" t="s">
        <v>563</v>
      </c>
    </row>
    <row r="979" spans="1:10" x14ac:dyDescent="0.15">
      <c r="A979" s="7">
        <v>45127</v>
      </c>
      <c r="B979" s="8" t="s">
        <v>22</v>
      </c>
      <c r="C979" s="8" t="s">
        <v>168</v>
      </c>
      <c r="D979" s="9" t="str">
        <f>HYPERLINK("https://www.marklines.com/en/global/269","PT. Astra Daihatsu Motor (ADM), Karawang Plant")</f>
        <v>PT. Astra Daihatsu Motor (ADM), Karawang Plant</v>
      </c>
      <c r="E979" s="8" t="s">
        <v>566</v>
      </c>
      <c r="F979" s="8" t="s">
        <v>49</v>
      </c>
      <c r="G979" s="8" t="s">
        <v>387</v>
      </c>
      <c r="H979" s="8"/>
      <c r="I979" s="10">
        <v>45114</v>
      </c>
      <c r="J979" s="8" t="s">
        <v>563</v>
      </c>
    </row>
    <row r="980" spans="1:10" x14ac:dyDescent="0.15">
      <c r="A980" s="7">
        <v>45127</v>
      </c>
      <c r="B980" s="8" t="s">
        <v>53</v>
      </c>
      <c r="C980" s="8" t="s">
        <v>53</v>
      </c>
      <c r="D980" s="9" t="str">
        <f>HYPERLINK("https://www.marklines.com/en/global/10739","SVOLT Energy Thailand, Chon Buri plant")</f>
        <v>SVOLT Energy Thailand, Chon Buri plant</v>
      </c>
      <c r="E980" s="8" t="s">
        <v>559</v>
      </c>
      <c r="F980" s="8" t="s">
        <v>49</v>
      </c>
      <c r="G980" s="8" t="s">
        <v>170</v>
      </c>
      <c r="H980" s="8" t="s">
        <v>560</v>
      </c>
      <c r="I980" s="10">
        <v>45114</v>
      </c>
      <c r="J980" s="8" t="s">
        <v>567</v>
      </c>
    </row>
    <row r="981" spans="1:10" x14ac:dyDescent="0.15">
      <c r="A981" s="7">
        <v>45127</v>
      </c>
      <c r="B981" s="8" t="s">
        <v>22</v>
      </c>
      <c r="C981" s="8" t="s">
        <v>22</v>
      </c>
      <c r="D981" s="9" t="str">
        <f>HYPERLINK("https://www.marklines.com/en/global/10015","Tecno Art Research Co., Ltd. (Nagoya)")</f>
        <v>Tecno Art Research Co., Ltd. (Nagoya)</v>
      </c>
      <c r="E981" s="8" t="s">
        <v>568</v>
      </c>
      <c r="F981" s="8" t="s">
        <v>20</v>
      </c>
      <c r="G981" s="8" t="s">
        <v>23</v>
      </c>
      <c r="H981" s="8" t="s">
        <v>108</v>
      </c>
      <c r="I981" s="10">
        <v>45098</v>
      </c>
      <c r="J981" s="8" t="s">
        <v>569</v>
      </c>
    </row>
    <row r="982" spans="1:10" x14ac:dyDescent="0.15">
      <c r="A982" s="7">
        <v>45126</v>
      </c>
      <c r="B982" s="8" t="s">
        <v>39</v>
      </c>
      <c r="C982" s="8" t="s">
        <v>39</v>
      </c>
      <c r="D982" s="9" t="str">
        <f>HYPERLINK("https://www.marklines.com/en/global/2209","BMW AG, Regensburg Plant")</f>
        <v>BMW AG, Regensburg Plant</v>
      </c>
      <c r="E982" s="8" t="s">
        <v>570</v>
      </c>
      <c r="F982" s="8" t="s">
        <v>17</v>
      </c>
      <c r="G982" s="8" t="s">
        <v>21</v>
      </c>
      <c r="H982" s="8"/>
      <c r="I982" s="10">
        <v>45126</v>
      </c>
      <c r="J982" s="8" t="s">
        <v>571</v>
      </c>
    </row>
    <row r="983" spans="1:10" x14ac:dyDescent="0.15">
      <c r="A983" s="7">
        <v>45126</v>
      </c>
      <c r="B983" s="8" t="s">
        <v>93</v>
      </c>
      <c r="C983" s="8" t="s">
        <v>93</v>
      </c>
      <c r="D983" s="9" t="str">
        <f>HYPERLINK("https://www.marklines.com/en/global/10414","Verkor SA")</f>
        <v>Verkor SA</v>
      </c>
      <c r="E983" s="8" t="s">
        <v>97</v>
      </c>
      <c r="F983" s="8" t="s">
        <v>17</v>
      </c>
      <c r="G983" s="8" t="s">
        <v>40</v>
      </c>
      <c r="H983" s="8"/>
      <c r="I983" s="10">
        <v>45125</v>
      </c>
      <c r="J983" s="8" t="s">
        <v>572</v>
      </c>
    </row>
    <row r="984" spans="1:10" x14ac:dyDescent="0.15">
      <c r="A984" s="7">
        <v>45126</v>
      </c>
      <c r="B984" s="8" t="s">
        <v>93</v>
      </c>
      <c r="C984" s="8" t="s">
        <v>93</v>
      </c>
      <c r="D984" s="9" t="str">
        <f>HYPERLINK("https://www.marklines.com/en/global/10509","Verkor Gigafactory, Dunkirk Plant (tentative name)")</f>
        <v>Verkor Gigafactory, Dunkirk Plant (tentative name)</v>
      </c>
      <c r="E984" s="8" t="s">
        <v>98</v>
      </c>
      <c r="F984" s="8" t="s">
        <v>17</v>
      </c>
      <c r="G984" s="8" t="s">
        <v>40</v>
      </c>
      <c r="H984" s="8"/>
      <c r="I984" s="10">
        <v>45125</v>
      </c>
      <c r="J984" s="8" t="s">
        <v>572</v>
      </c>
    </row>
    <row r="985" spans="1:10" x14ac:dyDescent="0.15">
      <c r="A985" s="7">
        <v>45126</v>
      </c>
      <c r="B985" s="8" t="s">
        <v>60</v>
      </c>
      <c r="C985" s="8" t="s">
        <v>61</v>
      </c>
      <c r="D985" s="9" t="str">
        <f>HYPERLINK("https://www.marklines.com/en/global/9820","Mercedes-AMG GmbH, AMG engine plant (Affalterbach plant)")</f>
        <v>Mercedes-AMG GmbH, AMG engine plant (Affalterbach plant)</v>
      </c>
      <c r="E985" s="8" t="s">
        <v>573</v>
      </c>
      <c r="F985" s="8" t="s">
        <v>17</v>
      </c>
      <c r="G985" s="8" t="s">
        <v>21</v>
      </c>
      <c r="H985" s="8"/>
      <c r="I985" s="10">
        <v>45125</v>
      </c>
      <c r="J985" s="8" t="s">
        <v>574</v>
      </c>
    </row>
    <row r="986" spans="1:10" x14ac:dyDescent="0.15">
      <c r="A986" s="7">
        <v>45126</v>
      </c>
      <c r="B986" s="8" t="s">
        <v>43</v>
      </c>
      <c r="C986" s="8" t="s">
        <v>67</v>
      </c>
      <c r="D986" s="9" t="str">
        <f>HYPERLINK("https://www.marklines.com/en/global/10717","Volkswagen Innovation Hub Knoxville")</f>
        <v>Volkswagen Innovation Hub Knoxville</v>
      </c>
      <c r="E986" s="8" t="s">
        <v>575</v>
      </c>
      <c r="F986" s="8" t="s">
        <v>16</v>
      </c>
      <c r="G986" s="8" t="s">
        <v>11</v>
      </c>
      <c r="H986" s="8" t="s">
        <v>498</v>
      </c>
      <c r="I986" s="10">
        <v>45125</v>
      </c>
      <c r="J986" s="8" t="s">
        <v>576</v>
      </c>
    </row>
    <row r="987" spans="1:10" x14ac:dyDescent="0.15">
      <c r="A987" s="7">
        <v>45126</v>
      </c>
      <c r="B987" s="8" t="s">
        <v>12</v>
      </c>
      <c r="C987" s="8" t="s">
        <v>19</v>
      </c>
      <c r="D987" s="9" t="str">
        <f>HYPERLINK("https://www.marklines.com/en/global/2473","General Motors, Lansing Delta Township Plant")</f>
        <v>General Motors, Lansing Delta Township Plant</v>
      </c>
      <c r="E987" s="8" t="s">
        <v>577</v>
      </c>
      <c r="F987" s="8" t="s">
        <v>16</v>
      </c>
      <c r="G987" s="8" t="s">
        <v>11</v>
      </c>
      <c r="H987" s="8" t="s">
        <v>59</v>
      </c>
      <c r="I987" s="10">
        <v>45124</v>
      </c>
      <c r="J987" s="8" t="s">
        <v>578</v>
      </c>
    </row>
    <row r="988" spans="1:10" x14ac:dyDescent="0.15">
      <c r="A988" s="7">
        <v>45126</v>
      </c>
      <c r="B988" s="8" t="s">
        <v>12</v>
      </c>
      <c r="C988" s="8" t="s">
        <v>579</v>
      </c>
      <c r="D988" s="9" t="str">
        <f>HYPERLINK("https://www.marklines.com/en/global/2473","General Motors, Lansing Delta Township Plant")</f>
        <v>General Motors, Lansing Delta Township Plant</v>
      </c>
      <c r="E988" s="8" t="s">
        <v>577</v>
      </c>
      <c r="F988" s="8" t="s">
        <v>16</v>
      </c>
      <c r="G988" s="8" t="s">
        <v>11</v>
      </c>
      <c r="H988" s="8" t="s">
        <v>59</v>
      </c>
      <c r="I988" s="10">
        <v>45124</v>
      </c>
      <c r="J988" s="8" t="s">
        <v>578</v>
      </c>
    </row>
    <row r="989" spans="1:10" x14ac:dyDescent="0.15">
      <c r="A989" s="7">
        <v>45126</v>
      </c>
      <c r="B989" s="8" t="s">
        <v>580</v>
      </c>
      <c r="C989" s="8" t="s">
        <v>580</v>
      </c>
      <c r="D989" s="9" t="str">
        <f>HYPERLINK("https://www.marklines.com/en/global/10596","Lion Electric, Joliet plant")</f>
        <v>Lion Electric, Joliet plant</v>
      </c>
      <c r="E989" s="8" t="s">
        <v>581</v>
      </c>
      <c r="F989" s="8" t="s">
        <v>16</v>
      </c>
      <c r="G989" s="8" t="s">
        <v>11</v>
      </c>
      <c r="H989" s="8" t="s">
        <v>58</v>
      </c>
      <c r="I989" s="10">
        <v>45124</v>
      </c>
      <c r="J989" s="8" t="s">
        <v>582</v>
      </c>
    </row>
    <row r="990" spans="1:10" x14ac:dyDescent="0.15">
      <c r="A990" s="7">
        <v>45126</v>
      </c>
      <c r="B990" s="8" t="s">
        <v>580</v>
      </c>
      <c r="C990" s="8" t="s">
        <v>580</v>
      </c>
      <c r="D990" s="9" t="str">
        <f>HYPERLINK("https://www.marklines.com/en/global/10673","Lion Electric Mirabel Battery Plant")</f>
        <v>Lion Electric Mirabel Battery Plant</v>
      </c>
      <c r="E990" s="8" t="s">
        <v>583</v>
      </c>
      <c r="F990" s="8" t="s">
        <v>16</v>
      </c>
      <c r="G990" s="8" t="s">
        <v>82</v>
      </c>
      <c r="H990" s="8"/>
      <c r="I990" s="10">
        <v>45124</v>
      </c>
      <c r="J990" s="8" t="s">
        <v>582</v>
      </c>
    </row>
    <row r="991" spans="1:10" x14ac:dyDescent="0.15">
      <c r="A991" s="7">
        <v>45126</v>
      </c>
      <c r="B991" s="8" t="s">
        <v>12</v>
      </c>
      <c r="C991" s="8" t="s">
        <v>19</v>
      </c>
      <c r="D991" s="9" t="str">
        <f>HYPERLINK("https://www.marklines.com/en/global/2541","General Motors Canada, Ingersoll Plant")</f>
        <v>General Motors Canada, Ingersoll Plant</v>
      </c>
      <c r="E991" s="8" t="s">
        <v>584</v>
      </c>
      <c r="F991" s="8" t="s">
        <v>16</v>
      </c>
      <c r="G991" s="8" t="s">
        <v>82</v>
      </c>
      <c r="H991" s="8"/>
      <c r="I991" s="10">
        <v>45120</v>
      </c>
      <c r="J991" s="8" t="s">
        <v>585</v>
      </c>
    </row>
    <row r="992" spans="1:10" x14ac:dyDescent="0.15">
      <c r="A992" s="7">
        <v>45126</v>
      </c>
      <c r="B992" s="8" t="s">
        <v>12</v>
      </c>
      <c r="C992" s="8" t="s">
        <v>12</v>
      </c>
      <c r="D992" s="9" t="str">
        <f>HYPERLINK("https://www.marklines.com/en/global/9976","Ultium Cells LLC, Warren Plant ")</f>
        <v xml:space="preserve">Ultium Cells LLC, Warren Plant </v>
      </c>
      <c r="E992" s="8" t="s">
        <v>586</v>
      </c>
      <c r="F992" s="8" t="s">
        <v>16</v>
      </c>
      <c r="G992" s="8" t="s">
        <v>11</v>
      </c>
      <c r="H992" s="8" t="s">
        <v>587</v>
      </c>
      <c r="I992" s="10">
        <v>45120</v>
      </c>
      <c r="J992" s="8" t="s">
        <v>585</v>
      </c>
    </row>
    <row r="993" spans="1:10" x14ac:dyDescent="0.15">
      <c r="A993" s="7">
        <v>45126</v>
      </c>
      <c r="B993" s="8" t="s">
        <v>24</v>
      </c>
      <c r="C993" s="8" t="s">
        <v>24</v>
      </c>
      <c r="D993" s="9" t="str">
        <f>HYPERLINK("https://www.marklines.com/en/global/857","Ford Motor Mexico, Cuautitlan Stamping and Assembly Plant")</f>
        <v>Ford Motor Mexico, Cuautitlan Stamping and Assembly Plant</v>
      </c>
      <c r="E993" s="8" t="s">
        <v>588</v>
      </c>
      <c r="F993" s="8" t="s">
        <v>16</v>
      </c>
      <c r="G993" s="8" t="s">
        <v>430</v>
      </c>
      <c r="H993" s="8"/>
      <c r="I993" s="10">
        <v>45120</v>
      </c>
      <c r="J993" s="8" t="s">
        <v>589</v>
      </c>
    </row>
    <row r="994" spans="1:10" x14ac:dyDescent="0.15">
      <c r="A994" s="7">
        <v>45126</v>
      </c>
      <c r="B994" s="8" t="s">
        <v>53</v>
      </c>
      <c r="C994" s="8" t="s">
        <v>135</v>
      </c>
      <c r="D994" s="9" t="str">
        <f>HYPERLINK("https://www.marklines.com/en/global/10420","Great Wall Motor Co., Ltd. Jingmen Branch")</f>
        <v>Great Wall Motor Co., Ltd. Jingmen Branch</v>
      </c>
      <c r="E994" s="8" t="s">
        <v>149</v>
      </c>
      <c r="F994" s="8" t="s">
        <v>20</v>
      </c>
      <c r="G994" s="8" t="s">
        <v>27</v>
      </c>
      <c r="H994" s="8" t="s">
        <v>46</v>
      </c>
      <c r="I994" s="10">
        <v>45120</v>
      </c>
      <c r="J994" s="8" t="s">
        <v>590</v>
      </c>
    </row>
    <row r="995" spans="1:10" x14ac:dyDescent="0.15">
      <c r="A995" s="7">
        <v>45126</v>
      </c>
      <c r="B995" s="8" t="s">
        <v>100</v>
      </c>
      <c r="C995" s="8" t="s">
        <v>100</v>
      </c>
      <c r="D995" s="9" t="str">
        <f>HYPERLINK("https://www.marklines.com/en/global/3951","Zhengzhou Nissan Automobile Co., Ltd. ")</f>
        <v xml:space="preserve">Zhengzhou Nissan Automobile Co., Ltd. </v>
      </c>
      <c r="E995" s="8" t="s">
        <v>591</v>
      </c>
      <c r="F995" s="8" t="s">
        <v>20</v>
      </c>
      <c r="G995" s="8" t="s">
        <v>27</v>
      </c>
      <c r="H995" s="8" t="s">
        <v>47</v>
      </c>
      <c r="I995" s="10">
        <v>45120</v>
      </c>
      <c r="J995" s="8" t="s">
        <v>592</v>
      </c>
    </row>
    <row r="996" spans="1:10" x14ac:dyDescent="0.15">
      <c r="A996" s="7">
        <v>45126</v>
      </c>
      <c r="B996" s="8" t="s">
        <v>437</v>
      </c>
      <c r="C996" s="8" t="s">
        <v>437</v>
      </c>
      <c r="D996" s="9" t="str">
        <f>HYPERLINK("https://www.marklines.com/en/global/3951","Zhengzhou Nissan Automobile Co., Ltd. ")</f>
        <v xml:space="preserve">Zhengzhou Nissan Automobile Co., Ltd. </v>
      </c>
      <c r="E996" s="8" t="s">
        <v>591</v>
      </c>
      <c r="F996" s="8" t="s">
        <v>20</v>
      </c>
      <c r="G996" s="8" t="s">
        <v>27</v>
      </c>
      <c r="H996" s="8" t="s">
        <v>47</v>
      </c>
      <c r="I996" s="10">
        <v>45120</v>
      </c>
      <c r="J996" s="8" t="s">
        <v>592</v>
      </c>
    </row>
    <row r="997" spans="1:10" x14ac:dyDescent="0.15">
      <c r="A997" s="7">
        <v>45125</v>
      </c>
      <c r="B997" s="8" t="s">
        <v>174</v>
      </c>
      <c r="C997" s="8" t="s">
        <v>174</v>
      </c>
      <c r="D997" s="9" t="str">
        <f>HYPERLINK("https://www.marklines.com/en/global/737","Kamaz, Naberezhnye Chelny Plant")</f>
        <v>Kamaz, Naberezhnye Chelny Plant</v>
      </c>
      <c r="E997" s="8" t="s">
        <v>593</v>
      </c>
      <c r="F997" s="8" t="s">
        <v>18</v>
      </c>
      <c r="G997" s="8" t="s">
        <v>14</v>
      </c>
      <c r="H997" s="8"/>
      <c r="I997" s="10">
        <v>45124</v>
      </c>
      <c r="J997" s="8" t="s">
        <v>594</v>
      </c>
    </row>
    <row r="998" spans="1:10" x14ac:dyDescent="0.15">
      <c r="A998" s="7">
        <v>45125</v>
      </c>
      <c r="B998" s="8" t="s">
        <v>148</v>
      </c>
      <c r="C998" s="8" t="s">
        <v>148</v>
      </c>
      <c r="D998" s="9" t="str">
        <f>HYPERLINK("https://www.marklines.com/en/global/8751","former MAZDA SOLLERS Manufacturing Rus (MSMR), Vladivostok Plant")</f>
        <v>former MAZDA SOLLERS Manufacturing Rus (MSMR), Vladivostok Plant</v>
      </c>
      <c r="E998" s="8" t="s">
        <v>595</v>
      </c>
      <c r="F998" s="8" t="s">
        <v>18</v>
      </c>
      <c r="G998" s="8" t="s">
        <v>14</v>
      </c>
      <c r="H998" s="8"/>
      <c r="I998" s="10">
        <v>45124</v>
      </c>
      <c r="J998" s="8" t="s">
        <v>596</v>
      </c>
    </row>
    <row r="999" spans="1:10" x14ac:dyDescent="0.15">
      <c r="A999" s="7">
        <v>45125</v>
      </c>
      <c r="B999" s="8" t="s">
        <v>13</v>
      </c>
      <c r="C999" s="8" t="s">
        <v>444</v>
      </c>
      <c r="D999" s="9" t="str">
        <f>HYPERLINK("https://www.marklines.com/en/global/8751","former MAZDA SOLLERS Manufacturing Rus (MSMR), Vladivostok Plant")</f>
        <v>former MAZDA SOLLERS Manufacturing Rus (MSMR), Vladivostok Plant</v>
      </c>
      <c r="E999" s="8" t="s">
        <v>595</v>
      </c>
      <c r="F999" s="8" t="s">
        <v>18</v>
      </c>
      <c r="G999" s="8" t="s">
        <v>14</v>
      </c>
      <c r="H999" s="8"/>
      <c r="I999" s="10">
        <v>45124</v>
      </c>
      <c r="J999" s="8" t="s">
        <v>596</v>
      </c>
    </row>
    <row r="1000" spans="1:10" x14ac:dyDescent="0.15">
      <c r="A1000" s="7">
        <v>45125</v>
      </c>
      <c r="B1000" s="8" t="s">
        <v>13</v>
      </c>
      <c r="C1000" s="8" t="s">
        <v>13</v>
      </c>
      <c r="D1000" s="9" t="str">
        <f>HYPERLINK("https://www.marklines.com/en/global/757","JSC Moscow Automobile Plant Moskvich, Moscow Plant (former CJSC Renault Russia)")</f>
        <v>JSC Moscow Automobile Plant Moskvich, Moscow Plant (former CJSC Renault Russia)</v>
      </c>
      <c r="E1000" s="8" t="s">
        <v>597</v>
      </c>
      <c r="F1000" s="8" t="s">
        <v>18</v>
      </c>
      <c r="G1000" s="8" t="s">
        <v>14</v>
      </c>
      <c r="H1000" s="8"/>
      <c r="I1000" s="10">
        <v>45124</v>
      </c>
      <c r="J1000" s="8" t="s">
        <v>598</v>
      </c>
    </row>
    <row r="1001" spans="1:10" x14ac:dyDescent="0.15">
      <c r="A1001" s="7">
        <v>45125</v>
      </c>
      <c r="B1001" s="8" t="s">
        <v>43</v>
      </c>
      <c r="C1001" s="8" t="s">
        <v>599</v>
      </c>
      <c r="D1001" s="9" t="str">
        <f>HYPERLINK("https://www.marklines.com/en/global/1955","SEAT S.A., Martorell Plant")</f>
        <v>SEAT S.A., Martorell Plant</v>
      </c>
      <c r="E1001" s="8" t="s">
        <v>600</v>
      </c>
      <c r="F1001" s="8" t="s">
        <v>17</v>
      </c>
      <c r="G1001" s="8" t="s">
        <v>114</v>
      </c>
      <c r="H1001" s="8"/>
      <c r="I1001" s="10">
        <v>45124</v>
      </c>
      <c r="J1001" s="8" t="s">
        <v>601</v>
      </c>
    </row>
    <row r="1002" spans="1:10" x14ac:dyDescent="0.15">
      <c r="A1002" s="7">
        <v>45125</v>
      </c>
      <c r="B1002" s="8" t="s">
        <v>43</v>
      </c>
      <c r="C1002" s="8" t="s">
        <v>393</v>
      </c>
      <c r="D1002" s="9" t="str">
        <f>HYPERLINK("https://www.marklines.com/en/global/10650","PowerCo SE, Sagunto Gigafactory")</f>
        <v>PowerCo SE, Sagunto Gigafactory</v>
      </c>
      <c r="E1002" s="8" t="s">
        <v>602</v>
      </c>
      <c r="F1002" s="8" t="s">
        <v>17</v>
      </c>
      <c r="G1002" s="8" t="s">
        <v>114</v>
      </c>
      <c r="H1002" s="8"/>
      <c r="I1002" s="10">
        <v>45124</v>
      </c>
      <c r="J1002" s="8" t="s">
        <v>601</v>
      </c>
    </row>
    <row r="1003" spans="1:10" x14ac:dyDescent="0.15">
      <c r="A1003" s="7">
        <v>45125</v>
      </c>
      <c r="B1003" s="8" t="s">
        <v>43</v>
      </c>
      <c r="C1003" s="8" t="s">
        <v>603</v>
      </c>
      <c r="D1003" s="9" t="str">
        <f>HYPERLINK("https://www.marklines.com/en/global/1955","SEAT S.A., Martorell Plant")</f>
        <v>SEAT S.A., Martorell Plant</v>
      </c>
      <c r="E1003" s="8" t="s">
        <v>600</v>
      </c>
      <c r="F1003" s="8" t="s">
        <v>17</v>
      </c>
      <c r="G1003" s="8" t="s">
        <v>114</v>
      </c>
      <c r="H1003" s="8"/>
      <c r="I1003" s="10">
        <v>45124</v>
      </c>
      <c r="J1003" s="8" t="s">
        <v>601</v>
      </c>
    </row>
    <row r="1004" spans="1:10" x14ac:dyDescent="0.15">
      <c r="A1004" s="7">
        <v>45125</v>
      </c>
      <c r="B1004" s="8" t="s">
        <v>12</v>
      </c>
      <c r="C1004" s="8" t="s">
        <v>19</v>
      </c>
      <c r="D1004" s="9" t="str">
        <f>HYPERLINK("https://www.marklines.com/en/global/2473","General Motors, Lansing Delta Township Plant")</f>
        <v>General Motors, Lansing Delta Township Plant</v>
      </c>
      <c r="E1004" s="8" t="s">
        <v>577</v>
      </c>
      <c r="F1004" s="8" t="s">
        <v>16</v>
      </c>
      <c r="G1004" s="8" t="s">
        <v>11</v>
      </c>
      <c r="H1004" s="8" t="s">
        <v>59</v>
      </c>
      <c r="I1004" s="10">
        <v>45124</v>
      </c>
      <c r="J1004" s="8" t="s">
        <v>604</v>
      </c>
    </row>
    <row r="1005" spans="1:10" x14ac:dyDescent="0.15">
      <c r="A1005" s="7">
        <v>45125</v>
      </c>
      <c r="B1005" s="8" t="s">
        <v>24</v>
      </c>
      <c r="C1005" s="8" t="s">
        <v>24</v>
      </c>
      <c r="D1005" s="9" t="str">
        <f>HYPERLINK("https://www.marklines.com/en/global/10376","Ford Motor, Rouge Electric Vehicle Center")</f>
        <v>Ford Motor, Rouge Electric Vehicle Center</v>
      </c>
      <c r="E1005" s="8" t="s">
        <v>605</v>
      </c>
      <c r="F1005" s="8" t="s">
        <v>16</v>
      </c>
      <c r="G1005" s="8" t="s">
        <v>11</v>
      </c>
      <c r="H1005" s="8" t="s">
        <v>59</v>
      </c>
      <c r="I1005" s="10">
        <v>45124</v>
      </c>
      <c r="J1005" s="8" t="s">
        <v>606</v>
      </c>
    </row>
    <row r="1006" spans="1:10" x14ac:dyDescent="0.15">
      <c r="A1006" s="7">
        <v>45125</v>
      </c>
      <c r="B1006" s="8" t="s">
        <v>34</v>
      </c>
      <c r="C1006" s="8" t="s">
        <v>34</v>
      </c>
      <c r="D1006" s="9" t="str">
        <f>HYPERLINK("https://www.marklines.com/en/global/10321","Tesla Gigafactory Texas")</f>
        <v>Tesla Gigafactory Texas</v>
      </c>
      <c r="E1006" s="8" t="s">
        <v>35</v>
      </c>
      <c r="F1006" s="8" t="s">
        <v>16</v>
      </c>
      <c r="G1006" s="8" t="s">
        <v>11</v>
      </c>
      <c r="H1006" s="8" t="s">
        <v>36</v>
      </c>
      <c r="I1006" s="10">
        <v>45122</v>
      </c>
      <c r="J1006" s="8" t="s">
        <v>607</v>
      </c>
    </row>
    <row r="1007" spans="1:10" x14ac:dyDescent="0.15">
      <c r="A1007" s="7">
        <v>45125</v>
      </c>
      <c r="B1007" s="8" t="s">
        <v>39</v>
      </c>
      <c r="C1007" s="8" t="s">
        <v>39</v>
      </c>
      <c r="D1007" s="9" t="str">
        <f>HYPERLINK("https://www.marklines.com/en/global/9255","BMW Mexico, San Luis Potosi Plant")</f>
        <v>BMW Mexico, San Luis Potosi Plant</v>
      </c>
      <c r="E1007" s="8" t="s">
        <v>608</v>
      </c>
      <c r="F1007" s="8" t="s">
        <v>16</v>
      </c>
      <c r="G1007" s="8" t="s">
        <v>430</v>
      </c>
      <c r="H1007" s="8"/>
      <c r="I1007" s="10">
        <v>45121</v>
      </c>
      <c r="J1007" s="8" t="s">
        <v>609</v>
      </c>
    </row>
    <row r="1008" spans="1:10" x14ac:dyDescent="0.15">
      <c r="A1008" s="7">
        <v>45125</v>
      </c>
      <c r="B1008" s="8" t="s">
        <v>610</v>
      </c>
      <c r="C1008" s="8" t="s">
        <v>610</v>
      </c>
      <c r="D1008" s="9" t="str">
        <f>HYPERLINK("https://www.marklines.com/en/global/10633","Former JSC Isuzu Rus, Ulyanovsk Plant")</f>
        <v>Former JSC Isuzu Rus, Ulyanovsk Plant</v>
      </c>
      <c r="E1008" s="8" t="s">
        <v>611</v>
      </c>
      <c r="F1008" s="8" t="s">
        <v>18</v>
      </c>
      <c r="G1008" s="8" t="s">
        <v>14</v>
      </c>
      <c r="H1008" s="8"/>
      <c r="I1008" s="10">
        <v>45121</v>
      </c>
      <c r="J1008" s="8" t="s">
        <v>612</v>
      </c>
    </row>
    <row r="1009" spans="1:10" x14ac:dyDescent="0.15">
      <c r="A1009" s="7">
        <v>45125</v>
      </c>
      <c r="B1009" s="8" t="s">
        <v>13</v>
      </c>
      <c r="C1009" s="8" t="s">
        <v>444</v>
      </c>
      <c r="D1009" s="9" t="str">
        <f>HYPERLINK("https://www.marklines.com/en/global/10633","Former JSC Isuzu Rus, Ulyanovsk Plant")</f>
        <v>Former JSC Isuzu Rus, Ulyanovsk Plant</v>
      </c>
      <c r="E1009" s="8" t="s">
        <v>611</v>
      </c>
      <c r="F1009" s="8" t="s">
        <v>18</v>
      </c>
      <c r="G1009" s="8" t="s">
        <v>14</v>
      </c>
      <c r="H1009" s="8"/>
      <c r="I1009" s="10">
        <v>45121</v>
      </c>
      <c r="J1009" s="8" t="s">
        <v>612</v>
      </c>
    </row>
    <row r="1010" spans="1:10" x14ac:dyDescent="0.15">
      <c r="A1010" s="7">
        <v>45124</v>
      </c>
      <c r="B1010" s="8" t="s">
        <v>198</v>
      </c>
      <c r="C1010" s="8" t="s">
        <v>198</v>
      </c>
      <c r="D1010" s="9" t="str">
        <f>HYPERLINK("https://www.marklines.com/en/global/1809","Magna Steyr Fahrzeugtechnik AG &amp; Co KG, Graz Plant")</f>
        <v>Magna Steyr Fahrzeugtechnik AG &amp; Co KG, Graz Plant</v>
      </c>
      <c r="E1010" s="8" t="s">
        <v>101</v>
      </c>
      <c r="F1010" s="8" t="s">
        <v>17</v>
      </c>
      <c r="G1010" s="8" t="s">
        <v>102</v>
      </c>
      <c r="H1010" s="8"/>
      <c r="I1010" s="10">
        <v>45124</v>
      </c>
      <c r="J1010" s="8" t="s">
        <v>313</v>
      </c>
    </row>
    <row r="1011" spans="1:10" x14ac:dyDescent="0.15">
      <c r="A1011" s="7">
        <v>45124</v>
      </c>
      <c r="B1011" s="8" t="s">
        <v>29</v>
      </c>
      <c r="C1011" s="8" t="s">
        <v>141</v>
      </c>
      <c r="D1011" s="9" t="str">
        <f>HYPERLINK("https://www.marklines.com/en/global/10539","NOVO Energy AB, Torslanda (tentative name)")</f>
        <v>NOVO Energy AB, Torslanda (tentative name)</v>
      </c>
      <c r="E1011" s="8" t="s">
        <v>314</v>
      </c>
      <c r="F1011" s="8" t="s">
        <v>17</v>
      </c>
      <c r="G1011" s="8" t="s">
        <v>80</v>
      </c>
      <c r="H1011" s="8"/>
      <c r="I1011" s="10">
        <v>45121</v>
      </c>
      <c r="J1011" s="8" t="s">
        <v>315</v>
      </c>
    </row>
    <row r="1012" spans="1:10" x14ac:dyDescent="0.15">
      <c r="A1012" s="7">
        <v>45124</v>
      </c>
      <c r="B1012" s="8" t="s">
        <v>13</v>
      </c>
      <c r="C1012" s="8" t="s">
        <v>316</v>
      </c>
      <c r="D1012" s="9" t="str">
        <f>HYPERLINK("https://www.marklines.com/en/global/9591","JBM Auto Limited, Bus division, Kosi Bus plant")</f>
        <v>JBM Auto Limited, Bus division, Kosi Bus plant</v>
      </c>
      <c r="E1012" s="8" t="s">
        <v>317</v>
      </c>
      <c r="F1012" s="8" t="s">
        <v>25</v>
      </c>
      <c r="G1012" s="8" t="s">
        <v>26</v>
      </c>
      <c r="H1012" s="8" t="s">
        <v>318</v>
      </c>
      <c r="I1012" s="10">
        <v>45120</v>
      </c>
      <c r="J1012" s="8" t="s">
        <v>319</v>
      </c>
    </row>
    <row r="1013" spans="1:10" x14ac:dyDescent="0.15">
      <c r="A1013" s="7">
        <v>45124</v>
      </c>
      <c r="B1013" s="8" t="s">
        <v>43</v>
      </c>
      <c r="C1013" s="8" t="s">
        <v>77</v>
      </c>
      <c r="D1013" s="9" t="str">
        <f>HYPERLINK("https://www.marklines.com/en/global/2171","MAN Truck &amp; Bus, Munich Plant")</f>
        <v>MAN Truck &amp; Bus, Munich Plant</v>
      </c>
      <c r="E1013" s="8" t="s">
        <v>78</v>
      </c>
      <c r="F1013" s="8" t="s">
        <v>17</v>
      </c>
      <c r="G1013" s="8" t="s">
        <v>21</v>
      </c>
      <c r="H1013" s="8"/>
      <c r="I1013" s="10">
        <v>45120</v>
      </c>
      <c r="J1013" s="8" t="s">
        <v>320</v>
      </c>
    </row>
    <row r="1014" spans="1:10" x14ac:dyDescent="0.15">
      <c r="A1014" s="7">
        <v>45124</v>
      </c>
      <c r="B1014" s="8" t="s">
        <v>321</v>
      </c>
      <c r="C1014" s="8" t="s">
        <v>322</v>
      </c>
      <c r="D1014" s="9" t="str">
        <f>HYPERLINK("https://www.marklines.com/en/global/8808","GAC Mitsubishi Motors Co., Ltd. (GMMC)")</f>
        <v>GAC Mitsubishi Motors Co., Ltd. (GMMC)</v>
      </c>
      <c r="E1014" s="8" t="s">
        <v>323</v>
      </c>
      <c r="F1014" s="8" t="s">
        <v>20</v>
      </c>
      <c r="G1014" s="8" t="s">
        <v>27</v>
      </c>
      <c r="H1014" s="8" t="s">
        <v>112</v>
      </c>
      <c r="I1014" s="10">
        <v>45120</v>
      </c>
      <c r="J1014" s="8" t="s">
        <v>324</v>
      </c>
    </row>
    <row r="1015" spans="1:10" x14ac:dyDescent="0.15">
      <c r="A1015" s="7">
        <v>45124</v>
      </c>
      <c r="B1015" s="8" t="s">
        <v>62</v>
      </c>
      <c r="C1015" s="8" t="s">
        <v>62</v>
      </c>
      <c r="D1015" s="9" t="str">
        <f>HYPERLINK("https://www.marklines.com/en/global/9390","Chery New Energy Automotive Co., Ltd. (Formerly Chery New Energy Technology Automotive Co., Ltd.)")</f>
        <v>Chery New Energy Automotive Co., Ltd. (Formerly Chery New Energy Technology Automotive Co., Ltd.)</v>
      </c>
      <c r="E1015" s="8" t="s">
        <v>325</v>
      </c>
      <c r="F1015" s="8" t="s">
        <v>20</v>
      </c>
      <c r="G1015" s="8" t="s">
        <v>27</v>
      </c>
      <c r="H1015" s="8" t="s">
        <v>326</v>
      </c>
      <c r="I1015" s="10">
        <v>45119</v>
      </c>
      <c r="J1015" s="8" t="s">
        <v>327</v>
      </c>
    </row>
    <row r="1016" spans="1:10" x14ac:dyDescent="0.15">
      <c r="A1016" s="7">
        <v>45124</v>
      </c>
      <c r="B1016" s="8" t="s">
        <v>328</v>
      </c>
      <c r="C1016" s="8" t="s">
        <v>329</v>
      </c>
      <c r="D1016" s="9" t="str">
        <f>HYPERLINK("https://www.marklines.com/en/global/10395","ADM-Jizzakh (Lada)")</f>
        <v>ADM-Jizzakh (Lada)</v>
      </c>
      <c r="E1016" s="8" t="s">
        <v>330</v>
      </c>
      <c r="F1016" s="8" t="s">
        <v>18</v>
      </c>
      <c r="G1016" s="8" t="s">
        <v>181</v>
      </c>
      <c r="H1016" s="8"/>
      <c r="I1016" s="10">
        <v>45114</v>
      </c>
      <c r="J1016" s="8" t="s">
        <v>331</v>
      </c>
    </row>
    <row r="1017" spans="1:10" x14ac:dyDescent="0.15">
      <c r="A1017" s="7">
        <v>45122</v>
      </c>
      <c r="B1017" s="8" t="s">
        <v>68</v>
      </c>
      <c r="C1017" s="8" t="s">
        <v>72</v>
      </c>
      <c r="D1017" s="9" t="str">
        <f>HYPERLINK("https://www.marklines.com/en/global/10153","Stellantis, PSA Tech Center (Porto Real)")</f>
        <v>Stellantis, PSA Tech Center (Porto Real)</v>
      </c>
      <c r="E1017" s="8" t="s">
        <v>332</v>
      </c>
      <c r="F1017" s="8" t="s">
        <v>74</v>
      </c>
      <c r="G1017" s="8" t="s">
        <v>75</v>
      </c>
      <c r="H1017" s="8"/>
      <c r="I1017" s="10">
        <v>45118</v>
      </c>
      <c r="J1017" s="8" t="s">
        <v>333</v>
      </c>
    </row>
    <row r="1018" spans="1:10" x14ac:dyDescent="0.15">
      <c r="A1018" s="7">
        <v>45122</v>
      </c>
      <c r="B1018" s="8" t="s">
        <v>68</v>
      </c>
      <c r="C1018" s="8" t="s">
        <v>79</v>
      </c>
      <c r="D1018" s="9" t="str">
        <f>HYPERLINK("https://www.marklines.com/en/global/8835","Stellantis, Fiat Powertrain Technologies, Betim Plant")</f>
        <v>Stellantis, Fiat Powertrain Technologies, Betim Plant</v>
      </c>
      <c r="E1018" s="8" t="s">
        <v>334</v>
      </c>
      <c r="F1018" s="8" t="s">
        <v>74</v>
      </c>
      <c r="G1018" s="8" t="s">
        <v>75</v>
      </c>
      <c r="H1018" s="8"/>
      <c r="I1018" s="10">
        <v>45118</v>
      </c>
      <c r="J1018" s="8" t="s">
        <v>333</v>
      </c>
    </row>
    <row r="1019" spans="1:10" x14ac:dyDescent="0.15">
      <c r="A1019" s="7">
        <v>45122</v>
      </c>
      <c r="B1019" s="8" t="s">
        <v>68</v>
      </c>
      <c r="C1019" s="8" t="s">
        <v>79</v>
      </c>
      <c r="D1019" s="9" t="str">
        <f>HYPERLINK("https://www.marklines.com/en/global/10143","Stellantis, FCA Latam Design Center, Betim")</f>
        <v>Stellantis, FCA Latam Design Center, Betim</v>
      </c>
      <c r="E1019" s="8" t="s">
        <v>335</v>
      </c>
      <c r="F1019" s="8" t="s">
        <v>74</v>
      </c>
      <c r="G1019" s="8" t="s">
        <v>75</v>
      </c>
      <c r="H1019" s="8"/>
      <c r="I1019" s="10">
        <v>45118</v>
      </c>
      <c r="J1019" s="8" t="s">
        <v>333</v>
      </c>
    </row>
    <row r="1020" spans="1:10" x14ac:dyDescent="0.15">
      <c r="A1020" s="7">
        <v>45122</v>
      </c>
      <c r="B1020" s="8" t="s">
        <v>68</v>
      </c>
      <c r="C1020" s="8" t="s">
        <v>79</v>
      </c>
      <c r="D1020" s="9" t="str">
        <f>HYPERLINK("https://www.marklines.com/en/global/2833","Stellantis, FCA Brazil, Betim Plant")</f>
        <v>Stellantis, FCA Brazil, Betim Plant</v>
      </c>
      <c r="E1020" s="8" t="s">
        <v>336</v>
      </c>
      <c r="F1020" s="8" t="s">
        <v>74</v>
      </c>
      <c r="G1020" s="8" t="s">
        <v>75</v>
      </c>
      <c r="H1020" s="8"/>
      <c r="I1020" s="10">
        <v>45118</v>
      </c>
      <c r="J1020" s="8" t="s">
        <v>333</v>
      </c>
    </row>
    <row r="1021" spans="1:10" x14ac:dyDescent="0.15">
      <c r="A1021" s="7">
        <v>45121</v>
      </c>
      <c r="B1021" s="8" t="s">
        <v>65</v>
      </c>
      <c r="C1021" s="8" t="s">
        <v>66</v>
      </c>
      <c r="D1021" s="9" t="str">
        <f>HYPERLINK("https://www.marklines.com/en/global/9483","Kia India, Anantapur Plant")</f>
        <v>Kia India, Anantapur Plant</v>
      </c>
      <c r="E1021" s="8" t="s">
        <v>337</v>
      </c>
      <c r="F1021" s="8" t="s">
        <v>25</v>
      </c>
      <c r="G1021" s="8" t="s">
        <v>26</v>
      </c>
      <c r="H1021" s="8" t="s">
        <v>338</v>
      </c>
      <c r="I1021" s="10">
        <v>45121</v>
      </c>
      <c r="J1021" s="8" t="s">
        <v>339</v>
      </c>
    </row>
    <row r="1022" spans="1:10" x14ac:dyDescent="0.15">
      <c r="A1022" s="7">
        <v>45121</v>
      </c>
      <c r="B1022" s="8" t="s">
        <v>65</v>
      </c>
      <c r="C1022" s="8" t="s">
        <v>65</v>
      </c>
      <c r="D1022" s="9" t="str">
        <f>HYPERLINK("https://www.marklines.com/en/global/2435","Hyundai Motor, Ulsan Plant")</f>
        <v>Hyundai Motor, Ulsan Plant</v>
      </c>
      <c r="E1022" s="8" t="s">
        <v>340</v>
      </c>
      <c r="F1022" s="8" t="s">
        <v>20</v>
      </c>
      <c r="G1022" s="8" t="s">
        <v>341</v>
      </c>
      <c r="H1022" s="8"/>
      <c r="I1022" s="10">
        <v>45120</v>
      </c>
      <c r="J1022" s="8" t="s">
        <v>342</v>
      </c>
    </row>
    <row r="1023" spans="1:10" x14ac:dyDescent="0.15">
      <c r="A1023" s="7">
        <v>45121</v>
      </c>
      <c r="B1023" s="8" t="s">
        <v>43</v>
      </c>
      <c r="C1023" s="8" t="s">
        <v>127</v>
      </c>
      <c r="D1023" s="9" t="str">
        <f>HYPERLINK("https://www.marklines.com/en/global/9858","Audi AG, Audi Sport GmbH, Böllinger Höfe Plant")</f>
        <v>Audi AG, Audi Sport GmbH, Böllinger Höfe Plant</v>
      </c>
      <c r="E1023" s="8" t="s">
        <v>343</v>
      </c>
      <c r="F1023" s="8" t="s">
        <v>17</v>
      </c>
      <c r="G1023" s="8" t="s">
        <v>21</v>
      </c>
      <c r="H1023" s="8"/>
      <c r="I1023" s="10">
        <v>45120</v>
      </c>
      <c r="J1023" s="8" t="s">
        <v>344</v>
      </c>
    </row>
    <row r="1024" spans="1:10" x14ac:dyDescent="0.15">
      <c r="A1024" s="7">
        <v>45121</v>
      </c>
      <c r="B1024" s="8" t="s">
        <v>93</v>
      </c>
      <c r="C1024" s="8" t="s">
        <v>93</v>
      </c>
      <c r="D1024" s="9" t="str">
        <f>HYPERLINK("https://www.marklines.com/en/global/169","Renault S.A., Douai (Georges Besse) Plant")</f>
        <v>Renault S.A., Douai (Georges Besse) Plant</v>
      </c>
      <c r="E1024" s="8" t="s">
        <v>345</v>
      </c>
      <c r="F1024" s="8" t="s">
        <v>17</v>
      </c>
      <c r="G1024" s="8" t="s">
        <v>40</v>
      </c>
      <c r="H1024" s="8"/>
      <c r="I1024" s="10">
        <v>45120</v>
      </c>
      <c r="J1024" s="8" t="s">
        <v>346</v>
      </c>
    </row>
    <row r="1025" spans="1:10" x14ac:dyDescent="0.15">
      <c r="A1025" s="7">
        <v>45121</v>
      </c>
      <c r="B1025" s="8" t="s">
        <v>43</v>
      </c>
      <c r="C1025" s="8" t="s">
        <v>347</v>
      </c>
      <c r="D1025" s="9" t="str">
        <f>HYPERLINK("https://www.marklines.com/en/global/1739","Škoda Auto, Mladá Boleslav Plant")</f>
        <v>Škoda Auto, Mladá Boleslav Plant</v>
      </c>
      <c r="E1025" s="8" t="s">
        <v>348</v>
      </c>
      <c r="F1025" s="8" t="s">
        <v>18</v>
      </c>
      <c r="G1025" s="8" t="s">
        <v>349</v>
      </c>
      <c r="H1025" s="8"/>
      <c r="I1025" s="10">
        <v>45120</v>
      </c>
      <c r="J1025" s="8" t="s">
        <v>350</v>
      </c>
    </row>
    <row r="1026" spans="1:10" x14ac:dyDescent="0.15">
      <c r="A1026" s="7">
        <v>45121</v>
      </c>
      <c r="B1026" s="8" t="s">
        <v>12</v>
      </c>
      <c r="C1026" s="8" t="s">
        <v>351</v>
      </c>
      <c r="D1026" s="9" t="str">
        <f>HYPERLINK("https://www.marklines.com/en/global/2459","General Motors, Factory ZERO (Detroit-Hamtramck Plant) ")</f>
        <v xml:space="preserve">General Motors, Factory ZERO (Detroit-Hamtramck Plant) </v>
      </c>
      <c r="E1026" s="8" t="s">
        <v>352</v>
      </c>
      <c r="F1026" s="8" t="s">
        <v>16</v>
      </c>
      <c r="G1026" s="8" t="s">
        <v>11</v>
      </c>
      <c r="H1026" s="8" t="s">
        <v>59</v>
      </c>
      <c r="I1026" s="10">
        <v>45120</v>
      </c>
      <c r="J1026" s="8" t="s">
        <v>353</v>
      </c>
    </row>
    <row r="1027" spans="1:10" x14ac:dyDescent="0.15">
      <c r="A1027" s="7">
        <v>45121</v>
      </c>
      <c r="B1027" s="8" t="s">
        <v>156</v>
      </c>
      <c r="C1027" s="8" t="s">
        <v>156</v>
      </c>
      <c r="D1027" s="9" t="str">
        <f>HYPERLINK("https://www.marklines.com/en/global/10448","Nikola Coolidge Manufacturing Facility")</f>
        <v>Nikola Coolidge Manufacturing Facility</v>
      </c>
      <c r="E1027" s="8" t="s">
        <v>354</v>
      </c>
      <c r="F1027" s="8" t="s">
        <v>16</v>
      </c>
      <c r="G1027" s="8" t="s">
        <v>11</v>
      </c>
      <c r="H1027" s="8" t="s">
        <v>355</v>
      </c>
      <c r="I1027" s="10">
        <v>45120</v>
      </c>
      <c r="J1027" s="8" t="s">
        <v>356</v>
      </c>
    </row>
    <row r="1028" spans="1:10" x14ac:dyDescent="0.15">
      <c r="A1028" s="7">
        <v>45121</v>
      </c>
      <c r="B1028" s="8" t="s">
        <v>34</v>
      </c>
      <c r="C1028" s="8" t="s">
        <v>34</v>
      </c>
      <c r="D1028" s="9" t="str">
        <f>HYPERLINK("https://www.marklines.com/en/global/9895","Tesla Gigafactory Berlin-Brandenburg")</f>
        <v>Tesla Gigafactory Berlin-Brandenburg</v>
      </c>
      <c r="E1028" s="8" t="s">
        <v>357</v>
      </c>
      <c r="F1028" s="8" t="s">
        <v>17</v>
      </c>
      <c r="G1028" s="8" t="s">
        <v>21</v>
      </c>
      <c r="H1028" s="8"/>
      <c r="I1028" s="10">
        <v>45119</v>
      </c>
      <c r="J1028" s="8" t="s">
        <v>358</v>
      </c>
    </row>
    <row r="1029" spans="1:10" x14ac:dyDescent="0.15">
      <c r="A1029" s="7">
        <v>45121</v>
      </c>
      <c r="B1029" s="8" t="s">
        <v>69</v>
      </c>
      <c r="C1029" s="8" t="s">
        <v>359</v>
      </c>
      <c r="D1029" s="9" t="str">
        <f>HYPERLINK("https://www.marklines.com/en/global/1345","FPT Industrial S.p.A., Turin Plant")</f>
        <v>FPT Industrial S.p.A., Turin Plant</v>
      </c>
      <c r="E1029" s="8" t="s">
        <v>360</v>
      </c>
      <c r="F1029" s="8" t="s">
        <v>17</v>
      </c>
      <c r="G1029" s="8" t="s">
        <v>70</v>
      </c>
      <c r="H1029" s="8"/>
      <c r="I1029" s="10">
        <v>45119</v>
      </c>
      <c r="J1029" s="8" t="s">
        <v>361</v>
      </c>
    </row>
    <row r="1030" spans="1:10" x14ac:dyDescent="0.15">
      <c r="A1030" s="7">
        <v>45121</v>
      </c>
      <c r="B1030" s="8" t="s">
        <v>13</v>
      </c>
      <c r="C1030" s="8" t="s">
        <v>362</v>
      </c>
      <c r="D1030" s="9" t="str">
        <f>HYPERLINK("https://www.marklines.com/en/global/803","JSC UralAZ (Ural Avtomobilny Zavod), Chelyabinsk Plant")</f>
        <v>JSC UralAZ (Ural Avtomobilny Zavod), Chelyabinsk Plant</v>
      </c>
      <c r="E1030" s="8" t="s">
        <v>363</v>
      </c>
      <c r="F1030" s="8" t="s">
        <v>18</v>
      </c>
      <c r="G1030" s="8" t="s">
        <v>14</v>
      </c>
      <c r="H1030" s="8"/>
      <c r="I1030" s="10">
        <v>45119</v>
      </c>
      <c r="J1030" s="8" t="s">
        <v>364</v>
      </c>
    </row>
    <row r="1031" spans="1:10" x14ac:dyDescent="0.15">
      <c r="A1031" s="7">
        <v>45121</v>
      </c>
      <c r="B1031" s="8" t="s">
        <v>22</v>
      </c>
      <c r="C1031" s="8" t="s">
        <v>22</v>
      </c>
      <c r="D1031" s="9" t="str">
        <f>HYPERLINK("https://www.marklines.com/en/global/1065","Indus Motor Company Ltd. (IMC), Karachi Plant")</f>
        <v>Indus Motor Company Ltd. (IMC), Karachi Plant</v>
      </c>
      <c r="E1031" s="8" t="s">
        <v>365</v>
      </c>
      <c r="F1031" s="8" t="s">
        <v>25</v>
      </c>
      <c r="G1031" s="8" t="s">
        <v>366</v>
      </c>
      <c r="H1031" s="8"/>
      <c r="I1031" s="10">
        <v>45119</v>
      </c>
      <c r="J1031" s="8" t="s">
        <v>367</v>
      </c>
    </row>
    <row r="1032" spans="1:10" x14ac:dyDescent="0.15">
      <c r="A1032" s="7">
        <v>45121</v>
      </c>
      <c r="B1032" s="8" t="s">
        <v>368</v>
      </c>
      <c r="C1032" s="8" t="s">
        <v>368</v>
      </c>
      <c r="D1032" s="9" t="str">
        <f>HYPERLINK("https://www.marklines.com/en/global/3903","Jiangling Motors Group Co.,Ltd. (JMCG)(formerly Jiangling Motors Co., Group )")</f>
        <v>Jiangling Motors Group Co.,Ltd. (JMCG)(formerly Jiangling Motors Co., Group )</v>
      </c>
      <c r="E1032" s="8" t="s">
        <v>369</v>
      </c>
      <c r="F1032" s="8" t="s">
        <v>20</v>
      </c>
      <c r="G1032" s="8" t="s">
        <v>27</v>
      </c>
      <c r="H1032" s="8" t="s">
        <v>370</v>
      </c>
      <c r="I1032" s="10">
        <v>45118</v>
      </c>
      <c r="J1032" s="8" t="s">
        <v>371</v>
      </c>
    </row>
    <row r="1033" spans="1:10" x14ac:dyDescent="0.15">
      <c r="A1033" s="7">
        <v>45121</v>
      </c>
      <c r="B1033" s="8" t="s">
        <v>153</v>
      </c>
      <c r="C1033" s="8" t="s">
        <v>153</v>
      </c>
      <c r="D1033" s="9" t="str">
        <f>HYPERLINK("https://www.marklines.com/en/global/3449","China Changan Automobile Group Co., Ltd. ")</f>
        <v xml:space="preserve">China Changan Automobile Group Co., Ltd. </v>
      </c>
      <c r="E1033" s="8" t="s">
        <v>372</v>
      </c>
      <c r="F1033" s="8" t="s">
        <v>20</v>
      </c>
      <c r="G1033" s="8" t="s">
        <v>27</v>
      </c>
      <c r="H1033" s="8" t="s">
        <v>37</v>
      </c>
      <c r="I1033" s="10">
        <v>45118</v>
      </c>
      <c r="J1033" s="8" t="s">
        <v>373</v>
      </c>
    </row>
    <row r="1034" spans="1:10" x14ac:dyDescent="0.15">
      <c r="A1034" s="7">
        <v>45121</v>
      </c>
      <c r="B1034" s="8" t="s">
        <v>374</v>
      </c>
      <c r="C1034" s="8" t="s">
        <v>375</v>
      </c>
      <c r="D1034" s="9" t="str">
        <f>HYPERLINK("https://www.marklines.com/en/global/10303","Mack Trucks Roanoke Valley Operations (RVO)")</f>
        <v>Mack Trucks Roanoke Valley Operations (RVO)</v>
      </c>
      <c r="E1034" s="8" t="s">
        <v>376</v>
      </c>
      <c r="F1034" s="8" t="s">
        <v>16</v>
      </c>
      <c r="G1034" s="8" t="s">
        <v>11</v>
      </c>
      <c r="H1034" s="8" t="s">
        <v>377</v>
      </c>
      <c r="I1034" s="10">
        <v>45105</v>
      </c>
      <c r="J1034" s="8" t="s">
        <v>378</v>
      </c>
    </row>
    <row r="1035" spans="1:10" x14ac:dyDescent="0.15">
      <c r="A1035" s="7">
        <v>45120</v>
      </c>
      <c r="B1035" s="8" t="s">
        <v>43</v>
      </c>
      <c r="C1035" s="8" t="s">
        <v>67</v>
      </c>
      <c r="D1035" s="9" t="str">
        <f>HYPERLINK("https://www.marklines.com/en/global/2267","Volkswagen AG, Emden Plant")</f>
        <v>Volkswagen AG, Emden Plant</v>
      </c>
      <c r="E1035" s="8" t="s">
        <v>71</v>
      </c>
      <c r="F1035" s="8" t="s">
        <v>17</v>
      </c>
      <c r="G1035" s="8" t="s">
        <v>21</v>
      </c>
      <c r="H1035" s="8"/>
      <c r="I1035" s="10">
        <v>45120</v>
      </c>
      <c r="J1035" s="8" t="s">
        <v>379</v>
      </c>
    </row>
    <row r="1036" spans="1:10" x14ac:dyDescent="0.15">
      <c r="A1036" s="7">
        <v>45120</v>
      </c>
      <c r="B1036" s="8" t="s">
        <v>65</v>
      </c>
      <c r="C1036" s="8" t="s">
        <v>66</v>
      </c>
      <c r="D1036" s="9" t="str">
        <f>HYPERLINK("https://www.marklines.com/en/global/3145","Kia Georgia, Inc. (KMMG), West Point Plant")</f>
        <v>Kia Georgia, Inc. (KMMG), West Point Plant</v>
      </c>
      <c r="E1036" s="8" t="s">
        <v>380</v>
      </c>
      <c r="F1036" s="8" t="s">
        <v>16</v>
      </c>
      <c r="G1036" s="8" t="s">
        <v>11</v>
      </c>
      <c r="H1036" s="8" t="s">
        <v>381</v>
      </c>
      <c r="I1036" s="10">
        <v>45119</v>
      </c>
      <c r="J1036" s="8" t="s">
        <v>382</v>
      </c>
    </row>
    <row r="1037" spans="1:10" x14ac:dyDescent="0.15">
      <c r="A1037" s="7">
        <v>45120</v>
      </c>
      <c r="B1037" s="8" t="s">
        <v>383</v>
      </c>
      <c r="C1037" s="8" t="s">
        <v>383</v>
      </c>
      <c r="D1037" s="9" t="str">
        <f>HYPERLINK("https://www.marklines.com/en/global/9873","Lucid Motors (Lucid Group, Inc.), Casa Grande plant")</f>
        <v>Lucid Motors (Lucid Group, Inc.), Casa Grande plant</v>
      </c>
      <c r="E1037" s="8" t="s">
        <v>384</v>
      </c>
      <c r="F1037" s="8" t="s">
        <v>16</v>
      </c>
      <c r="G1037" s="8" t="s">
        <v>11</v>
      </c>
      <c r="H1037" s="8" t="s">
        <v>355</v>
      </c>
      <c r="I1037" s="10">
        <v>45119</v>
      </c>
      <c r="J1037" s="8" t="s">
        <v>385</v>
      </c>
    </row>
    <row r="1038" spans="1:10" x14ac:dyDescent="0.15">
      <c r="A1038" s="7">
        <v>45120</v>
      </c>
      <c r="B1038" s="8" t="s">
        <v>65</v>
      </c>
      <c r="C1038" s="8" t="s">
        <v>65</v>
      </c>
      <c r="D1038" s="9" t="str">
        <f>HYPERLINK("https://www.marklines.com/en/global/10428","PT HLI Green Power, Karawang plant ")</f>
        <v xml:space="preserve">PT HLI Green Power, Karawang plant </v>
      </c>
      <c r="E1038" s="8" t="s">
        <v>386</v>
      </c>
      <c r="F1038" s="8" t="s">
        <v>49</v>
      </c>
      <c r="G1038" s="8" t="s">
        <v>387</v>
      </c>
      <c r="H1038" s="8"/>
      <c r="I1038" s="10">
        <v>45118</v>
      </c>
      <c r="J1038" s="8" t="s">
        <v>388</v>
      </c>
    </row>
    <row r="1039" spans="1:10" x14ac:dyDescent="0.15">
      <c r="A1039" s="7">
        <v>45120</v>
      </c>
      <c r="B1039" s="8" t="s">
        <v>65</v>
      </c>
      <c r="C1039" s="8" t="s">
        <v>65</v>
      </c>
      <c r="D1039" s="9" t="str">
        <f>HYPERLINK("https://www.marklines.com/en/global/10740","PT Hyundai Energy Indonesia (HEI), Bekasi Plant")</f>
        <v>PT Hyundai Energy Indonesia (HEI), Bekasi Plant</v>
      </c>
      <c r="E1039" s="8" t="s">
        <v>389</v>
      </c>
      <c r="F1039" s="8" t="s">
        <v>49</v>
      </c>
      <c r="G1039" s="8" t="s">
        <v>387</v>
      </c>
      <c r="H1039" s="8"/>
      <c r="I1039" s="10">
        <v>45118</v>
      </c>
      <c r="J1039" s="8" t="s">
        <v>388</v>
      </c>
    </row>
    <row r="1040" spans="1:10" x14ac:dyDescent="0.15">
      <c r="A1040" s="7">
        <v>45120</v>
      </c>
      <c r="B1040" s="8" t="s">
        <v>41</v>
      </c>
      <c r="C1040" s="8" t="s">
        <v>41</v>
      </c>
      <c r="D1040" s="9" t="str">
        <f>HYPERLINK("https://www.marklines.com/en/global/9481","SAIC Motor Corporation Limited Passenger Vehicle Zhengzhou Branch")</f>
        <v>SAIC Motor Corporation Limited Passenger Vehicle Zhengzhou Branch</v>
      </c>
      <c r="E1040" s="8" t="s">
        <v>84</v>
      </c>
      <c r="F1040" s="8" t="s">
        <v>20</v>
      </c>
      <c r="G1040" s="8" t="s">
        <v>27</v>
      </c>
      <c r="H1040" s="8" t="s">
        <v>47</v>
      </c>
      <c r="I1040" s="10">
        <v>45118</v>
      </c>
      <c r="J1040" s="8" t="s">
        <v>390</v>
      </c>
    </row>
    <row r="1041" spans="1:10" x14ac:dyDescent="0.15">
      <c r="A1041" s="7">
        <v>45120</v>
      </c>
      <c r="B1041" s="8" t="s">
        <v>65</v>
      </c>
      <c r="C1041" s="8" t="s">
        <v>65</v>
      </c>
      <c r="D1041" s="9" t="str">
        <f>HYPERLINK("https://www.marklines.com/en/global/9975","PT. Hyundai Motor Manufacturing Indonesia (HMMI), Cikarang Plant")</f>
        <v>PT. Hyundai Motor Manufacturing Indonesia (HMMI), Cikarang Plant</v>
      </c>
      <c r="E1041" s="8" t="s">
        <v>391</v>
      </c>
      <c r="F1041" s="8" t="s">
        <v>49</v>
      </c>
      <c r="G1041" s="8" t="s">
        <v>387</v>
      </c>
      <c r="H1041" s="8"/>
      <c r="I1041" s="10">
        <v>45118</v>
      </c>
      <c r="J1041" s="8" t="s">
        <v>392</v>
      </c>
    </row>
    <row r="1042" spans="1:10" x14ac:dyDescent="0.15">
      <c r="A1042" s="7">
        <v>45120</v>
      </c>
      <c r="B1042" s="8" t="s">
        <v>43</v>
      </c>
      <c r="C1042" s="8" t="s">
        <v>393</v>
      </c>
      <c r="D1042" s="9" t="str">
        <f>HYPERLINK("https://www.marklines.com/en/global/2933","Volkswagen Brazil, Sao Jose dos Pinhais Plant")</f>
        <v>Volkswagen Brazil, Sao Jose dos Pinhais Plant</v>
      </c>
      <c r="E1042" s="8" t="s">
        <v>394</v>
      </c>
      <c r="F1042" s="8" t="s">
        <v>74</v>
      </c>
      <c r="G1042" s="8" t="s">
        <v>75</v>
      </c>
      <c r="H1042" s="8"/>
      <c r="I1042" s="10">
        <v>45117</v>
      </c>
      <c r="J1042" s="8" t="s">
        <v>395</v>
      </c>
    </row>
    <row r="1043" spans="1:10" x14ac:dyDescent="0.15">
      <c r="A1043" s="7">
        <v>45120</v>
      </c>
      <c r="B1043" s="8" t="s">
        <v>43</v>
      </c>
      <c r="C1043" s="8" t="s">
        <v>393</v>
      </c>
      <c r="D1043" s="9" t="str">
        <f>HYPERLINK("https://www.marklines.com/en/global/2931","Volkswagen Brazil, Anchieta (Sao Bernardo do Campo) Plant")</f>
        <v>Volkswagen Brazil, Anchieta (Sao Bernardo do Campo) Plant</v>
      </c>
      <c r="E1043" s="8" t="s">
        <v>396</v>
      </c>
      <c r="F1043" s="8" t="s">
        <v>74</v>
      </c>
      <c r="G1043" s="8" t="s">
        <v>75</v>
      </c>
      <c r="H1043" s="8"/>
      <c r="I1043" s="10">
        <v>45117</v>
      </c>
      <c r="J1043" s="8" t="s">
        <v>395</v>
      </c>
    </row>
    <row r="1044" spans="1:10" x14ac:dyDescent="0.15">
      <c r="A1044" s="7">
        <v>45120</v>
      </c>
      <c r="B1044" s="8" t="s">
        <v>43</v>
      </c>
      <c r="C1044" s="8" t="s">
        <v>393</v>
      </c>
      <c r="D1044" s="9" t="str">
        <f>HYPERLINK("https://www.marklines.com/en/global/2935","Volkswagen Brazil, Taubate Plant")</f>
        <v>Volkswagen Brazil, Taubate Plant</v>
      </c>
      <c r="E1044" s="8" t="s">
        <v>397</v>
      </c>
      <c r="F1044" s="8" t="s">
        <v>74</v>
      </c>
      <c r="G1044" s="8" t="s">
        <v>75</v>
      </c>
      <c r="H1044" s="8"/>
      <c r="I1044" s="10">
        <v>45117</v>
      </c>
      <c r="J1044" s="8" t="s">
        <v>395</v>
      </c>
    </row>
    <row r="1045" spans="1:10" x14ac:dyDescent="0.15">
      <c r="A1045" s="7">
        <v>45120</v>
      </c>
      <c r="B1045" s="8" t="s">
        <v>22</v>
      </c>
      <c r="C1045" s="8" t="s">
        <v>398</v>
      </c>
      <c r="D1045" s="9" t="str">
        <f>HYPERLINK("https://www.marklines.com/en/global/289","PT. Hino Motors Manufacturing Indonesia (HMMI), Purwakarta Plant")</f>
        <v>PT. Hino Motors Manufacturing Indonesia (HMMI), Purwakarta Plant</v>
      </c>
      <c r="E1045" s="8" t="s">
        <v>399</v>
      </c>
      <c r="F1045" s="8" t="s">
        <v>49</v>
      </c>
      <c r="G1045" s="8" t="s">
        <v>387</v>
      </c>
      <c r="H1045" s="8"/>
      <c r="I1045" s="10">
        <v>45117</v>
      </c>
      <c r="J1045" s="8" t="s">
        <v>400</v>
      </c>
    </row>
    <row r="1046" spans="1:10" x14ac:dyDescent="0.15">
      <c r="A1046" s="7">
        <v>45120</v>
      </c>
      <c r="B1046" s="8" t="s">
        <v>62</v>
      </c>
      <c r="C1046" s="8" t="s">
        <v>62</v>
      </c>
      <c r="D1046" s="9" t="str">
        <f>HYPERLINK("https://www.marklines.com/en/global/9872","Chery Holding Group Co., Ltd. (formerly Chery Holding Co., Ltd.)")</f>
        <v>Chery Holding Group Co., Ltd. (formerly Chery Holding Co., Ltd.)</v>
      </c>
      <c r="E1046" s="8" t="s">
        <v>401</v>
      </c>
      <c r="F1046" s="8" t="s">
        <v>20</v>
      </c>
      <c r="G1046" s="8" t="s">
        <v>27</v>
      </c>
      <c r="H1046" s="8" t="s">
        <v>326</v>
      </c>
      <c r="I1046" s="10">
        <v>45117</v>
      </c>
      <c r="J1046" s="8" t="s">
        <v>402</v>
      </c>
    </row>
    <row r="1047" spans="1:10" x14ac:dyDescent="0.15">
      <c r="A1047" s="7">
        <v>45120</v>
      </c>
      <c r="B1047" s="8" t="s">
        <v>100</v>
      </c>
      <c r="C1047" s="8" t="s">
        <v>100</v>
      </c>
      <c r="D1047" s="9" t="str">
        <f>HYPERLINK("https://www.marklines.com/en/global/3955","Guangzhou Fengshen Automobile Co., Ltd. Zhengzhou Branch (formerly Dongfeng Nissan Passenger Vehicle Company (Zhengzhou Plant))")</f>
        <v>Guangzhou Fengshen Automobile Co., Ltd. Zhengzhou Branch (formerly Dongfeng Nissan Passenger Vehicle Company (Zhengzhou Plant))</v>
      </c>
      <c r="E1047" s="8" t="s">
        <v>403</v>
      </c>
      <c r="F1047" s="8" t="s">
        <v>20</v>
      </c>
      <c r="G1047" s="8" t="s">
        <v>27</v>
      </c>
      <c r="H1047" s="8" t="s">
        <v>47</v>
      </c>
      <c r="I1047" s="10">
        <v>45115</v>
      </c>
      <c r="J1047" s="8" t="s">
        <v>404</v>
      </c>
    </row>
    <row r="1048" spans="1:10" x14ac:dyDescent="0.15">
      <c r="A1048" s="7">
        <v>45120</v>
      </c>
      <c r="B1048" s="8" t="s">
        <v>12</v>
      </c>
      <c r="C1048" s="8" t="s">
        <v>351</v>
      </c>
      <c r="D1048" s="9" t="str">
        <f>HYPERLINK("https://www.marklines.com/en/global/2517","General Motors, Wentzville Assembly Plant")</f>
        <v>General Motors, Wentzville Assembly Plant</v>
      </c>
      <c r="E1048" s="8" t="s">
        <v>405</v>
      </c>
      <c r="F1048" s="8" t="s">
        <v>16</v>
      </c>
      <c r="G1048" s="8" t="s">
        <v>11</v>
      </c>
      <c r="H1048" s="8" t="s">
        <v>406</v>
      </c>
      <c r="I1048" s="10">
        <v>45113</v>
      </c>
      <c r="J1048" s="8" t="s">
        <v>407</v>
      </c>
    </row>
    <row r="1049" spans="1:10" x14ac:dyDescent="0.15">
      <c r="A1049" s="7">
        <v>45120</v>
      </c>
      <c r="B1049" s="8" t="s">
        <v>41</v>
      </c>
      <c r="C1049" s="8" t="s">
        <v>145</v>
      </c>
      <c r="D1049" s="9" t="str">
        <f>HYPERLINK("https://www.marklines.com/en/global/4315","SAIC Maxus Automotive Co., Ltd.")</f>
        <v>SAIC Maxus Automotive Co., Ltd.</v>
      </c>
      <c r="E1049" s="8" t="s">
        <v>408</v>
      </c>
      <c r="F1049" s="8" t="s">
        <v>20</v>
      </c>
      <c r="G1049" s="8" t="s">
        <v>27</v>
      </c>
      <c r="H1049" s="8" t="s">
        <v>106</v>
      </c>
      <c r="I1049" s="10">
        <v>45111</v>
      </c>
      <c r="J1049" s="8" t="s">
        <v>409</v>
      </c>
    </row>
    <row r="1050" spans="1:10" x14ac:dyDescent="0.15">
      <c r="A1050" s="7">
        <v>45120</v>
      </c>
      <c r="B1050" s="8" t="s">
        <v>41</v>
      </c>
      <c r="C1050" s="8" t="s">
        <v>145</v>
      </c>
      <c r="D1050" s="9" t="str">
        <f>HYPERLINK("https://www.marklines.com/en/global/6451","SAIC MAXUS Automotive Co., Ltd. Wuxi Branch")</f>
        <v>SAIC MAXUS Automotive Co., Ltd. Wuxi Branch</v>
      </c>
      <c r="E1050" s="8" t="s">
        <v>146</v>
      </c>
      <c r="F1050" s="8" t="s">
        <v>20</v>
      </c>
      <c r="G1050" s="8" t="s">
        <v>27</v>
      </c>
      <c r="H1050" s="8" t="s">
        <v>52</v>
      </c>
      <c r="I1050" s="10">
        <v>45111</v>
      </c>
      <c r="J1050" s="8" t="s">
        <v>409</v>
      </c>
    </row>
    <row r="1051" spans="1:10" x14ac:dyDescent="0.15">
      <c r="A1051" s="7">
        <v>45120</v>
      </c>
      <c r="B1051" s="8" t="s">
        <v>65</v>
      </c>
      <c r="C1051" s="8" t="s">
        <v>65</v>
      </c>
      <c r="D1051" s="9" t="str">
        <f>HYPERLINK("https://www.marklines.com/en/global/10428","PT HLI Green Power, Karawang plant ")</f>
        <v xml:space="preserve">PT HLI Green Power, Karawang plant </v>
      </c>
      <c r="E1051" s="8" t="s">
        <v>386</v>
      </c>
      <c r="F1051" s="8" t="s">
        <v>49</v>
      </c>
      <c r="G1051" s="8" t="s">
        <v>387</v>
      </c>
      <c r="H1051" s="8"/>
      <c r="I1051" s="10">
        <v>45077</v>
      </c>
      <c r="J1051" s="8" t="s">
        <v>410</v>
      </c>
    </row>
    <row r="1052" spans="1:10" x14ac:dyDescent="0.15">
      <c r="A1052" s="7">
        <v>45120</v>
      </c>
      <c r="B1052" s="8" t="s">
        <v>65</v>
      </c>
      <c r="C1052" s="8" t="s">
        <v>65</v>
      </c>
      <c r="D1052" s="9" t="str">
        <f>HYPERLINK("https://www.marklines.com/en/global/10740","PT Hyundai Energy Indonesia (HEI), Bekasi Plant")</f>
        <v>PT Hyundai Energy Indonesia (HEI), Bekasi Plant</v>
      </c>
      <c r="E1052" s="8" t="s">
        <v>389</v>
      </c>
      <c r="F1052" s="8" t="s">
        <v>49</v>
      </c>
      <c r="G1052" s="8" t="s">
        <v>387</v>
      </c>
      <c r="H1052" s="8"/>
      <c r="I1052" s="10">
        <v>45077</v>
      </c>
      <c r="J1052" s="8" t="s">
        <v>410</v>
      </c>
    </row>
    <row r="1053" spans="1:10" x14ac:dyDescent="0.15">
      <c r="A1053" s="7">
        <v>45119</v>
      </c>
      <c r="B1053" s="8" t="s">
        <v>50</v>
      </c>
      <c r="C1053" s="8" t="s">
        <v>50</v>
      </c>
      <c r="D1053" s="9" t="str">
        <f>HYPERLINK("https://www.marklines.com/en/global/1256","Suzuki Motor Gujarat Private Limited (SMG), Hansalpur plant")</f>
        <v>Suzuki Motor Gujarat Private Limited (SMG), Hansalpur plant</v>
      </c>
      <c r="E1053" s="8" t="s">
        <v>223</v>
      </c>
      <c r="F1053" s="8" t="s">
        <v>25</v>
      </c>
      <c r="G1053" s="8" t="s">
        <v>26</v>
      </c>
      <c r="H1053" s="8" t="s">
        <v>95</v>
      </c>
      <c r="I1053" s="10">
        <v>45119</v>
      </c>
      <c r="J1053" s="8" t="s">
        <v>411</v>
      </c>
    </row>
    <row r="1054" spans="1:10" x14ac:dyDescent="0.15">
      <c r="A1054" s="7">
        <v>45119</v>
      </c>
      <c r="B1054" s="8" t="s">
        <v>29</v>
      </c>
      <c r="C1054" s="8" t="s">
        <v>141</v>
      </c>
      <c r="D1054" s="9" t="str">
        <f>HYPERLINK("https://www.marklines.com/en/global/1295","Volvo India Private Limited, Bangalore (Hoskote) Plant ")</f>
        <v xml:space="preserve">Volvo India Private Limited, Bangalore (Hoskote) Plant </v>
      </c>
      <c r="E1054" s="8" t="s">
        <v>412</v>
      </c>
      <c r="F1054" s="8" t="s">
        <v>25</v>
      </c>
      <c r="G1054" s="8" t="s">
        <v>26</v>
      </c>
      <c r="H1054" s="8" t="s">
        <v>116</v>
      </c>
      <c r="I1054" s="10">
        <v>45119</v>
      </c>
      <c r="J1054" s="8" t="s">
        <v>413</v>
      </c>
    </row>
    <row r="1055" spans="1:10" x14ac:dyDescent="0.15">
      <c r="A1055" s="7">
        <v>45119</v>
      </c>
      <c r="B1055" s="8" t="s">
        <v>13</v>
      </c>
      <c r="C1055" s="8" t="s">
        <v>414</v>
      </c>
      <c r="D1055" s="9" t="str">
        <f>HYPERLINK("https://www.marklines.com/en/global/10641","NWTN (Zhejiang) Motor Co., Ltd.")</f>
        <v>NWTN (Zhejiang) Motor Co., Ltd.</v>
      </c>
      <c r="E1055" s="8" t="s">
        <v>415</v>
      </c>
      <c r="F1055" s="8" t="s">
        <v>20</v>
      </c>
      <c r="G1055" s="8" t="s">
        <v>27</v>
      </c>
      <c r="H1055" s="8" t="s">
        <v>51</v>
      </c>
      <c r="I1055" s="10">
        <v>45118</v>
      </c>
      <c r="J1055" s="8" t="s">
        <v>416</v>
      </c>
    </row>
    <row r="1056" spans="1:10" x14ac:dyDescent="0.15">
      <c r="A1056" s="7">
        <v>45119</v>
      </c>
      <c r="B1056" s="8" t="s">
        <v>22</v>
      </c>
      <c r="C1056" s="8" t="s">
        <v>22</v>
      </c>
      <c r="D1056" s="9" t="str">
        <f>HYPERLINK("https://www.marklines.com/en/global/395","Toyota Motor Kyushu, Kanda Plant")</f>
        <v>Toyota Motor Kyushu, Kanda Plant</v>
      </c>
      <c r="E1056" s="8" t="s">
        <v>417</v>
      </c>
      <c r="F1056" s="8" t="s">
        <v>20</v>
      </c>
      <c r="G1056" s="8" t="s">
        <v>23</v>
      </c>
      <c r="H1056" s="8" t="s">
        <v>418</v>
      </c>
      <c r="I1056" s="10">
        <v>45118</v>
      </c>
      <c r="J1056" s="8" t="s">
        <v>419</v>
      </c>
    </row>
    <row r="1057" spans="1:10" x14ac:dyDescent="0.15">
      <c r="A1057" s="7">
        <v>45119</v>
      </c>
      <c r="B1057" s="8" t="s">
        <v>22</v>
      </c>
      <c r="C1057" s="8" t="s">
        <v>22</v>
      </c>
      <c r="D1057" s="9" t="str">
        <f>HYPERLINK("https://www.marklines.com/en/global/397","Toyota Motor Kyushu, Kokura Plant")</f>
        <v>Toyota Motor Kyushu, Kokura Plant</v>
      </c>
      <c r="E1057" s="8" t="s">
        <v>420</v>
      </c>
      <c r="F1057" s="8" t="s">
        <v>20</v>
      </c>
      <c r="G1057" s="8" t="s">
        <v>23</v>
      </c>
      <c r="H1057" s="8" t="s">
        <v>418</v>
      </c>
      <c r="I1057" s="10">
        <v>45118</v>
      </c>
      <c r="J1057" s="8" t="s">
        <v>419</v>
      </c>
    </row>
    <row r="1058" spans="1:10" x14ac:dyDescent="0.15">
      <c r="A1058" s="7">
        <v>45119</v>
      </c>
      <c r="B1058" s="8" t="s">
        <v>22</v>
      </c>
      <c r="C1058" s="8" t="s">
        <v>22</v>
      </c>
      <c r="D1058" s="9" t="str">
        <f>HYPERLINK("https://www.marklines.com/en/global/393","Toyota Motor Kyushu, Miyata Plant")</f>
        <v>Toyota Motor Kyushu, Miyata Plant</v>
      </c>
      <c r="E1058" s="8" t="s">
        <v>421</v>
      </c>
      <c r="F1058" s="8" t="s">
        <v>20</v>
      </c>
      <c r="G1058" s="8" t="s">
        <v>23</v>
      </c>
      <c r="H1058" s="8" t="s">
        <v>418</v>
      </c>
      <c r="I1058" s="10">
        <v>45118</v>
      </c>
      <c r="J1058" s="8" t="s">
        <v>419</v>
      </c>
    </row>
    <row r="1059" spans="1:10" x14ac:dyDescent="0.15">
      <c r="A1059" s="7">
        <v>45119</v>
      </c>
      <c r="B1059" s="8" t="s">
        <v>22</v>
      </c>
      <c r="C1059" s="8" t="s">
        <v>22</v>
      </c>
      <c r="D1059" s="9" t="str">
        <f>HYPERLINK("https://www.marklines.com/en/global/3233","Toyota Motor Manufacturing, Kentucky,  Inc. (TMMK), Georgetown Plant")</f>
        <v>Toyota Motor Manufacturing, Kentucky,  Inc. (TMMK), Georgetown Plant</v>
      </c>
      <c r="E1059" s="8" t="s">
        <v>422</v>
      </c>
      <c r="F1059" s="8" t="s">
        <v>16</v>
      </c>
      <c r="G1059" s="8" t="s">
        <v>11</v>
      </c>
      <c r="H1059" s="8" t="s">
        <v>423</v>
      </c>
      <c r="I1059" s="10">
        <v>45118</v>
      </c>
      <c r="J1059" s="8" t="s">
        <v>424</v>
      </c>
    </row>
    <row r="1060" spans="1:10" x14ac:dyDescent="0.15">
      <c r="A1060" s="7">
        <v>45119</v>
      </c>
      <c r="B1060" s="8" t="s">
        <v>22</v>
      </c>
      <c r="C1060" s="8" t="s">
        <v>22</v>
      </c>
      <c r="D1060" s="9" t="str">
        <f>HYPERLINK("https://www.marklines.com/en/global/395","Toyota Motor Kyushu, Kanda Plant")</f>
        <v>Toyota Motor Kyushu, Kanda Plant</v>
      </c>
      <c r="E1060" s="8" t="s">
        <v>417</v>
      </c>
      <c r="F1060" s="8" t="s">
        <v>20</v>
      </c>
      <c r="G1060" s="8" t="s">
        <v>23</v>
      </c>
      <c r="H1060" s="8" t="s">
        <v>418</v>
      </c>
      <c r="I1060" s="10">
        <v>45117</v>
      </c>
      <c r="J1060" s="8" t="s">
        <v>425</v>
      </c>
    </row>
    <row r="1061" spans="1:10" x14ac:dyDescent="0.15">
      <c r="A1061" s="7">
        <v>45119</v>
      </c>
      <c r="B1061" s="8" t="s">
        <v>22</v>
      </c>
      <c r="C1061" s="8" t="s">
        <v>22</v>
      </c>
      <c r="D1061" s="9" t="str">
        <f>HYPERLINK("https://www.marklines.com/en/global/397","Toyota Motor Kyushu, Kokura Plant")</f>
        <v>Toyota Motor Kyushu, Kokura Plant</v>
      </c>
      <c r="E1061" s="8" t="s">
        <v>420</v>
      </c>
      <c r="F1061" s="8" t="s">
        <v>20</v>
      </c>
      <c r="G1061" s="8" t="s">
        <v>23</v>
      </c>
      <c r="H1061" s="8" t="s">
        <v>418</v>
      </c>
      <c r="I1061" s="10">
        <v>45117</v>
      </c>
      <c r="J1061" s="8" t="s">
        <v>425</v>
      </c>
    </row>
    <row r="1062" spans="1:10" x14ac:dyDescent="0.15">
      <c r="A1062" s="7">
        <v>45119</v>
      </c>
      <c r="B1062" s="8" t="s">
        <v>22</v>
      </c>
      <c r="C1062" s="8" t="s">
        <v>22</v>
      </c>
      <c r="D1062" s="9" t="str">
        <f>HYPERLINK("https://www.marklines.com/en/global/393","Toyota Motor Kyushu, Miyata Plant")</f>
        <v>Toyota Motor Kyushu, Miyata Plant</v>
      </c>
      <c r="E1062" s="8" t="s">
        <v>421</v>
      </c>
      <c r="F1062" s="8" t="s">
        <v>20</v>
      </c>
      <c r="G1062" s="8" t="s">
        <v>23</v>
      </c>
      <c r="H1062" s="8" t="s">
        <v>418</v>
      </c>
      <c r="I1062" s="10">
        <v>45117</v>
      </c>
      <c r="J1062" s="8" t="s">
        <v>425</v>
      </c>
    </row>
    <row r="1063" spans="1:10" x14ac:dyDescent="0.15">
      <c r="A1063" s="7">
        <v>45119</v>
      </c>
      <c r="B1063" s="8" t="s">
        <v>22</v>
      </c>
      <c r="C1063" s="8" t="s">
        <v>168</v>
      </c>
      <c r="D1063" s="9" t="str">
        <f>HYPERLINK("https://www.marklines.com/en/global/539","Daihatsu Motor, Head (Ikeda) Plant")</f>
        <v>Daihatsu Motor, Head (Ikeda) Plant</v>
      </c>
      <c r="E1063" s="8" t="s">
        <v>289</v>
      </c>
      <c r="F1063" s="8" t="s">
        <v>20</v>
      </c>
      <c r="G1063" s="8" t="s">
        <v>23</v>
      </c>
      <c r="H1063" s="8" t="s">
        <v>290</v>
      </c>
      <c r="I1063" s="10">
        <v>45114</v>
      </c>
      <c r="J1063" s="8" t="s">
        <v>426</v>
      </c>
    </row>
    <row r="1064" spans="1:10" x14ac:dyDescent="0.15">
      <c r="A1064" s="7">
        <v>45119</v>
      </c>
      <c r="B1064" s="8" t="s">
        <v>22</v>
      </c>
      <c r="C1064" s="8" t="s">
        <v>168</v>
      </c>
      <c r="D1064" s="9" t="str">
        <f>HYPERLINK("https://www.marklines.com/en/global/543","Daihatsu Motor, Shiga (Ryuo) Plant")</f>
        <v>Daihatsu Motor, Shiga (Ryuo) Plant</v>
      </c>
      <c r="E1064" s="8" t="s">
        <v>184</v>
      </c>
      <c r="F1064" s="8" t="s">
        <v>20</v>
      </c>
      <c r="G1064" s="8" t="s">
        <v>23</v>
      </c>
      <c r="H1064" s="8" t="s">
        <v>185</v>
      </c>
      <c r="I1064" s="10">
        <v>45114</v>
      </c>
      <c r="J1064" s="8" t="s">
        <v>426</v>
      </c>
    </row>
    <row r="1065" spans="1:10" x14ac:dyDescent="0.15">
      <c r="A1065" s="7">
        <v>45119</v>
      </c>
      <c r="B1065" s="8" t="s">
        <v>22</v>
      </c>
      <c r="C1065" s="8" t="s">
        <v>168</v>
      </c>
      <c r="D1065" s="9" t="str">
        <f>HYPERLINK("https://www.marklines.com/en/global/547","Daihatsu Motor Kyushu, Oita (Nakatsu) Plant")</f>
        <v>Daihatsu Motor Kyushu, Oita (Nakatsu) Plant</v>
      </c>
      <c r="E1065" s="8" t="s">
        <v>130</v>
      </c>
      <c r="F1065" s="8" t="s">
        <v>20</v>
      </c>
      <c r="G1065" s="8" t="s">
        <v>23</v>
      </c>
      <c r="H1065" s="8" t="s">
        <v>131</v>
      </c>
      <c r="I1065" s="10">
        <v>45114</v>
      </c>
      <c r="J1065" s="8" t="s">
        <v>426</v>
      </c>
    </row>
    <row r="1066" spans="1:10" x14ac:dyDescent="0.15">
      <c r="A1066" s="7">
        <v>45119</v>
      </c>
      <c r="B1066" s="8" t="s">
        <v>34</v>
      </c>
      <c r="C1066" s="8" t="s">
        <v>34</v>
      </c>
      <c r="D1066" s="9" t="str">
        <f>HYPERLINK("https://www.marklines.com/en/global/9812","Tesla (Shanghai) Co., Ltd.")</f>
        <v>Tesla (Shanghai) Co., Ltd.</v>
      </c>
      <c r="E1066" s="8" t="s">
        <v>427</v>
      </c>
      <c r="F1066" s="8" t="s">
        <v>20</v>
      </c>
      <c r="G1066" s="8" t="s">
        <v>27</v>
      </c>
      <c r="H1066" s="8" t="s">
        <v>106</v>
      </c>
      <c r="I1066" s="10">
        <v>45114</v>
      </c>
      <c r="J1066" s="8" t="s">
        <v>428</v>
      </c>
    </row>
    <row r="1067" spans="1:10" x14ac:dyDescent="0.15">
      <c r="A1067" s="7">
        <v>45119</v>
      </c>
      <c r="B1067" s="8" t="s">
        <v>34</v>
      </c>
      <c r="C1067" s="8" t="s">
        <v>34</v>
      </c>
      <c r="D1067" s="9" t="str">
        <f>HYPERLINK("https://www.marklines.com/en/global/10671","Tesla Gigafactory Mexico")</f>
        <v>Tesla Gigafactory Mexico</v>
      </c>
      <c r="E1067" s="8" t="s">
        <v>429</v>
      </c>
      <c r="F1067" s="8" t="s">
        <v>16</v>
      </c>
      <c r="G1067" s="8" t="s">
        <v>430</v>
      </c>
      <c r="H1067" s="8"/>
      <c r="I1067" s="10">
        <v>45114</v>
      </c>
      <c r="J1067" s="8" t="s">
        <v>431</v>
      </c>
    </row>
    <row r="1068" spans="1:10" x14ac:dyDescent="0.15">
      <c r="A1068" s="7">
        <v>45119</v>
      </c>
      <c r="B1068" s="8" t="s">
        <v>148</v>
      </c>
      <c r="C1068" s="8" t="s">
        <v>148</v>
      </c>
      <c r="D1068" s="9" t="str">
        <f>HYPERLINK("https://www.marklines.com/en/global/503","Mazda Motor, Hiroshima Plant")</f>
        <v>Mazda Motor, Hiroshima Plant</v>
      </c>
      <c r="E1068" s="8" t="s">
        <v>150</v>
      </c>
      <c r="F1068" s="8" t="s">
        <v>20</v>
      </c>
      <c r="G1068" s="8" t="s">
        <v>23</v>
      </c>
      <c r="H1068" s="8" t="s">
        <v>151</v>
      </c>
      <c r="I1068" s="10">
        <v>45107</v>
      </c>
      <c r="J1068" s="8" t="s">
        <v>432</v>
      </c>
    </row>
    <row r="1069" spans="1:10" x14ac:dyDescent="0.15">
      <c r="A1069" s="7">
        <v>45118</v>
      </c>
      <c r="B1069" s="8" t="s">
        <v>68</v>
      </c>
      <c r="C1069" s="8" t="s">
        <v>68</v>
      </c>
      <c r="D1069" s="9" t="str">
        <f>HYPERLINK("https://www.marklines.com/en/global/1325","Stellantis, FCA Italy, Melfi Plant")</f>
        <v>Stellantis, FCA Italy, Melfi Plant</v>
      </c>
      <c r="E1069" s="8" t="s">
        <v>203</v>
      </c>
      <c r="F1069" s="8" t="s">
        <v>17</v>
      </c>
      <c r="G1069" s="8" t="s">
        <v>70</v>
      </c>
      <c r="H1069" s="8"/>
      <c r="I1069" s="10">
        <v>45118</v>
      </c>
      <c r="J1069" s="8" t="s">
        <v>433</v>
      </c>
    </row>
    <row r="1070" spans="1:10" x14ac:dyDescent="0.15">
      <c r="A1070" s="7">
        <v>45118</v>
      </c>
      <c r="B1070" s="8" t="s">
        <v>39</v>
      </c>
      <c r="C1070" s="8" t="s">
        <v>39</v>
      </c>
      <c r="D1070" s="9" t="str">
        <f>HYPERLINK("https://www.marklines.com/en/global/2285","BMW (UK), Oxford Plant")</f>
        <v>BMW (UK), Oxford Plant</v>
      </c>
      <c r="E1070" s="8" t="s">
        <v>434</v>
      </c>
      <c r="F1070" s="8" t="s">
        <v>17</v>
      </c>
      <c r="G1070" s="8" t="s">
        <v>73</v>
      </c>
      <c r="H1070" s="8"/>
      <c r="I1070" s="10">
        <v>45118</v>
      </c>
      <c r="J1070" s="8" t="s">
        <v>435</v>
      </c>
    </row>
    <row r="1071" spans="1:10" x14ac:dyDescent="0.15">
      <c r="A1071" s="7">
        <v>45118</v>
      </c>
      <c r="B1071" s="8" t="s">
        <v>13</v>
      </c>
      <c r="C1071" s="8" t="s">
        <v>362</v>
      </c>
      <c r="D1071" s="9" t="str">
        <f>HYPERLINK("https://www.marklines.com/en/global/803","JSC UralAZ (Ural Avtomobilny Zavod), Chelyabinsk Plant")</f>
        <v>JSC UralAZ (Ural Avtomobilny Zavod), Chelyabinsk Plant</v>
      </c>
      <c r="E1071" s="8" t="s">
        <v>363</v>
      </c>
      <c r="F1071" s="8" t="s">
        <v>18</v>
      </c>
      <c r="G1071" s="8" t="s">
        <v>14</v>
      </c>
      <c r="H1071" s="8"/>
      <c r="I1071" s="10">
        <v>45118</v>
      </c>
      <c r="J1071" s="8" t="s">
        <v>436</v>
      </c>
    </row>
    <row r="1072" spans="1:10" x14ac:dyDescent="0.15">
      <c r="A1072" s="7">
        <v>45118</v>
      </c>
      <c r="B1072" s="8" t="s">
        <v>437</v>
      </c>
      <c r="C1072" s="8" t="s">
        <v>437</v>
      </c>
      <c r="D1072" s="9" t="str">
        <f>HYPERLINK("https://www.marklines.com/en/global/9602","OOO Motorinvest, Lipetsk Plant (formerly Changan Automobile, Lipetsk Plant)")</f>
        <v>OOO Motorinvest, Lipetsk Plant (formerly Changan Automobile, Lipetsk Plant)</v>
      </c>
      <c r="E1072" s="8" t="s">
        <v>438</v>
      </c>
      <c r="F1072" s="8" t="s">
        <v>18</v>
      </c>
      <c r="G1072" s="8" t="s">
        <v>14</v>
      </c>
      <c r="H1072" s="8"/>
      <c r="I1072" s="10">
        <v>45118</v>
      </c>
      <c r="J1072" s="8" t="s">
        <v>439</v>
      </c>
    </row>
    <row r="1073" spans="1:10" x14ac:dyDescent="0.15">
      <c r="A1073" s="7">
        <v>45118</v>
      </c>
      <c r="B1073" s="8" t="s">
        <v>440</v>
      </c>
      <c r="C1073" s="8" t="s">
        <v>440</v>
      </c>
      <c r="D1073" s="9" t="str">
        <f>HYPERLINK("https://www.marklines.com/en/global/10491","Canoo, Pryor Assembly Plant")</f>
        <v>Canoo, Pryor Assembly Plant</v>
      </c>
      <c r="E1073" s="8" t="s">
        <v>441</v>
      </c>
      <c r="F1073" s="8" t="s">
        <v>16</v>
      </c>
      <c r="G1073" s="8" t="s">
        <v>11</v>
      </c>
      <c r="H1073" s="8" t="s">
        <v>442</v>
      </c>
      <c r="I1073" s="10">
        <v>45118</v>
      </c>
      <c r="J1073" s="8" t="s">
        <v>443</v>
      </c>
    </row>
    <row r="1074" spans="1:10" x14ac:dyDescent="0.15">
      <c r="A1074" s="7">
        <v>45118</v>
      </c>
      <c r="B1074" s="8" t="s">
        <v>13</v>
      </c>
      <c r="C1074" s="8" t="s">
        <v>444</v>
      </c>
      <c r="D1074" s="9" t="str">
        <f>HYPERLINK("https://www.marklines.com/en/global/687","Sollers-Yelabuga OOO, Yelabuga Plant")</f>
        <v>Sollers-Yelabuga OOO, Yelabuga Plant</v>
      </c>
      <c r="E1074" s="8" t="s">
        <v>445</v>
      </c>
      <c r="F1074" s="8" t="s">
        <v>18</v>
      </c>
      <c r="G1074" s="8" t="s">
        <v>14</v>
      </c>
      <c r="H1074" s="8"/>
      <c r="I1074" s="10">
        <v>45117</v>
      </c>
      <c r="J1074" s="8" t="s">
        <v>446</v>
      </c>
    </row>
    <row r="1075" spans="1:10" x14ac:dyDescent="0.15">
      <c r="A1075" s="7">
        <v>45118</v>
      </c>
      <c r="B1075" s="8" t="s">
        <v>13</v>
      </c>
      <c r="C1075" s="8" t="s">
        <v>447</v>
      </c>
      <c r="D1075" s="9" t="str">
        <f>HYPERLINK("https://www.marklines.com/en/global/10549","VDL Bus &amp; Coach B.V., Roeselare Plant")</f>
        <v>VDL Bus &amp; Coach B.V., Roeselare Plant</v>
      </c>
      <c r="E1075" s="8" t="s">
        <v>448</v>
      </c>
      <c r="F1075" s="8" t="s">
        <v>17</v>
      </c>
      <c r="G1075" s="8" t="s">
        <v>138</v>
      </c>
      <c r="H1075" s="8"/>
      <c r="I1075" s="10">
        <v>45117</v>
      </c>
      <c r="J1075" s="8" t="s">
        <v>449</v>
      </c>
    </row>
    <row r="1076" spans="1:10" x14ac:dyDescent="0.15">
      <c r="A1076" s="7">
        <v>45118</v>
      </c>
      <c r="B1076" s="8" t="s">
        <v>93</v>
      </c>
      <c r="C1076" s="8" t="s">
        <v>93</v>
      </c>
      <c r="D1076" s="9" t="str">
        <f>HYPERLINK("https://www.marklines.com/en/global/169","Renault S.A., Douai (Georges Besse) Plant")</f>
        <v>Renault S.A., Douai (Georges Besse) Plant</v>
      </c>
      <c r="E1076" s="8" t="s">
        <v>345</v>
      </c>
      <c r="F1076" s="8" t="s">
        <v>17</v>
      </c>
      <c r="G1076" s="8" t="s">
        <v>40</v>
      </c>
      <c r="H1076" s="8"/>
      <c r="I1076" s="10">
        <v>45117</v>
      </c>
      <c r="J1076" s="8" t="s">
        <v>450</v>
      </c>
    </row>
    <row r="1077" spans="1:10" x14ac:dyDescent="0.15">
      <c r="A1077" s="7">
        <v>45118</v>
      </c>
      <c r="B1077" s="8" t="s">
        <v>13</v>
      </c>
      <c r="C1077" s="8" t="s">
        <v>451</v>
      </c>
      <c r="D1077" s="9" t="str">
        <f>HYPERLINK("https://www.marklines.com/en/global/2683","Koenigsegg Automotive AB, Ängelholm Plant")</f>
        <v>Koenigsegg Automotive AB, Ängelholm Plant</v>
      </c>
      <c r="E1077" s="8" t="s">
        <v>452</v>
      </c>
      <c r="F1077" s="8" t="s">
        <v>17</v>
      </c>
      <c r="G1077" s="8" t="s">
        <v>80</v>
      </c>
      <c r="H1077" s="8"/>
      <c r="I1077" s="10">
        <v>45117</v>
      </c>
      <c r="J1077" s="8" t="s">
        <v>453</v>
      </c>
    </row>
    <row r="1078" spans="1:10" x14ac:dyDescent="0.15">
      <c r="A1078" s="7">
        <v>45118</v>
      </c>
      <c r="B1078" s="8" t="s">
        <v>109</v>
      </c>
      <c r="C1078" s="8" t="s">
        <v>195</v>
      </c>
      <c r="D1078" s="9" t="str">
        <f>HYPERLINK("https://www.marklines.com/en/global/4307","Shenzhen DENZA New Energy Automotive Co., Ltd.")</f>
        <v>Shenzhen DENZA New Energy Automotive Co., Ltd.</v>
      </c>
      <c r="E1078" s="8" t="s">
        <v>454</v>
      </c>
      <c r="F1078" s="8" t="s">
        <v>20</v>
      </c>
      <c r="G1078" s="8" t="s">
        <v>27</v>
      </c>
      <c r="H1078" s="8" t="s">
        <v>31</v>
      </c>
      <c r="I1078" s="10">
        <v>45112</v>
      </c>
      <c r="J1078" s="8" t="s">
        <v>455</v>
      </c>
    </row>
    <row r="1079" spans="1:10" x14ac:dyDescent="0.15">
      <c r="A1079" s="7">
        <v>45118</v>
      </c>
      <c r="B1079" s="8" t="s">
        <v>109</v>
      </c>
      <c r="C1079" s="8" t="s">
        <v>195</v>
      </c>
      <c r="D1079" s="9" t="str">
        <f>HYPERLINK("https://www.marklines.com/en/global/4125","BYD Automobile Industry Co., Ltd., Shenzhen Plant")</f>
        <v>BYD Automobile Industry Co., Ltd., Shenzhen Plant</v>
      </c>
      <c r="E1079" s="8" t="s">
        <v>137</v>
      </c>
      <c r="F1079" s="8" t="s">
        <v>20</v>
      </c>
      <c r="G1079" s="8" t="s">
        <v>27</v>
      </c>
      <c r="H1079" s="8" t="s">
        <v>31</v>
      </c>
      <c r="I1079" s="10">
        <v>45112</v>
      </c>
      <c r="J1079" s="8" t="s">
        <v>455</v>
      </c>
    </row>
    <row r="1080" spans="1:10" x14ac:dyDescent="0.15">
      <c r="A1080" s="7">
        <v>45118</v>
      </c>
      <c r="B1080" s="8" t="s">
        <v>109</v>
      </c>
      <c r="C1080" s="8" t="s">
        <v>195</v>
      </c>
      <c r="D1080" s="9" t="str">
        <f>HYPERLINK("https://www.marklines.com/en/global/4043","BYD Automobile Industry Co., Ltd., Changsha Branch")</f>
        <v>BYD Automobile Industry Co., Ltd., Changsha Branch</v>
      </c>
      <c r="E1080" s="8" t="s">
        <v>136</v>
      </c>
      <c r="F1080" s="8" t="s">
        <v>20</v>
      </c>
      <c r="G1080" s="8" t="s">
        <v>27</v>
      </c>
      <c r="H1080" s="8" t="s">
        <v>112</v>
      </c>
      <c r="I1080" s="10">
        <v>45112</v>
      </c>
      <c r="J1080" s="8" t="s">
        <v>455</v>
      </c>
    </row>
    <row r="1081" spans="1:10" x14ac:dyDescent="0.15">
      <c r="A1081" s="7">
        <v>45118</v>
      </c>
      <c r="B1081" s="8" t="s">
        <v>13</v>
      </c>
      <c r="C1081" s="8" t="s">
        <v>456</v>
      </c>
      <c r="D1081" s="9" t="str">
        <f>HYPERLINK("https://www.marklines.com/en/global/9550","Anhui Singulato Smart New Energy Automotive Co., Ltd.")</f>
        <v>Anhui Singulato Smart New Energy Automotive Co., Ltd.</v>
      </c>
      <c r="E1081" s="8" t="s">
        <v>457</v>
      </c>
      <c r="F1081" s="8" t="s">
        <v>20</v>
      </c>
      <c r="G1081" s="8" t="s">
        <v>27</v>
      </c>
      <c r="H1081" s="8" t="s">
        <v>326</v>
      </c>
      <c r="I1081" s="10">
        <v>45112</v>
      </c>
      <c r="J1081" s="8" t="s">
        <v>458</v>
      </c>
    </row>
    <row r="1082" spans="1:10" x14ac:dyDescent="0.15">
      <c r="A1082" s="7">
        <v>45118</v>
      </c>
      <c r="B1082" s="8" t="s">
        <v>459</v>
      </c>
      <c r="C1082" s="8" t="s">
        <v>459</v>
      </c>
      <c r="D1082" s="9" t="str">
        <f>HYPERLINK("https://www.marklines.com/en/global/3823","Dongfeng Yulon Motor Co., Ltd.")</f>
        <v>Dongfeng Yulon Motor Co., Ltd.</v>
      </c>
      <c r="E1082" s="8" t="s">
        <v>460</v>
      </c>
      <c r="F1082" s="8" t="s">
        <v>20</v>
      </c>
      <c r="G1082" s="8" t="s">
        <v>27</v>
      </c>
      <c r="H1082" s="8" t="s">
        <v>51</v>
      </c>
      <c r="I1082" s="10">
        <v>45112</v>
      </c>
      <c r="J1082" s="8" t="s">
        <v>461</v>
      </c>
    </row>
    <row r="1083" spans="1:10" x14ac:dyDescent="0.15">
      <c r="A1083" s="7">
        <v>45118</v>
      </c>
      <c r="B1083" s="8" t="s">
        <v>437</v>
      </c>
      <c r="C1083" s="8" t="s">
        <v>437</v>
      </c>
      <c r="D1083" s="9" t="str">
        <f>HYPERLINK("https://www.marklines.com/en/global/3823","Dongfeng Yulon Motor Co., Ltd.")</f>
        <v>Dongfeng Yulon Motor Co., Ltd.</v>
      </c>
      <c r="E1083" s="8" t="s">
        <v>460</v>
      </c>
      <c r="F1083" s="8" t="s">
        <v>20</v>
      </c>
      <c r="G1083" s="8" t="s">
        <v>27</v>
      </c>
      <c r="H1083" s="8" t="s">
        <v>51</v>
      </c>
      <c r="I1083" s="10">
        <v>45112</v>
      </c>
      <c r="J1083" s="8" t="s">
        <v>461</v>
      </c>
    </row>
    <row r="1084" spans="1:10" x14ac:dyDescent="0.15">
      <c r="A1084" s="7">
        <v>45118</v>
      </c>
      <c r="B1084" s="8" t="s">
        <v>15</v>
      </c>
      <c r="C1084" s="8" t="s">
        <v>15</v>
      </c>
      <c r="D1084" s="9" t="str">
        <f>HYPERLINK("https://www.marklines.com/en/global/3473","Honda Motor (China) Investment Co., Ltd. ")</f>
        <v xml:space="preserve">Honda Motor (China) Investment Co., Ltd. </v>
      </c>
      <c r="E1084" s="8" t="s">
        <v>462</v>
      </c>
      <c r="F1084" s="8" t="s">
        <v>20</v>
      </c>
      <c r="G1084" s="8" t="s">
        <v>27</v>
      </c>
      <c r="H1084" s="8" t="s">
        <v>37</v>
      </c>
      <c r="I1084" s="10">
        <v>45112</v>
      </c>
      <c r="J1084" s="8" t="s">
        <v>463</v>
      </c>
    </row>
    <row r="1085" spans="1:10" x14ac:dyDescent="0.15">
      <c r="A1085" s="7">
        <v>45118</v>
      </c>
      <c r="B1085" s="8" t="s">
        <v>12</v>
      </c>
      <c r="C1085" s="8" t="s">
        <v>12</v>
      </c>
      <c r="D1085" s="9" t="str">
        <f>HYPERLINK("https://www.marklines.com/en/global/10439","SAIC-GM Ultium Center")</f>
        <v>SAIC-GM Ultium Center</v>
      </c>
      <c r="E1085" s="8" t="s">
        <v>464</v>
      </c>
      <c r="F1085" s="8" t="s">
        <v>20</v>
      </c>
      <c r="G1085" s="8" t="s">
        <v>27</v>
      </c>
      <c r="H1085" s="8" t="s">
        <v>106</v>
      </c>
      <c r="I1085" s="10">
        <v>45112</v>
      </c>
      <c r="J1085" s="8" t="s">
        <v>465</v>
      </c>
    </row>
    <row r="1086" spans="1:10" x14ac:dyDescent="0.15">
      <c r="A1086" s="7">
        <v>45118</v>
      </c>
      <c r="B1086" s="8" t="s">
        <v>12</v>
      </c>
      <c r="C1086" s="8" t="s">
        <v>12</v>
      </c>
      <c r="D1086" s="9" t="str">
        <f>HYPERLINK("https://www.marklines.com/en/global/10642","SAIC-GM Wuhan Ultium Center")</f>
        <v>SAIC-GM Wuhan Ultium Center</v>
      </c>
      <c r="E1086" s="8" t="s">
        <v>466</v>
      </c>
      <c r="F1086" s="8" t="s">
        <v>20</v>
      </c>
      <c r="G1086" s="8" t="s">
        <v>27</v>
      </c>
      <c r="H1086" s="8" t="s">
        <v>46</v>
      </c>
      <c r="I1086" s="10">
        <v>45112</v>
      </c>
      <c r="J1086" s="8" t="s">
        <v>465</v>
      </c>
    </row>
    <row r="1087" spans="1:10" x14ac:dyDescent="0.15">
      <c r="A1087" s="7">
        <v>45118</v>
      </c>
      <c r="B1087" s="8" t="s">
        <v>12</v>
      </c>
      <c r="C1087" s="8" t="s">
        <v>12</v>
      </c>
      <c r="D1087" s="9" t="str">
        <f>HYPERLINK("https://www.marklines.com/en/global/3621","SAIC General Motors Co., Ltd. (SAIC-GM)")</f>
        <v>SAIC General Motors Co., Ltd. (SAIC-GM)</v>
      </c>
      <c r="E1087" s="8" t="s">
        <v>467</v>
      </c>
      <c r="F1087" s="8" t="s">
        <v>20</v>
      </c>
      <c r="G1087" s="8" t="s">
        <v>27</v>
      </c>
      <c r="H1087" s="8" t="s">
        <v>106</v>
      </c>
      <c r="I1087" s="10">
        <v>45112</v>
      </c>
      <c r="J1087" s="8" t="s">
        <v>465</v>
      </c>
    </row>
    <row r="1088" spans="1:10" x14ac:dyDescent="0.15">
      <c r="A1088" s="7">
        <v>45118</v>
      </c>
      <c r="B1088" s="8" t="s">
        <v>12</v>
      </c>
      <c r="C1088" s="8" t="s">
        <v>12</v>
      </c>
      <c r="D1088" s="9" t="str">
        <f>HYPERLINK("https://www.marklines.com/en/global/3697","SAIC-GM Dong Yue Motors Co., Ltd.")</f>
        <v>SAIC-GM Dong Yue Motors Co., Ltd.</v>
      </c>
      <c r="E1088" s="8" t="s">
        <v>468</v>
      </c>
      <c r="F1088" s="8" t="s">
        <v>20</v>
      </c>
      <c r="G1088" s="8" t="s">
        <v>27</v>
      </c>
      <c r="H1088" s="8" t="s">
        <v>469</v>
      </c>
      <c r="I1088" s="10">
        <v>45112</v>
      </c>
      <c r="J1088" s="8" t="s">
        <v>465</v>
      </c>
    </row>
    <row r="1089" spans="1:10" x14ac:dyDescent="0.15">
      <c r="A1089" s="7">
        <v>45118</v>
      </c>
      <c r="B1089" s="8" t="s">
        <v>470</v>
      </c>
      <c r="C1089" s="8" t="s">
        <v>470</v>
      </c>
      <c r="D1089" s="9" t="str">
        <f>HYPERLINK("https://www.marklines.com/en/global/9503","Shanghai NIO Automobile Co., Ltd.")</f>
        <v>Shanghai NIO Automobile Co., Ltd.</v>
      </c>
      <c r="E1089" s="8" t="s">
        <v>471</v>
      </c>
      <c r="F1089" s="8" t="s">
        <v>20</v>
      </c>
      <c r="G1089" s="8" t="s">
        <v>27</v>
      </c>
      <c r="H1089" s="8" t="s">
        <v>106</v>
      </c>
      <c r="I1089" s="10">
        <v>45111</v>
      </c>
      <c r="J1089" s="8" t="s">
        <v>472</v>
      </c>
    </row>
    <row r="1090" spans="1:10" x14ac:dyDescent="0.15">
      <c r="A1090" s="7">
        <v>45118</v>
      </c>
      <c r="B1090" s="8" t="s">
        <v>142</v>
      </c>
      <c r="C1090" s="8" t="s">
        <v>473</v>
      </c>
      <c r="D1090" s="9" t="str">
        <f>HYPERLINK("https://www.marklines.com/en/global/3803","Higer Bus Co., Ltd.")</f>
        <v>Higer Bus Co., Ltd.</v>
      </c>
      <c r="E1090" s="8" t="s">
        <v>474</v>
      </c>
      <c r="F1090" s="8" t="s">
        <v>20</v>
      </c>
      <c r="G1090" s="8" t="s">
        <v>27</v>
      </c>
      <c r="H1090" s="8" t="s">
        <v>52</v>
      </c>
      <c r="I1090" s="10">
        <v>45111</v>
      </c>
      <c r="J1090" s="8" t="s">
        <v>475</v>
      </c>
    </row>
    <row r="1091" spans="1:10" x14ac:dyDescent="0.15">
      <c r="A1091" s="7">
        <v>45117</v>
      </c>
      <c r="B1091" s="8" t="s">
        <v>13</v>
      </c>
      <c r="C1091" s="8" t="s">
        <v>362</v>
      </c>
      <c r="D1091" s="9" t="str">
        <f>HYPERLINK("https://www.marklines.com/en/global/803","JSC UralAZ (Ural Avtomobilny Zavod), Chelyabinsk Plant")</f>
        <v>JSC UralAZ (Ural Avtomobilny Zavod), Chelyabinsk Plant</v>
      </c>
      <c r="E1091" s="8" t="s">
        <v>363</v>
      </c>
      <c r="F1091" s="8" t="s">
        <v>18</v>
      </c>
      <c r="G1091" s="8" t="s">
        <v>14</v>
      </c>
      <c r="H1091" s="8"/>
      <c r="I1091" s="10">
        <v>45117</v>
      </c>
      <c r="J1091" s="8" t="s">
        <v>476</v>
      </c>
    </row>
    <row r="1092" spans="1:10" x14ac:dyDescent="0.15">
      <c r="A1092" s="7">
        <v>45117</v>
      </c>
      <c r="B1092" s="8" t="s">
        <v>13</v>
      </c>
      <c r="C1092" s="8" t="s">
        <v>444</v>
      </c>
      <c r="D1092" s="9" t="str">
        <f>HYPERLINK("https://www.marklines.com/en/global/799","OAO UAZ (Ulyanovsky Avtomobilny Zavod), Ulyanovsk Plant")</f>
        <v>OAO UAZ (Ulyanovsky Avtomobilny Zavod), Ulyanovsk Plant</v>
      </c>
      <c r="E1092" s="8" t="s">
        <v>477</v>
      </c>
      <c r="F1092" s="8" t="s">
        <v>18</v>
      </c>
      <c r="G1092" s="8" t="s">
        <v>14</v>
      </c>
      <c r="H1092" s="8"/>
      <c r="I1092" s="10">
        <v>45117</v>
      </c>
      <c r="J1092" s="8" t="s">
        <v>478</v>
      </c>
    </row>
    <row r="1093" spans="1:10" x14ac:dyDescent="0.15">
      <c r="A1093" s="7">
        <v>45117</v>
      </c>
      <c r="B1093" s="8" t="s">
        <v>39</v>
      </c>
      <c r="C1093" s="8" t="s">
        <v>39</v>
      </c>
      <c r="D1093" s="9" t="str">
        <f>HYPERLINK("https://www.marklines.com/en/global/2205","BMW AG, Munich Plant")</f>
        <v>BMW AG, Munich Plant</v>
      </c>
      <c r="E1093" s="8" t="s">
        <v>479</v>
      </c>
      <c r="F1093" s="8" t="s">
        <v>17</v>
      </c>
      <c r="G1093" s="8" t="s">
        <v>21</v>
      </c>
      <c r="H1093" s="8"/>
      <c r="I1093" s="10">
        <v>45116</v>
      </c>
      <c r="J1093" s="8" t="s">
        <v>480</v>
      </c>
    </row>
    <row r="1094" spans="1:10" x14ac:dyDescent="0.15">
      <c r="A1094" s="7">
        <v>45117</v>
      </c>
      <c r="B1094" s="8" t="s">
        <v>50</v>
      </c>
      <c r="C1094" s="8" t="s">
        <v>50</v>
      </c>
      <c r="D1094" s="9" t="str">
        <f>HYPERLINK("https://www.marklines.com/en/global/1061","Pak Suzuki Motor Co., Ltd. (PSMCL), Karachi Plant")</f>
        <v>Pak Suzuki Motor Co., Ltd. (PSMCL), Karachi Plant</v>
      </c>
      <c r="E1094" s="8" t="s">
        <v>481</v>
      </c>
      <c r="F1094" s="8" t="s">
        <v>25</v>
      </c>
      <c r="G1094" s="8" t="s">
        <v>366</v>
      </c>
      <c r="H1094" s="8"/>
      <c r="I1094" s="10">
        <v>45114</v>
      </c>
      <c r="J1094" s="8" t="s">
        <v>482</v>
      </c>
    </row>
    <row r="1095" spans="1:10" x14ac:dyDescent="0.15">
      <c r="A1095" s="7">
        <v>45117</v>
      </c>
      <c r="B1095" s="8" t="s">
        <v>39</v>
      </c>
      <c r="C1095" s="8" t="s">
        <v>39</v>
      </c>
      <c r="D1095" s="9" t="str">
        <f>HYPERLINK("https://www.marklines.com/en/global/2207","BMW AG, Dingolfing Plant")</f>
        <v>BMW AG, Dingolfing Plant</v>
      </c>
      <c r="E1095" s="8" t="s">
        <v>483</v>
      </c>
      <c r="F1095" s="8" t="s">
        <v>17</v>
      </c>
      <c r="G1095" s="8" t="s">
        <v>21</v>
      </c>
      <c r="H1095" s="8"/>
      <c r="I1095" s="10">
        <v>45114</v>
      </c>
      <c r="J1095" s="8" t="s">
        <v>484</v>
      </c>
    </row>
    <row r="1096" spans="1:10" x14ac:dyDescent="0.15">
      <c r="A1096" s="7">
        <v>45117</v>
      </c>
      <c r="B1096" s="8" t="s">
        <v>28</v>
      </c>
      <c r="C1096" s="8" t="s">
        <v>485</v>
      </c>
      <c r="D1096" s="9" t="str">
        <f>HYPERLINK("https://www.marklines.com/en/global/2137","Daimler Buses GmbH, Mannheim Plant (formerly EvoBus）")</f>
        <v>Daimler Buses GmbH, Mannheim Plant (formerly EvoBus）</v>
      </c>
      <c r="E1096" s="8" t="s">
        <v>486</v>
      </c>
      <c r="F1096" s="8" t="s">
        <v>17</v>
      </c>
      <c r="G1096" s="8" t="s">
        <v>21</v>
      </c>
      <c r="H1096" s="8"/>
      <c r="I1096" s="10">
        <v>45113</v>
      </c>
      <c r="J1096" s="8" t="s">
        <v>487</v>
      </c>
    </row>
    <row r="1097" spans="1:10" x14ac:dyDescent="0.15">
      <c r="A1097" s="7">
        <v>45117</v>
      </c>
      <c r="B1097" s="8" t="s">
        <v>28</v>
      </c>
      <c r="C1097" s="8" t="s">
        <v>488</v>
      </c>
      <c r="D1097" s="9" t="str">
        <f>HYPERLINK("https://www.marklines.com/en/global/2243","Daimler Truck AG, Wörth Plant")</f>
        <v>Daimler Truck AG, Wörth Plant</v>
      </c>
      <c r="E1097" s="8" t="s">
        <v>489</v>
      </c>
      <c r="F1097" s="8" t="s">
        <v>17</v>
      </c>
      <c r="G1097" s="8" t="s">
        <v>21</v>
      </c>
      <c r="H1097" s="8"/>
      <c r="I1097" s="10">
        <v>45113</v>
      </c>
      <c r="J1097" s="8" t="s">
        <v>487</v>
      </c>
    </row>
    <row r="1098" spans="1:10" x14ac:dyDescent="0.15">
      <c r="A1098" s="7">
        <v>45117</v>
      </c>
      <c r="B1098" s="8" t="s">
        <v>28</v>
      </c>
      <c r="C1098" s="8" t="s">
        <v>488</v>
      </c>
      <c r="D1098" s="9" t="str">
        <f>HYPERLINK("https://www.marklines.com/en/global/2227","Daimler Truck AG, Mannheim Plant")</f>
        <v>Daimler Truck AG, Mannheim Plant</v>
      </c>
      <c r="E1098" s="8" t="s">
        <v>490</v>
      </c>
      <c r="F1098" s="8" t="s">
        <v>17</v>
      </c>
      <c r="G1098" s="8" t="s">
        <v>21</v>
      </c>
      <c r="H1098" s="8"/>
      <c r="I1098" s="10">
        <v>45112</v>
      </c>
      <c r="J1098" s="8" t="s">
        <v>491</v>
      </c>
    </row>
    <row r="1099" spans="1:10" x14ac:dyDescent="0.15">
      <c r="A1099" s="7">
        <v>45115</v>
      </c>
      <c r="B1099" s="8" t="s">
        <v>12</v>
      </c>
      <c r="C1099" s="8" t="s">
        <v>19</v>
      </c>
      <c r="D1099" s="9" t="str">
        <f>HYPERLINK("https://www.marklines.com/en/global/2847","General Motors Brazil, Sao Jose dos Campos Plant")</f>
        <v>General Motors Brazil, Sao Jose dos Campos Plant</v>
      </c>
      <c r="E1099" s="8" t="s">
        <v>492</v>
      </c>
      <c r="F1099" s="8" t="s">
        <v>74</v>
      </c>
      <c r="G1099" s="8" t="s">
        <v>75</v>
      </c>
      <c r="H1099" s="8"/>
      <c r="I1099" s="10">
        <v>45110</v>
      </c>
      <c r="J1099" s="8" t="s">
        <v>493</v>
      </c>
    </row>
    <row r="1100" spans="1:10" x14ac:dyDescent="0.15">
      <c r="A1100" s="7">
        <v>45115</v>
      </c>
      <c r="B1100" s="8" t="s">
        <v>28</v>
      </c>
      <c r="C1100" s="8" t="s">
        <v>488</v>
      </c>
      <c r="D1100" s="9" t="str">
        <f>HYPERLINK("https://www.marklines.com/en/global/2829","Daimler Truck, São Bernardo do Campo Plant, Mercedes-Benz do Brasil Ltda. ")</f>
        <v xml:space="preserve">Daimler Truck, São Bernardo do Campo Plant, Mercedes-Benz do Brasil Ltda. </v>
      </c>
      <c r="E1100" s="8" t="s">
        <v>494</v>
      </c>
      <c r="F1100" s="8" t="s">
        <v>74</v>
      </c>
      <c r="G1100" s="8" t="s">
        <v>75</v>
      </c>
      <c r="H1100" s="8"/>
      <c r="I1100" s="10">
        <v>45106</v>
      </c>
      <c r="J1100" s="8" t="s">
        <v>495</v>
      </c>
    </row>
    <row r="1101" spans="1:10" x14ac:dyDescent="0.15">
      <c r="A1101" s="7">
        <v>45114</v>
      </c>
      <c r="B1101" s="8" t="s">
        <v>198</v>
      </c>
      <c r="C1101" s="8" t="s">
        <v>198</v>
      </c>
      <c r="D1101" s="9" t="str">
        <f>HYPERLINK("https://www.marklines.com/en/global/1809","Magna Steyr Fahrzeugtechnik AG &amp; Co KG, Graz Plant")</f>
        <v>Magna Steyr Fahrzeugtechnik AG &amp; Co KG, Graz Plant</v>
      </c>
      <c r="E1101" s="8" t="s">
        <v>101</v>
      </c>
      <c r="F1101" s="8" t="s">
        <v>17</v>
      </c>
      <c r="G1101" s="8" t="s">
        <v>102</v>
      </c>
      <c r="H1101" s="8"/>
      <c r="I1101" s="10">
        <v>45114</v>
      </c>
      <c r="J1101" s="8" t="s">
        <v>199</v>
      </c>
    </row>
    <row r="1102" spans="1:10" x14ac:dyDescent="0.15">
      <c r="A1102" s="7">
        <v>45114</v>
      </c>
      <c r="B1102" s="8" t="s">
        <v>43</v>
      </c>
      <c r="C1102" s="8" t="s">
        <v>127</v>
      </c>
      <c r="D1102" s="9" t="str">
        <f>HYPERLINK("https://www.marklines.com/en/global/2199","Audi AG, Ingolstadt Plant")</f>
        <v>Audi AG, Ingolstadt Plant</v>
      </c>
      <c r="E1102" s="8" t="s">
        <v>179</v>
      </c>
      <c r="F1102" s="8" t="s">
        <v>17</v>
      </c>
      <c r="G1102" s="8" t="s">
        <v>21</v>
      </c>
      <c r="H1102" s="8"/>
      <c r="I1102" s="10">
        <v>45113</v>
      </c>
      <c r="J1102" s="8" t="s">
        <v>200</v>
      </c>
    </row>
    <row r="1103" spans="1:10" x14ac:dyDescent="0.15">
      <c r="A1103" s="7">
        <v>45114</v>
      </c>
      <c r="B1103" s="8" t="s">
        <v>68</v>
      </c>
      <c r="C1103" s="8" t="s">
        <v>72</v>
      </c>
      <c r="D1103" s="9" t="str">
        <f>HYPERLINK("https://www.marklines.com/en/global/1931","Stellantis, Opel Espana de Automoviles, S.A., Zaragoza Plant")</f>
        <v>Stellantis, Opel Espana de Automoviles, S.A., Zaragoza Plant</v>
      </c>
      <c r="E1103" s="8" t="s">
        <v>157</v>
      </c>
      <c r="F1103" s="8" t="s">
        <v>17</v>
      </c>
      <c r="G1103" s="8" t="s">
        <v>114</v>
      </c>
      <c r="H1103" s="8"/>
      <c r="I1103" s="10">
        <v>45113</v>
      </c>
      <c r="J1103" s="8" t="s">
        <v>201</v>
      </c>
    </row>
    <row r="1104" spans="1:10" x14ac:dyDescent="0.15">
      <c r="A1104" s="7">
        <v>45114</v>
      </c>
      <c r="B1104" s="8" t="s">
        <v>24</v>
      </c>
      <c r="C1104" s="8" t="s">
        <v>24</v>
      </c>
      <c r="D1104" s="9" t="str">
        <f>HYPERLINK("https://www.marklines.com/en/global/613","Ford South Africa, Silverton Assembly Plant")</f>
        <v>Ford South Africa, Silverton Assembly Plant</v>
      </c>
      <c r="E1104" s="8" t="s">
        <v>171</v>
      </c>
      <c r="F1104" s="8" t="s">
        <v>164</v>
      </c>
      <c r="G1104" s="8" t="s">
        <v>165</v>
      </c>
      <c r="H1104" s="8"/>
      <c r="I1104" s="10">
        <v>45113</v>
      </c>
      <c r="J1104" s="8" t="s">
        <v>202</v>
      </c>
    </row>
    <row r="1105" spans="1:10" x14ac:dyDescent="0.15">
      <c r="A1105" s="7">
        <v>45114</v>
      </c>
      <c r="B1105" s="8" t="s">
        <v>68</v>
      </c>
      <c r="C1105" s="8" t="s">
        <v>68</v>
      </c>
      <c r="D1105" s="9" t="str">
        <f>HYPERLINK("https://www.marklines.com/en/global/1325","Stellantis, FCA Italy, Melfi Plant")</f>
        <v>Stellantis, FCA Italy, Melfi Plant</v>
      </c>
      <c r="E1105" s="8" t="s">
        <v>203</v>
      </c>
      <c r="F1105" s="8" t="s">
        <v>17</v>
      </c>
      <c r="G1105" s="8" t="s">
        <v>70</v>
      </c>
      <c r="H1105" s="8"/>
      <c r="I1105" s="10">
        <v>45113</v>
      </c>
      <c r="J1105" s="8" t="s">
        <v>204</v>
      </c>
    </row>
    <row r="1106" spans="1:10" x14ac:dyDescent="0.15">
      <c r="A1106" s="7">
        <v>45114</v>
      </c>
      <c r="B1106" s="8" t="s">
        <v>109</v>
      </c>
      <c r="C1106" s="8" t="s">
        <v>109</v>
      </c>
      <c r="D1106" s="9" t="str">
        <f>HYPERLINK("https://www.marklines.com/en/global/1533","Alexander Dennis Ltd. Bus Body Group, Falkirk Plant")</f>
        <v>Alexander Dennis Ltd. Bus Body Group, Falkirk Plant</v>
      </c>
      <c r="E1106" s="8" t="s">
        <v>88</v>
      </c>
      <c r="F1106" s="8" t="s">
        <v>17</v>
      </c>
      <c r="G1106" s="8" t="s">
        <v>73</v>
      </c>
      <c r="H1106" s="8"/>
      <c r="I1106" s="10">
        <v>45113</v>
      </c>
      <c r="J1106" s="8" t="s">
        <v>205</v>
      </c>
    </row>
    <row r="1107" spans="1:10" x14ac:dyDescent="0.15">
      <c r="A1107" s="7">
        <v>45114</v>
      </c>
      <c r="B1107" s="8" t="s">
        <v>13</v>
      </c>
      <c r="C1107" s="8" t="s">
        <v>87</v>
      </c>
      <c r="D1107" s="9" t="str">
        <f>HYPERLINK("https://www.marklines.com/en/global/1533","Alexander Dennis Ltd. Bus Body Group, Falkirk Plant")</f>
        <v>Alexander Dennis Ltd. Bus Body Group, Falkirk Plant</v>
      </c>
      <c r="E1107" s="8" t="s">
        <v>88</v>
      </c>
      <c r="F1107" s="8" t="s">
        <v>17</v>
      </c>
      <c r="G1107" s="8" t="s">
        <v>73</v>
      </c>
      <c r="H1107" s="8"/>
      <c r="I1107" s="10">
        <v>45113</v>
      </c>
      <c r="J1107" s="8" t="s">
        <v>205</v>
      </c>
    </row>
    <row r="1108" spans="1:10" x14ac:dyDescent="0.15">
      <c r="A1108" s="7">
        <v>45114</v>
      </c>
      <c r="B1108" s="8" t="s">
        <v>13</v>
      </c>
      <c r="C1108" s="8" t="s">
        <v>13</v>
      </c>
      <c r="D1108" s="9" t="str">
        <f>HYPERLINK("https://www.marklines.com/en/global/10544","EKA Mobility, Pithampur Plant")</f>
        <v>EKA Mobility, Pithampur Plant</v>
      </c>
      <c r="E1108" s="8" t="s">
        <v>206</v>
      </c>
      <c r="F1108" s="8" t="s">
        <v>25</v>
      </c>
      <c r="G1108" s="8" t="s">
        <v>26</v>
      </c>
      <c r="H1108" s="8" t="s">
        <v>207</v>
      </c>
      <c r="I1108" s="10">
        <v>45113</v>
      </c>
      <c r="J1108" s="8" t="s">
        <v>208</v>
      </c>
    </row>
    <row r="1109" spans="1:10" x14ac:dyDescent="0.15">
      <c r="A1109" s="7">
        <v>45114</v>
      </c>
      <c r="B1109" s="8" t="s">
        <v>60</v>
      </c>
      <c r="C1109" s="8" t="s">
        <v>61</v>
      </c>
      <c r="D1109" s="9" t="str">
        <f>HYPERLINK("https://www.marklines.com/en/global/2237","Mercedes-Benz Group AG, Bremen Plant")</f>
        <v>Mercedes-Benz Group AG, Bremen Plant</v>
      </c>
      <c r="E1109" s="8" t="s">
        <v>190</v>
      </c>
      <c r="F1109" s="8" t="s">
        <v>17</v>
      </c>
      <c r="G1109" s="8" t="s">
        <v>21</v>
      </c>
      <c r="H1109" s="8"/>
      <c r="I1109" s="10">
        <v>45112</v>
      </c>
      <c r="J1109" s="8" t="s">
        <v>209</v>
      </c>
    </row>
    <row r="1110" spans="1:10" x14ac:dyDescent="0.15">
      <c r="A1110" s="7">
        <v>45114</v>
      </c>
      <c r="B1110" s="8" t="s">
        <v>68</v>
      </c>
      <c r="C1110" s="8" t="s">
        <v>68</v>
      </c>
      <c r="D1110" s="9" t="str">
        <f>HYPERLINK("https://www.marklines.com/en/global/10577","NextStar Energy, Windsor Battery Plant")</f>
        <v>NextStar Energy, Windsor Battery Plant</v>
      </c>
      <c r="E1110" s="8" t="s">
        <v>169</v>
      </c>
      <c r="F1110" s="8" t="s">
        <v>16</v>
      </c>
      <c r="G1110" s="8" t="s">
        <v>82</v>
      </c>
      <c r="H1110" s="8"/>
      <c r="I1110" s="10">
        <v>45112</v>
      </c>
      <c r="J1110" s="8" t="s">
        <v>210</v>
      </c>
    </row>
    <row r="1111" spans="1:10" x14ac:dyDescent="0.15">
      <c r="A1111" s="7">
        <v>45114</v>
      </c>
      <c r="B1111" s="8" t="s">
        <v>39</v>
      </c>
      <c r="C1111" s="8" t="s">
        <v>39</v>
      </c>
      <c r="D1111" s="9" t="str">
        <f>HYPERLINK("https://www.marklines.com/en/global/3373","BMW Brilliance Automotive Limited (BBA)")</f>
        <v>BMW Brilliance Automotive Limited (BBA)</v>
      </c>
      <c r="E1111" s="8" t="s">
        <v>211</v>
      </c>
      <c r="F1111" s="8" t="s">
        <v>20</v>
      </c>
      <c r="G1111" s="8" t="s">
        <v>27</v>
      </c>
      <c r="H1111" s="8" t="s">
        <v>37</v>
      </c>
      <c r="I1111" s="10">
        <v>45110</v>
      </c>
      <c r="J1111" s="8" t="s">
        <v>212</v>
      </c>
    </row>
    <row r="1112" spans="1:10" x14ac:dyDescent="0.15">
      <c r="A1112" s="7">
        <v>45114</v>
      </c>
      <c r="B1112" s="8" t="s">
        <v>96</v>
      </c>
      <c r="C1112" s="8" t="s">
        <v>96</v>
      </c>
      <c r="D1112" s="9" t="str">
        <f>HYPERLINK("https://www.marklines.com/en/global/3373","BMW Brilliance Automotive Limited (BBA)")</f>
        <v>BMW Brilliance Automotive Limited (BBA)</v>
      </c>
      <c r="E1112" s="8" t="s">
        <v>211</v>
      </c>
      <c r="F1112" s="8" t="s">
        <v>20</v>
      </c>
      <c r="G1112" s="8" t="s">
        <v>27</v>
      </c>
      <c r="H1112" s="8" t="s">
        <v>37</v>
      </c>
      <c r="I1112" s="10">
        <v>45110</v>
      </c>
      <c r="J1112" s="8" t="s">
        <v>212</v>
      </c>
    </row>
    <row r="1113" spans="1:10" x14ac:dyDescent="0.15">
      <c r="A1113" s="7">
        <v>45114</v>
      </c>
      <c r="B1113" s="8" t="s">
        <v>109</v>
      </c>
      <c r="C1113" s="8" t="s">
        <v>109</v>
      </c>
      <c r="D1113" s="9" t="str">
        <f>HYPERLINK("https://www.marklines.com/en/global/4043","BYD Automobile Industry Co., Ltd., Changsha Branch")</f>
        <v>BYD Automobile Industry Co., Ltd., Changsha Branch</v>
      </c>
      <c r="E1113" s="8" t="s">
        <v>136</v>
      </c>
      <c r="F1113" s="8" t="s">
        <v>20</v>
      </c>
      <c r="G1113" s="8" t="s">
        <v>27</v>
      </c>
      <c r="H1113" s="8" t="s">
        <v>112</v>
      </c>
      <c r="I1113" s="10">
        <v>45107</v>
      </c>
      <c r="J1113" s="8" t="s">
        <v>213</v>
      </c>
    </row>
    <row r="1114" spans="1:10" x14ac:dyDescent="0.15">
      <c r="A1114" s="7">
        <v>45114</v>
      </c>
      <c r="B1114" s="8" t="s">
        <v>41</v>
      </c>
      <c r="C1114" s="8" t="s">
        <v>145</v>
      </c>
      <c r="D1114" s="9" t="str">
        <f>HYPERLINK("https://www.marklines.com/en/global/6451","SAIC MAXUS Automotive Co., Ltd. Wuxi Branch")</f>
        <v>SAIC MAXUS Automotive Co., Ltd. Wuxi Branch</v>
      </c>
      <c r="E1114" s="8" t="s">
        <v>146</v>
      </c>
      <c r="F1114" s="8" t="s">
        <v>20</v>
      </c>
      <c r="G1114" s="8" t="s">
        <v>27</v>
      </c>
      <c r="H1114" s="8" t="s">
        <v>52</v>
      </c>
      <c r="I1114" s="10">
        <v>45106</v>
      </c>
      <c r="J1114" s="8" t="s">
        <v>214</v>
      </c>
    </row>
    <row r="1115" spans="1:10" x14ac:dyDescent="0.15">
      <c r="A1115" s="7">
        <v>45114</v>
      </c>
      <c r="B1115" s="8" t="s">
        <v>41</v>
      </c>
      <c r="C1115" s="8" t="s">
        <v>145</v>
      </c>
      <c r="D1115" s="9" t="str">
        <f>HYPERLINK("https://www.marklines.com/en/global/9598","SAIC MAXUS Automotive Co., Ltd. Nanjing Branch")</f>
        <v>SAIC MAXUS Automotive Co., Ltd. Nanjing Branch</v>
      </c>
      <c r="E1115" s="8" t="s">
        <v>147</v>
      </c>
      <c r="F1115" s="8" t="s">
        <v>20</v>
      </c>
      <c r="G1115" s="8" t="s">
        <v>27</v>
      </c>
      <c r="H1115" s="8" t="s">
        <v>52</v>
      </c>
      <c r="I1115" s="10">
        <v>45106</v>
      </c>
      <c r="J1115" s="8" t="s">
        <v>214</v>
      </c>
    </row>
    <row r="1116" spans="1:10" x14ac:dyDescent="0.15">
      <c r="A1116" s="7">
        <v>45114</v>
      </c>
      <c r="B1116" s="8" t="s">
        <v>15</v>
      </c>
      <c r="C1116" s="8" t="s">
        <v>15</v>
      </c>
      <c r="D1116" s="9" t="str">
        <f>HYPERLINK("https://www.marklines.com/en/global/447","Honda Motor, Kumamoto Factory")</f>
        <v>Honda Motor, Kumamoto Factory</v>
      </c>
      <c r="E1116" s="8" t="s">
        <v>166</v>
      </c>
      <c r="F1116" s="8" t="s">
        <v>20</v>
      </c>
      <c r="G1116" s="8" t="s">
        <v>23</v>
      </c>
      <c r="H1116" s="8" t="s">
        <v>167</v>
      </c>
      <c r="I1116" s="10">
        <v>45106</v>
      </c>
      <c r="J1116" s="8" t="s">
        <v>215</v>
      </c>
    </row>
    <row r="1117" spans="1:10" x14ac:dyDescent="0.15">
      <c r="A1117" s="7">
        <v>45114</v>
      </c>
      <c r="B1117" s="8" t="s">
        <v>28</v>
      </c>
      <c r="C1117" s="8" t="s">
        <v>173</v>
      </c>
      <c r="D1117" s="9" t="str">
        <f>HYPERLINK("https://www.marklines.com/en/global/585","Mitsubishi Fuso Truck and Bus, Nakatsu Plant")</f>
        <v>Mitsubishi Fuso Truck and Bus, Nakatsu Plant</v>
      </c>
      <c r="E1117" s="8" t="s">
        <v>216</v>
      </c>
      <c r="F1117" s="8" t="s">
        <v>20</v>
      </c>
      <c r="G1117" s="8" t="s">
        <v>23</v>
      </c>
      <c r="H1117" s="8" t="s">
        <v>132</v>
      </c>
      <c r="I1117" s="10">
        <v>45105</v>
      </c>
      <c r="J1117" s="8" t="s">
        <v>217</v>
      </c>
    </row>
    <row r="1118" spans="1:10" x14ac:dyDescent="0.15">
      <c r="A1118" s="7">
        <v>45114</v>
      </c>
      <c r="B1118" s="8" t="s">
        <v>28</v>
      </c>
      <c r="C1118" s="8" t="s">
        <v>173</v>
      </c>
      <c r="D1118" s="9" t="str">
        <f>HYPERLINK("https://www.marklines.com/en/global/581","Mitsubishi Fuso Truck and Bus, Kawasaki Plant")</f>
        <v>Mitsubishi Fuso Truck and Bus, Kawasaki Plant</v>
      </c>
      <c r="E1118" s="8" t="s">
        <v>186</v>
      </c>
      <c r="F1118" s="8" t="s">
        <v>20</v>
      </c>
      <c r="G1118" s="8" t="s">
        <v>23</v>
      </c>
      <c r="H1118" s="8" t="s">
        <v>132</v>
      </c>
      <c r="I1118" s="10">
        <v>45105</v>
      </c>
      <c r="J1118" s="8" t="s">
        <v>217</v>
      </c>
    </row>
    <row r="1119" spans="1:10" x14ac:dyDescent="0.15">
      <c r="A1119" s="7">
        <v>45114</v>
      </c>
      <c r="B1119" s="8" t="s">
        <v>28</v>
      </c>
      <c r="C1119" s="8" t="s">
        <v>173</v>
      </c>
      <c r="D1119" s="9" t="str">
        <f>HYPERLINK("https://www.marklines.com/en/global/589","Mitsubishi Fuso Bus Manufacturing Co., Ltd., Toyama Plant")</f>
        <v>Mitsubishi Fuso Bus Manufacturing Co., Ltd., Toyama Plant</v>
      </c>
      <c r="E1119" s="8" t="s">
        <v>218</v>
      </c>
      <c r="F1119" s="8" t="s">
        <v>20</v>
      </c>
      <c r="G1119" s="8" t="s">
        <v>23</v>
      </c>
      <c r="H1119" s="8" t="s">
        <v>219</v>
      </c>
      <c r="I1119" s="10">
        <v>45105</v>
      </c>
      <c r="J1119" s="8" t="s">
        <v>217</v>
      </c>
    </row>
    <row r="1120" spans="1:10" x14ac:dyDescent="0.15">
      <c r="A1120" s="7">
        <v>45113</v>
      </c>
      <c r="B1120" s="8" t="s">
        <v>24</v>
      </c>
      <c r="C1120" s="8" t="s">
        <v>24</v>
      </c>
      <c r="D1120" s="9" t="str">
        <f>HYPERLINK("https://www.marklines.com/en/global/2149","Ford Transmissions GmbH, Cologne (Koln) Plant")</f>
        <v>Ford Transmissions GmbH, Cologne (Koln) Plant</v>
      </c>
      <c r="E1120" s="8" t="s">
        <v>220</v>
      </c>
      <c r="F1120" s="8" t="s">
        <v>17</v>
      </c>
      <c r="G1120" s="8" t="s">
        <v>21</v>
      </c>
      <c r="H1120" s="8"/>
      <c r="I1120" s="10">
        <v>45113</v>
      </c>
      <c r="J1120" s="8" t="s">
        <v>221</v>
      </c>
    </row>
    <row r="1121" spans="1:10" x14ac:dyDescent="0.15">
      <c r="A1121" s="7">
        <v>45113</v>
      </c>
      <c r="B1121" s="8" t="s">
        <v>24</v>
      </c>
      <c r="C1121" s="8" t="s">
        <v>24</v>
      </c>
      <c r="D1121" s="9" t="str">
        <f>HYPERLINK("https://www.marklines.com/en/global/9087","Cotarko Cologne GmbH, Cotarko Cologne (Koln) Plant")</f>
        <v>Cotarko Cologne GmbH, Cotarko Cologne (Koln) Plant</v>
      </c>
      <c r="E1121" s="8" t="s">
        <v>222</v>
      </c>
      <c r="F1121" s="8" t="s">
        <v>17</v>
      </c>
      <c r="G1121" s="8" t="s">
        <v>21</v>
      </c>
      <c r="H1121" s="8"/>
      <c r="I1121" s="10">
        <v>45113</v>
      </c>
      <c r="J1121" s="8" t="s">
        <v>221</v>
      </c>
    </row>
    <row r="1122" spans="1:10" x14ac:dyDescent="0.15">
      <c r="A1122" s="7">
        <v>45113</v>
      </c>
      <c r="B1122" s="8" t="s">
        <v>24</v>
      </c>
      <c r="C1122" s="8" t="s">
        <v>24</v>
      </c>
      <c r="D1122" s="9" t="str">
        <f>HYPERLINK("https://www.marklines.com/en/global/2143","Ford Motor Germany, Cologne (Koln)-Niehl Plant")</f>
        <v>Ford Motor Germany, Cologne (Koln)-Niehl Plant</v>
      </c>
      <c r="E1122" s="8" t="s">
        <v>99</v>
      </c>
      <c r="F1122" s="8" t="s">
        <v>17</v>
      </c>
      <c r="G1122" s="8" t="s">
        <v>21</v>
      </c>
      <c r="H1122" s="8"/>
      <c r="I1122" s="10">
        <v>45113</v>
      </c>
      <c r="J1122" s="8" t="s">
        <v>221</v>
      </c>
    </row>
    <row r="1123" spans="1:10" x14ac:dyDescent="0.15">
      <c r="A1123" s="7">
        <v>45113</v>
      </c>
      <c r="B1123" s="8" t="s">
        <v>50</v>
      </c>
      <c r="C1123" s="8" t="s">
        <v>50</v>
      </c>
      <c r="D1123" s="9" t="str">
        <f>HYPERLINK("https://www.marklines.com/en/global/1256","Suzuki Motor Gujarat Private Limited (SMG), Hansalpur plant")</f>
        <v>Suzuki Motor Gujarat Private Limited (SMG), Hansalpur plant</v>
      </c>
      <c r="E1123" s="8" t="s">
        <v>223</v>
      </c>
      <c r="F1123" s="8" t="s">
        <v>25</v>
      </c>
      <c r="G1123" s="8" t="s">
        <v>26</v>
      </c>
      <c r="H1123" s="8" t="s">
        <v>95</v>
      </c>
      <c r="I1123" s="10">
        <v>45113</v>
      </c>
      <c r="J1123" s="8" t="s">
        <v>224</v>
      </c>
    </row>
    <row r="1124" spans="1:10" x14ac:dyDescent="0.15">
      <c r="A1124" s="7">
        <v>45113</v>
      </c>
      <c r="B1124" s="8" t="s">
        <v>124</v>
      </c>
      <c r="C1124" s="8" t="s">
        <v>125</v>
      </c>
      <c r="D1124" s="9" t="str">
        <f>HYPERLINK("https://www.marklines.com/en/global/3767","Jiangsu Yueda Kia Motors Co., Ltd. (First Plant) (formerly Kia Motors Co., Ltd. (First Plant))")</f>
        <v>Jiangsu Yueda Kia Motors Co., Ltd. (First Plant) (formerly Kia Motors Co., Ltd. (First Plant))</v>
      </c>
      <c r="E1124" s="8" t="s">
        <v>126</v>
      </c>
      <c r="F1124" s="8" t="s">
        <v>20</v>
      </c>
      <c r="G1124" s="8" t="s">
        <v>27</v>
      </c>
      <c r="H1124" s="8" t="s">
        <v>52</v>
      </c>
      <c r="I1124" s="10">
        <v>45112</v>
      </c>
      <c r="J1124" s="8" t="s">
        <v>225</v>
      </c>
    </row>
    <row r="1125" spans="1:10" x14ac:dyDescent="0.15">
      <c r="A1125" s="7">
        <v>45113</v>
      </c>
      <c r="B1125" s="8" t="s">
        <v>50</v>
      </c>
      <c r="C1125" s="8" t="s">
        <v>50</v>
      </c>
      <c r="D1125" s="9" t="str">
        <f>HYPERLINK("https://www.marklines.com/en/global/1287","Toyota Kirloskar Motor India (TKM), Bangalore Plant")</f>
        <v>Toyota Kirloskar Motor India (TKM), Bangalore Plant</v>
      </c>
      <c r="E1125" s="8" t="s">
        <v>115</v>
      </c>
      <c r="F1125" s="8" t="s">
        <v>25</v>
      </c>
      <c r="G1125" s="8" t="s">
        <v>26</v>
      </c>
      <c r="H1125" s="8" t="s">
        <v>116</v>
      </c>
      <c r="I1125" s="10">
        <v>45112</v>
      </c>
      <c r="J1125" s="8" t="s">
        <v>226</v>
      </c>
    </row>
    <row r="1126" spans="1:10" x14ac:dyDescent="0.15">
      <c r="A1126" s="7">
        <v>45113</v>
      </c>
      <c r="B1126" s="8" t="s">
        <v>68</v>
      </c>
      <c r="C1126" s="8" t="s">
        <v>68</v>
      </c>
      <c r="D1126" s="9" t="str">
        <f>HYPERLINK("https://www.marklines.com/en/global/10339","Stellantis, FCA ICT India (Hyderabad)")</f>
        <v>Stellantis, FCA ICT India (Hyderabad)</v>
      </c>
      <c r="E1126" s="8" t="s">
        <v>227</v>
      </c>
      <c r="F1126" s="8" t="s">
        <v>25</v>
      </c>
      <c r="G1126" s="8" t="s">
        <v>26</v>
      </c>
      <c r="H1126" s="8" t="s">
        <v>113</v>
      </c>
      <c r="I1126" s="10">
        <v>45112</v>
      </c>
      <c r="J1126" s="8" t="s">
        <v>228</v>
      </c>
    </row>
    <row r="1127" spans="1:10" x14ac:dyDescent="0.15">
      <c r="A1127" s="7">
        <v>45113</v>
      </c>
      <c r="B1127" s="8" t="s">
        <v>68</v>
      </c>
      <c r="C1127" s="8" t="s">
        <v>68</v>
      </c>
      <c r="D1127" s="9" t="str">
        <f>HYPERLINK("https://www.marklines.com/en/global/10591","Stellantis Software Centre (Bengaluru)")</f>
        <v>Stellantis Software Centre (Bengaluru)</v>
      </c>
      <c r="E1127" s="8" t="s">
        <v>229</v>
      </c>
      <c r="F1127" s="8" t="s">
        <v>25</v>
      </c>
      <c r="G1127" s="8" t="s">
        <v>26</v>
      </c>
      <c r="H1127" s="8" t="s">
        <v>230</v>
      </c>
      <c r="I1127" s="10">
        <v>45112</v>
      </c>
      <c r="J1127" s="8" t="s">
        <v>228</v>
      </c>
    </row>
    <row r="1128" spans="1:10" x14ac:dyDescent="0.15">
      <c r="A1128" s="7">
        <v>45113</v>
      </c>
      <c r="B1128" s="8" t="s">
        <v>68</v>
      </c>
      <c r="C1128" s="8" t="s">
        <v>79</v>
      </c>
      <c r="D1128" s="9" t="str">
        <f>HYPERLINK("https://www.marklines.com/en/global/9519","Stellantis, PSA, Morocco Kenitra Plant")</f>
        <v>Stellantis, PSA, Morocco Kenitra Plant</v>
      </c>
      <c r="E1128" s="8" t="s">
        <v>182</v>
      </c>
      <c r="F1128" s="8" t="s">
        <v>164</v>
      </c>
      <c r="G1128" s="8" t="s">
        <v>176</v>
      </c>
      <c r="H1128" s="8"/>
      <c r="I1128" s="10">
        <v>45111</v>
      </c>
      <c r="J1128" s="8" t="s">
        <v>231</v>
      </c>
    </row>
    <row r="1129" spans="1:10" x14ac:dyDescent="0.15">
      <c r="A1129" s="7">
        <v>45113</v>
      </c>
      <c r="B1129" s="8" t="s">
        <v>68</v>
      </c>
      <c r="C1129" s="8" t="s">
        <v>79</v>
      </c>
      <c r="D1129" s="9" t="str">
        <f>HYPERLINK("https://www.marklines.com/en/global/1655","Stellantis, Fiat Auto Poland S.A., Tychy Plant")</f>
        <v>Stellantis, Fiat Auto Poland S.A., Tychy Plant</v>
      </c>
      <c r="E1129" s="8" t="s">
        <v>81</v>
      </c>
      <c r="F1129" s="8" t="s">
        <v>18</v>
      </c>
      <c r="G1129" s="8" t="s">
        <v>32</v>
      </c>
      <c r="H1129" s="8"/>
      <c r="I1129" s="10">
        <v>45111</v>
      </c>
      <c r="J1129" s="8" t="s">
        <v>232</v>
      </c>
    </row>
    <row r="1130" spans="1:10" x14ac:dyDescent="0.15">
      <c r="A1130" s="7">
        <v>45113</v>
      </c>
      <c r="B1130" s="8" t="s">
        <v>28</v>
      </c>
      <c r="C1130" s="8" t="s">
        <v>233</v>
      </c>
      <c r="D1130" s="9" t="str">
        <f>HYPERLINK("https://www.marklines.com/en/global/2139","EvoBus, Ulm &amp; Neu-Ulm Plant")</f>
        <v>EvoBus, Ulm &amp; Neu-Ulm Plant</v>
      </c>
      <c r="E1130" s="8" t="s">
        <v>188</v>
      </c>
      <c r="F1130" s="8" t="s">
        <v>17</v>
      </c>
      <c r="G1130" s="8" t="s">
        <v>21</v>
      </c>
      <c r="H1130" s="8"/>
      <c r="I1130" s="10">
        <v>45111</v>
      </c>
      <c r="J1130" s="8" t="s">
        <v>234</v>
      </c>
    </row>
    <row r="1131" spans="1:10" x14ac:dyDescent="0.15">
      <c r="A1131" s="7">
        <v>45113</v>
      </c>
      <c r="B1131" s="8" t="s">
        <v>109</v>
      </c>
      <c r="C1131" s="8" t="s">
        <v>109</v>
      </c>
      <c r="D1131" s="9" t="str">
        <f>HYPERLINK("https://www.marklines.com/en/global/9198","BYD Auto Co., Ltd., Campinas Plant")</f>
        <v>BYD Auto Co., Ltd., Campinas Plant</v>
      </c>
      <c r="E1131" s="8" t="s">
        <v>193</v>
      </c>
      <c r="F1131" s="8" t="s">
        <v>74</v>
      </c>
      <c r="G1131" s="8" t="s">
        <v>75</v>
      </c>
      <c r="H1131" s="8"/>
      <c r="I1131" s="10">
        <v>45111</v>
      </c>
      <c r="J1131" s="8" t="s">
        <v>235</v>
      </c>
    </row>
    <row r="1132" spans="1:10" x14ac:dyDescent="0.15">
      <c r="A1132" s="7">
        <v>45113</v>
      </c>
      <c r="B1132" s="8" t="s">
        <v>109</v>
      </c>
      <c r="C1132" s="8" t="s">
        <v>109</v>
      </c>
      <c r="D1132" s="9" t="str">
        <f>HYPERLINK("https://www.marklines.com/en/global/10315","BYD Indústria de Baterias Ltda.")</f>
        <v>BYD Indústria de Baterias Ltda.</v>
      </c>
      <c r="E1132" s="8" t="s">
        <v>236</v>
      </c>
      <c r="F1132" s="8" t="s">
        <v>74</v>
      </c>
      <c r="G1132" s="8" t="s">
        <v>75</v>
      </c>
      <c r="H1132" s="8"/>
      <c r="I1132" s="10">
        <v>45111</v>
      </c>
      <c r="J1132" s="8" t="s">
        <v>235</v>
      </c>
    </row>
    <row r="1133" spans="1:10" x14ac:dyDescent="0.15">
      <c r="A1133" s="7">
        <v>45113</v>
      </c>
      <c r="B1133" s="8" t="s">
        <v>109</v>
      </c>
      <c r="C1133" s="8" t="s">
        <v>109</v>
      </c>
      <c r="D1133" s="9" t="str">
        <f>HYPERLINK("https://www.marklines.com/en/global/2837","former Ford Motor Brazil, Camacari Plant")</f>
        <v>former Ford Motor Brazil, Camacari Plant</v>
      </c>
      <c r="E1133" s="8" t="s">
        <v>194</v>
      </c>
      <c r="F1133" s="8" t="s">
        <v>74</v>
      </c>
      <c r="G1133" s="8" t="s">
        <v>75</v>
      </c>
      <c r="H1133" s="8"/>
      <c r="I1133" s="10">
        <v>45111</v>
      </c>
      <c r="J1133" s="8" t="s">
        <v>235</v>
      </c>
    </row>
    <row r="1134" spans="1:10" x14ac:dyDescent="0.15">
      <c r="A1134" s="7">
        <v>45113</v>
      </c>
      <c r="B1134" s="8" t="s">
        <v>109</v>
      </c>
      <c r="C1134" s="8" t="s">
        <v>195</v>
      </c>
      <c r="D1134" s="9" t="str">
        <f>HYPERLINK("https://www.marklines.com/en/global/4125","BYD Automobile Industry Co., Ltd., Shenzhen Plant")</f>
        <v>BYD Automobile Industry Co., Ltd., Shenzhen Plant</v>
      </c>
      <c r="E1134" s="8" t="s">
        <v>137</v>
      </c>
      <c r="F1134" s="8" t="s">
        <v>20</v>
      </c>
      <c r="G1134" s="8" t="s">
        <v>27</v>
      </c>
      <c r="H1134" s="8" t="s">
        <v>31</v>
      </c>
      <c r="I1134" s="10">
        <v>45111</v>
      </c>
      <c r="J1134" s="8" t="s">
        <v>237</v>
      </c>
    </row>
    <row r="1135" spans="1:10" x14ac:dyDescent="0.15">
      <c r="A1135" s="7">
        <v>45113</v>
      </c>
      <c r="B1135" s="8" t="s">
        <v>109</v>
      </c>
      <c r="C1135" s="8" t="s">
        <v>195</v>
      </c>
      <c r="D1135" s="9" t="str">
        <f>HYPERLINK("https://www.marklines.com/en/global/4043","BYD Automobile Industry Co., Ltd., Changsha Branch")</f>
        <v>BYD Automobile Industry Co., Ltd., Changsha Branch</v>
      </c>
      <c r="E1135" s="8" t="s">
        <v>136</v>
      </c>
      <c r="F1135" s="8" t="s">
        <v>20</v>
      </c>
      <c r="G1135" s="8" t="s">
        <v>27</v>
      </c>
      <c r="H1135" s="8" t="s">
        <v>112</v>
      </c>
      <c r="I1135" s="10">
        <v>45111</v>
      </c>
      <c r="J1135" s="8" t="s">
        <v>237</v>
      </c>
    </row>
    <row r="1136" spans="1:10" x14ac:dyDescent="0.15">
      <c r="A1136" s="7">
        <v>45113</v>
      </c>
      <c r="B1136" s="8" t="s">
        <v>44</v>
      </c>
      <c r="C1136" s="8" t="s">
        <v>54</v>
      </c>
      <c r="D1136" s="9" t="str">
        <f>HYPERLINK("https://www.marklines.com/en/global/9824","GAC Aion New Energy Automobile Co., Ltd.")</f>
        <v>GAC Aion New Energy Automobile Co., Ltd.</v>
      </c>
      <c r="E1136" s="8" t="s">
        <v>55</v>
      </c>
      <c r="F1136" s="8" t="s">
        <v>20</v>
      </c>
      <c r="G1136" s="8" t="s">
        <v>27</v>
      </c>
      <c r="H1136" s="8" t="s">
        <v>31</v>
      </c>
      <c r="I1136" s="10">
        <v>45110</v>
      </c>
      <c r="J1136" s="8" t="s">
        <v>238</v>
      </c>
    </row>
    <row r="1137" spans="1:10" x14ac:dyDescent="0.15">
      <c r="A1137" s="7">
        <v>45113</v>
      </c>
      <c r="B1137" s="8" t="s">
        <v>41</v>
      </c>
      <c r="C1137" s="8" t="s">
        <v>41</v>
      </c>
      <c r="D1137" s="9" t="str">
        <f>HYPERLINK("https://www.marklines.com/en/global/3609","SAIC Motor Corporation Limited")</f>
        <v>SAIC Motor Corporation Limited</v>
      </c>
      <c r="E1137" s="8" t="s">
        <v>120</v>
      </c>
      <c r="F1137" s="8" t="s">
        <v>20</v>
      </c>
      <c r="G1137" s="8" t="s">
        <v>27</v>
      </c>
      <c r="H1137" s="8" t="s">
        <v>106</v>
      </c>
      <c r="I1137" s="10">
        <v>45109</v>
      </c>
      <c r="J1137" s="8" t="s">
        <v>239</v>
      </c>
    </row>
    <row r="1138" spans="1:10" x14ac:dyDescent="0.15">
      <c r="A1138" s="7">
        <v>45113</v>
      </c>
      <c r="B1138" s="8" t="s">
        <v>41</v>
      </c>
      <c r="C1138" s="8" t="s">
        <v>42</v>
      </c>
      <c r="D1138" s="9" t="str">
        <f>HYPERLINK("https://www.marklines.com/en/global/9481","SAIC Motor Corporation Limited Passenger Vehicle Zhengzhou Branch")</f>
        <v>SAIC Motor Corporation Limited Passenger Vehicle Zhengzhou Branch</v>
      </c>
      <c r="E1138" s="8" t="s">
        <v>84</v>
      </c>
      <c r="F1138" s="8" t="s">
        <v>20</v>
      </c>
      <c r="G1138" s="8" t="s">
        <v>27</v>
      </c>
      <c r="H1138" s="8" t="s">
        <v>47</v>
      </c>
      <c r="I1138" s="10">
        <v>45109</v>
      </c>
      <c r="J1138" s="8" t="s">
        <v>239</v>
      </c>
    </row>
    <row r="1139" spans="1:10" x14ac:dyDescent="0.15">
      <c r="A1139" s="7">
        <v>45112</v>
      </c>
      <c r="B1139" s="8" t="s">
        <v>13</v>
      </c>
      <c r="C1139" s="8" t="s">
        <v>13</v>
      </c>
      <c r="D1139" s="9" t="str">
        <f>HYPERLINK("https://www.marklines.com/en/global/1815","Steyr Automotive GmbH, Steyr Plant (formerly MAN Truck &amp; Bus Oesterreich GmbH)")</f>
        <v>Steyr Automotive GmbH, Steyr Plant (formerly MAN Truck &amp; Bus Oesterreich GmbH)</v>
      </c>
      <c r="E1139" s="8" t="s">
        <v>103</v>
      </c>
      <c r="F1139" s="8" t="s">
        <v>17</v>
      </c>
      <c r="G1139" s="8" t="s">
        <v>102</v>
      </c>
      <c r="H1139" s="8"/>
      <c r="I1139" s="10">
        <v>45112</v>
      </c>
      <c r="J1139" s="8" t="s">
        <v>240</v>
      </c>
    </row>
    <row r="1140" spans="1:10" x14ac:dyDescent="0.15">
      <c r="A1140" s="7">
        <v>45112</v>
      </c>
      <c r="B1140" s="8" t="s">
        <v>90</v>
      </c>
      <c r="C1140" s="8" t="s">
        <v>91</v>
      </c>
      <c r="D1140" s="9" t="str">
        <f>HYPERLINK("https://www.marklines.com/en/global/675","AvtoVAZ, Togliatti Plant")</f>
        <v>AvtoVAZ, Togliatti Plant</v>
      </c>
      <c r="E1140" s="8" t="s">
        <v>92</v>
      </c>
      <c r="F1140" s="8" t="s">
        <v>18</v>
      </c>
      <c r="G1140" s="8" t="s">
        <v>14</v>
      </c>
      <c r="H1140" s="8"/>
      <c r="I1140" s="10">
        <v>45111</v>
      </c>
      <c r="J1140" s="8" t="s">
        <v>241</v>
      </c>
    </row>
    <row r="1141" spans="1:10" x14ac:dyDescent="0.15">
      <c r="A1141" s="7">
        <v>45112</v>
      </c>
      <c r="B1141" s="8" t="s">
        <v>12</v>
      </c>
      <c r="C1141" s="8" t="s">
        <v>19</v>
      </c>
      <c r="D1141" s="9" t="str">
        <f>HYPERLINK("https://www.marklines.com/en/global/9015","UzAuto Motors Powertrain, Tashkent Plant (formerly General Motors Powertrain-Uzbekistan )")</f>
        <v>UzAuto Motors Powertrain, Tashkent Plant (formerly General Motors Powertrain-Uzbekistan )</v>
      </c>
      <c r="E1141" s="8" t="s">
        <v>242</v>
      </c>
      <c r="F1141" s="8" t="s">
        <v>18</v>
      </c>
      <c r="G1141" s="8" t="s">
        <v>181</v>
      </c>
      <c r="H1141" s="8"/>
      <c r="I1141" s="10">
        <v>45111</v>
      </c>
      <c r="J1141" s="8" t="s">
        <v>243</v>
      </c>
    </row>
    <row r="1142" spans="1:10" x14ac:dyDescent="0.15">
      <c r="A1142" s="7">
        <v>45112</v>
      </c>
      <c r="B1142" s="8" t="s">
        <v>63</v>
      </c>
      <c r="C1142" s="8" t="s">
        <v>63</v>
      </c>
      <c r="D1142" s="9" t="str">
        <f>HYPERLINK("https://www.marklines.com/en/global/671","ZAO AvtoTOR, Kaliningrad Plant")</f>
        <v>ZAO AvtoTOR, Kaliningrad Plant</v>
      </c>
      <c r="E1142" s="8" t="s">
        <v>33</v>
      </c>
      <c r="F1142" s="8" t="s">
        <v>18</v>
      </c>
      <c r="G1142" s="8" t="s">
        <v>14</v>
      </c>
      <c r="H1142" s="8"/>
      <c r="I1142" s="10">
        <v>45111</v>
      </c>
      <c r="J1142" s="8" t="s">
        <v>244</v>
      </c>
    </row>
    <row r="1143" spans="1:10" x14ac:dyDescent="0.15">
      <c r="A1143" s="7">
        <v>45112</v>
      </c>
      <c r="B1143" s="8" t="s">
        <v>62</v>
      </c>
      <c r="C1143" s="8" t="s">
        <v>245</v>
      </c>
      <c r="D1143" s="9" t="str">
        <f>HYPERLINK("https://www.marklines.com/en/global/671","ZAO AvtoTOR, Kaliningrad Plant")</f>
        <v>ZAO AvtoTOR, Kaliningrad Plant</v>
      </c>
      <c r="E1143" s="8" t="s">
        <v>33</v>
      </c>
      <c r="F1143" s="8" t="s">
        <v>18</v>
      </c>
      <c r="G1143" s="8" t="s">
        <v>14</v>
      </c>
      <c r="H1143" s="8"/>
      <c r="I1143" s="10">
        <v>45111</v>
      </c>
      <c r="J1143" s="8" t="s">
        <v>244</v>
      </c>
    </row>
    <row r="1144" spans="1:10" x14ac:dyDescent="0.15">
      <c r="A1144" s="7">
        <v>45112</v>
      </c>
      <c r="B1144" s="8" t="s">
        <v>128</v>
      </c>
      <c r="C1144" s="8" t="s">
        <v>128</v>
      </c>
      <c r="D1144" s="9" t="str">
        <f>HYPERLINK("https://www.marklines.com/en/global/671","ZAO AvtoTOR, Kaliningrad Plant")</f>
        <v>ZAO AvtoTOR, Kaliningrad Plant</v>
      </c>
      <c r="E1144" s="8" t="s">
        <v>33</v>
      </c>
      <c r="F1144" s="8" t="s">
        <v>18</v>
      </c>
      <c r="G1144" s="8" t="s">
        <v>14</v>
      </c>
      <c r="H1144" s="8"/>
      <c r="I1144" s="10">
        <v>45111</v>
      </c>
      <c r="J1144" s="8" t="s">
        <v>244</v>
      </c>
    </row>
    <row r="1145" spans="1:10" x14ac:dyDescent="0.15">
      <c r="A1145" s="7">
        <v>45112</v>
      </c>
      <c r="B1145" s="8" t="s">
        <v>246</v>
      </c>
      <c r="C1145" s="8" t="s">
        <v>247</v>
      </c>
      <c r="D1145" s="9" t="str">
        <f>HYPERLINK("https://www.marklines.com/en/global/671","ZAO AvtoTOR, Kaliningrad Plant")</f>
        <v>ZAO AvtoTOR, Kaliningrad Plant</v>
      </c>
      <c r="E1145" s="8" t="s">
        <v>33</v>
      </c>
      <c r="F1145" s="8" t="s">
        <v>18</v>
      </c>
      <c r="G1145" s="8" t="s">
        <v>14</v>
      </c>
      <c r="H1145" s="8"/>
      <c r="I1145" s="10">
        <v>45111</v>
      </c>
      <c r="J1145" s="8" t="s">
        <v>244</v>
      </c>
    </row>
    <row r="1146" spans="1:10" x14ac:dyDescent="0.15">
      <c r="A1146" s="7">
        <v>45112</v>
      </c>
      <c r="B1146" s="8" t="s">
        <v>29</v>
      </c>
      <c r="C1146" s="8" t="s">
        <v>141</v>
      </c>
      <c r="D1146" s="9" t="str">
        <f>HYPERLINK("https://www.marklines.com/en/global/2729","Volvo Cars, Torslanda, Goteborg Plant")</f>
        <v>Volvo Cars, Torslanda, Goteborg Plant</v>
      </c>
      <c r="E1146" s="8" t="s">
        <v>159</v>
      </c>
      <c r="F1146" s="8" t="s">
        <v>17</v>
      </c>
      <c r="G1146" s="8" t="s">
        <v>80</v>
      </c>
      <c r="H1146" s="8"/>
      <c r="I1146" s="10">
        <v>45111</v>
      </c>
      <c r="J1146" s="8" t="s">
        <v>248</v>
      </c>
    </row>
    <row r="1147" spans="1:10" x14ac:dyDescent="0.15">
      <c r="A1147" s="7">
        <v>45112</v>
      </c>
      <c r="B1147" s="8" t="s">
        <v>29</v>
      </c>
      <c r="C1147" s="8" t="s">
        <v>141</v>
      </c>
      <c r="D1147" s="9" t="str">
        <f>HYPERLINK("https://www.marklines.com/en/global/1512","Volvo Cars N.V., Ghent Plant")</f>
        <v>Volvo Cars N.V., Ghent Plant</v>
      </c>
      <c r="E1147" s="8" t="s">
        <v>249</v>
      </c>
      <c r="F1147" s="8" t="s">
        <v>17</v>
      </c>
      <c r="G1147" s="8" t="s">
        <v>138</v>
      </c>
      <c r="H1147" s="8"/>
      <c r="I1147" s="10">
        <v>45111</v>
      </c>
      <c r="J1147" s="8" t="s">
        <v>248</v>
      </c>
    </row>
    <row r="1148" spans="1:10" x14ac:dyDescent="0.15">
      <c r="A1148" s="7">
        <v>45112</v>
      </c>
      <c r="B1148" s="8" t="s">
        <v>29</v>
      </c>
      <c r="C1148" s="8" t="s">
        <v>141</v>
      </c>
      <c r="D1148" s="9" t="str">
        <f>HYPERLINK("https://www.marklines.com/en/global/9324","Volvo Cars, Ridgeville Plant")</f>
        <v>Volvo Cars, Ridgeville Plant</v>
      </c>
      <c r="E1148" s="8" t="s">
        <v>110</v>
      </c>
      <c r="F1148" s="8" t="s">
        <v>16</v>
      </c>
      <c r="G1148" s="8" t="s">
        <v>11</v>
      </c>
      <c r="H1148" s="8" t="s">
        <v>111</v>
      </c>
      <c r="I1148" s="10">
        <v>45111</v>
      </c>
      <c r="J1148" s="8" t="s">
        <v>248</v>
      </c>
    </row>
    <row r="1149" spans="1:10" x14ac:dyDescent="0.15">
      <c r="A1149" s="7">
        <v>45112</v>
      </c>
      <c r="B1149" s="8" t="s">
        <v>68</v>
      </c>
      <c r="C1149" s="8" t="s">
        <v>68</v>
      </c>
      <c r="D1149" s="9" t="str">
        <f>HYPERLINK("https://www.marklines.com/en/global/137","Stellantis, PSA, Poissy Plant")</f>
        <v>Stellantis, PSA, Poissy Plant</v>
      </c>
      <c r="E1149" s="8" t="s">
        <v>196</v>
      </c>
      <c r="F1149" s="8" t="s">
        <v>17</v>
      </c>
      <c r="G1149" s="8" t="s">
        <v>40</v>
      </c>
      <c r="H1149" s="8"/>
      <c r="I1149" s="10">
        <v>45110</v>
      </c>
      <c r="J1149" s="8" t="s">
        <v>250</v>
      </c>
    </row>
    <row r="1150" spans="1:10" x14ac:dyDescent="0.15">
      <c r="A1150" s="7">
        <v>45112</v>
      </c>
      <c r="B1150" s="8" t="s">
        <v>68</v>
      </c>
      <c r="C1150" s="8" t="s">
        <v>68</v>
      </c>
      <c r="D1150" s="9" t="str">
        <f>HYPERLINK("https://www.marklines.com/en/global/2251","Stellantis, Opel Automobile GmbH, Rüsselsheim Plant (Former Adam Opel AG, Russelsheim Plant)")</f>
        <v>Stellantis, Opel Automobile GmbH, Rüsselsheim Plant (Former Adam Opel AG, Russelsheim Plant)</v>
      </c>
      <c r="E1150" s="8" t="s">
        <v>187</v>
      </c>
      <c r="F1150" s="8" t="s">
        <v>17</v>
      </c>
      <c r="G1150" s="8" t="s">
        <v>21</v>
      </c>
      <c r="H1150" s="8"/>
      <c r="I1150" s="10">
        <v>45110</v>
      </c>
      <c r="J1150" s="8" t="s">
        <v>250</v>
      </c>
    </row>
    <row r="1151" spans="1:10" x14ac:dyDescent="0.15">
      <c r="A1151" s="7">
        <v>45112</v>
      </c>
      <c r="B1151" s="8" t="s">
        <v>68</v>
      </c>
      <c r="C1151" s="8" t="s">
        <v>68</v>
      </c>
      <c r="D1151" s="9" t="str">
        <f>HYPERLINK("https://www.marklines.com/en/global/1337","Stellantis, Fiat Powertrain Technologies, Mirafiori Plant")</f>
        <v>Stellantis, Fiat Powertrain Technologies, Mirafiori Plant</v>
      </c>
      <c r="E1151" s="8" t="s">
        <v>160</v>
      </c>
      <c r="F1151" s="8" t="s">
        <v>17</v>
      </c>
      <c r="G1151" s="8" t="s">
        <v>70</v>
      </c>
      <c r="H1151" s="8"/>
      <c r="I1151" s="10">
        <v>45110</v>
      </c>
      <c r="J1151" s="8" t="s">
        <v>250</v>
      </c>
    </row>
    <row r="1152" spans="1:10" x14ac:dyDescent="0.15">
      <c r="A1152" s="7">
        <v>45112</v>
      </c>
      <c r="B1152" s="8" t="s">
        <v>68</v>
      </c>
      <c r="C1152" s="8" t="s">
        <v>68</v>
      </c>
      <c r="D1152" s="9" t="str">
        <f>HYPERLINK("https://www.marklines.com/en/global/1327","Stellantis, FCA Italy, Mirafiori (Turin) Plant")</f>
        <v>Stellantis, FCA Italy, Mirafiori (Turin) Plant</v>
      </c>
      <c r="E1152" s="8" t="s">
        <v>89</v>
      </c>
      <c r="F1152" s="8" t="s">
        <v>17</v>
      </c>
      <c r="G1152" s="8" t="s">
        <v>70</v>
      </c>
      <c r="H1152" s="8"/>
      <c r="I1152" s="10">
        <v>45110</v>
      </c>
      <c r="J1152" s="8" t="s">
        <v>250</v>
      </c>
    </row>
    <row r="1153" spans="1:10" x14ac:dyDescent="0.15">
      <c r="A1153" s="7">
        <v>45112</v>
      </c>
      <c r="B1153" s="8" t="s">
        <v>13</v>
      </c>
      <c r="C1153" s="8" t="s">
        <v>251</v>
      </c>
      <c r="D1153" s="9" t="str">
        <f>HYPERLINK("https://www.marklines.com/en/global/10552","Arrival UK LTD., Bicester Plant")</f>
        <v>Arrival UK LTD., Bicester Plant</v>
      </c>
      <c r="E1153" s="8" t="s">
        <v>252</v>
      </c>
      <c r="F1153" s="8" t="s">
        <v>17</v>
      </c>
      <c r="G1153" s="8" t="s">
        <v>73</v>
      </c>
      <c r="H1153" s="8"/>
      <c r="I1153" s="10">
        <v>45110</v>
      </c>
      <c r="J1153" s="8" t="s">
        <v>253</v>
      </c>
    </row>
    <row r="1154" spans="1:10" x14ac:dyDescent="0.15">
      <c r="A1154" s="7">
        <v>45112</v>
      </c>
      <c r="B1154" s="8" t="s">
        <v>142</v>
      </c>
      <c r="C1154" s="8" t="s">
        <v>143</v>
      </c>
      <c r="D1154" s="9" t="str">
        <f>HYPERLINK("https://www.marklines.com/en/global/9504","YUDO New-Energy Automobile Co., Ltd. ")</f>
        <v xml:space="preserve">YUDO New-Energy Automobile Co., Ltd. </v>
      </c>
      <c r="E1154" s="8" t="s">
        <v>144</v>
      </c>
      <c r="F1154" s="8" t="s">
        <v>20</v>
      </c>
      <c r="G1154" s="8" t="s">
        <v>27</v>
      </c>
      <c r="H1154" s="8" t="s">
        <v>123</v>
      </c>
      <c r="I1154" s="10">
        <v>45107</v>
      </c>
      <c r="J1154" s="8" t="s">
        <v>254</v>
      </c>
    </row>
    <row r="1155" spans="1:10" x14ac:dyDescent="0.15">
      <c r="A1155" s="7">
        <v>45112</v>
      </c>
      <c r="B1155" s="8" t="s">
        <v>153</v>
      </c>
      <c r="C1155" s="8" t="s">
        <v>255</v>
      </c>
      <c r="D1155" s="9" t="str">
        <f>HYPERLINK("https://www.marklines.com/en/global/9875","Deepal Technology Co., Ltd. (formerly Chongqing Changan New Energy Vehicle Technology Co., Ltd.)")</f>
        <v>Deepal Technology Co., Ltd. (formerly Chongqing Changan New Energy Vehicle Technology Co., Ltd.)</v>
      </c>
      <c r="E1155" s="8" t="s">
        <v>256</v>
      </c>
      <c r="F1155" s="8" t="s">
        <v>20</v>
      </c>
      <c r="G1155" s="8" t="s">
        <v>27</v>
      </c>
      <c r="H1155" s="8" t="s">
        <v>30</v>
      </c>
      <c r="I1155" s="10">
        <v>45107</v>
      </c>
      <c r="J1155" s="8" t="s">
        <v>257</v>
      </c>
    </row>
    <row r="1156" spans="1:10" x14ac:dyDescent="0.15">
      <c r="A1156" s="7">
        <v>45112</v>
      </c>
      <c r="B1156" s="8" t="s">
        <v>68</v>
      </c>
      <c r="C1156" s="8" t="s">
        <v>68</v>
      </c>
      <c r="D1156" s="9" t="str">
        <f>HYPERLINK("https://www.marklines.com/en/global/9189","Stellantis, PSA, Vesoul Plant")</f>
        <v>Stellantis, PSA, Vesoul Plant</v>
      </c>
      <c r="E1156" s="8" t="s">
        <v>258</v>
      </c>
      <c r="F1156" s="8" t="s">
        <v>17</v>
      </c>
      <c r="G1156" s="8" t="s">
        <v>40</v>
      </c>
      <c r="H1156" s="8"/>
      <c r="I1156" s="10">
        <v>45044</v>
      </c>
      <c r="J1156" s="8" t="s">
        <v>259</v>
      </c>
    </row>
    <row r="1157" spans="1:10" x14ac:dyDescent="0.15">
      <c r="A1157" s="7">
        <v>45112</v>
      </c>
      <c r="B1157" s="8" t="s">
        <v>68</v>
      </c>
      <c r="C1157" s="8" t="s">
        <v>68</v>
      </c>
      <c r="D1157" s="9" t="str">
        <f>HYPERLINK("https://www.marklines.com/en/global/2627","Stellantis, FCA US, Detroit Assembly Complex - Jefferson (formerly Jefferson North Assembly Plant)")</f>
        <v>Stellantis, FCA US, Detroit Assembly Complex - Jefferson (formerly Jefferson North Assembly Plant)</v>
      </c>
      <c r="E1157" s="8" t="s">
        <v>161</v>
      </c>
      <c r="F1157" s="8" t="s">
        <v>16</v>
      </c>
      <c r="G1157" s="8" t="s">
        <v>11</v>
      </c>
      <c r="H1157" s="8" t="s">
        <v>59</v>
      </c>
      <c r="I1157" s="10">
        <v>45044</v>
      </c>
      <c r="J1157" s="8" t="s">
        <v>260</v>
      </c>
    </row>
    <row r="1158" spans="1:10" x14ac:dyDescent="0.15">
      <c r="A1158" s="7">
        <v>45112</v>
      </c>
      <c r="B1158" s="8" t="s">
        <v>68</v>
      </c>
      <c r="C1158" s="8" t="s">
        <v>68</v>
      </c>
      <c r="D1158" s="9" t="str">
        <f>HYPERLINK("https://www.marklines.com/en/global/2631","Stellantis, FCA US, Detroit Assembly Complex - Mack (formerly Mack Avenue Assembly Complex)")</f>
        <v>Stellantis, FCA US, Detroit Assembly Complex - Mack (formerly Mack Avenue Assembly Complex)</v>
      </c>
      <c r="E1158" s="8" t="s">
        <v>261</v>
      </c>
      <c r="F1158" s="8" t="s">
        <v>16</v>
      </c>
      <c r="G1158" s="8" t="s">
        <v>11</v>
      </c>
      <c r="H1158" s="8" t="s">
        <v>59</v>
      </c>
      <c r="I1158" s="10">
        <v>45044</v>
      </c>
      <c r="J1158" s="8" t="s">
        <v>260</v>
      </c>
    </row>
    <row r="1159" spans="1:10" x14ac:dyDescent="0.15">
      <c r="A1159" s="7">
        <v>45112</v>
      </c>
      <c r="B1159" s="8" t="s">
        <v>68</v>
      </c>
      <c r="C1159" s="8" t="s">
        <v>68</v>
      </c>
      <c r="D1159" s="9" t="str">
        <f>HYPERLINK("https://www.marklines.com/en/global/2641","Stellantis, FCA US, Sterling Heights Assembly Plant")</f>
        <v>Stellantis, FCA US, Sterling Heights Assembly Plant</v>
      </c>
      <c r="E1159" s="8" t="s">
        <v>163</v>
      </c>
      <c r="F1159" s="8" t="s">
        <v>16</v>
      </c>
      <c r="G1159" s="8" t="s">
        <v>11</v>
      </c>
      <c r="H1159" s="8" t="s">
        <v>59</v>
      </c>
      <c r="I1159" s="10">
        <v>45044</v>
      </c>
      <c r="J1159" s="8" t="s">
        <v>260</v>
      </c>
    </row>
    <row r="1160" spans="1:10" x14ac:dyDescent="0.15">
      <c r="A1160" s="7">
        <v>45112</v>
      </c>
      <c r="B1160" s="8" t="s">
        <v>68</v>
      </c>
      <c r="C1160" s="8" t="s">
        <v>68</v>
      </c>
      <c r="D1160" s="9" t="str">
        <f>HYPERLINK("https://www.marklines.com/en/global/2647","Stellantis, FCA US, Warren Truck Assembly Plant")</f>
        <v>Stellantis, FCA US, Warren Truck Assembly Plant</v>
      </c>
      <c r="E1160" s="8" t="s">
        <v>162</v>
      </c>
      <c r="F1160" s="8" t="s">
        <v>16</v>
      </c>
      <c r="G1160" s="8" t="s">
        <v>11</v>
      </c>
      <c r="H1160" s="8" t="s">
        <v>59</v>
      </c>
      <c r="I1160" s="10">
        <v>45044</v>
      </c>
      <c r="J1160" s="8" t="s">
        <v>260</v>
      </c>
    </row>
    <row r="1161" spans="1:10" x14ac:dyDescent="0.15">
      <c r="A1161" s="7">
        <v>45112</v>
      </c>
      <c r="B1161" s="8" t="s">
        <v>68</v>
      </c>
      <c r="C1161" s="8" t="s">
        <v>68</v>
      </c>
      <c r="D1161" s="9" t="str">
        <f>HYPERLINK("https://www.marklines.com/en/global/1935","Stellantis, Peugeot Citroen Automoviles Espana S.A., Villaverde (Madrid) Plant")</f>
        <v>Stellantis, Peugeot Citroen Automoviles Espana S.A., Villaverde (Madrid) Plant</v>
      </c>
      <c r="E1161" s="8" t="s">
        <v>262</v>
      </c>
      <c r="F1161" s="8" t="s">
        <v>17</v>
      </c>
      <c r="G1161" s="8" t="s">
        <v>114</v>
      </c>
      <c r="H1161" s="8"/>
      <c r="I1161" s="10">
        <v>45044</v>
      </c>
      <c r="J1161" s="8" t="s">
        <v>263</v>
      </c>
    </row>
    <row r="1162" spans="1:10" x14ac:dyDescent="0.15">
      <c r="A1162" s="7">
        <v>45112</v>
      </c>
      <c r="B1162" s="8" t="s">
        <v>68</v>
      </c>
      <c r="C1162" s="8" t="s">
        <v>68</v>
      </c>
      <c r="D1162" s="9" t="str">
        <f>HYPERLINK("https://www.marklines.com/en/global/1307","Stellantis, Avvocato Gianni Agnelli Plant (formerly Maserati S.p.A., Giovanni Agnelli (Grugliasco) Plant)")</f>
        <v>Stellantis, Avvocato Gianni Agnelli Plant (formerly Maserati S.p.A., Giovanni Agnelli (Grugliasco) Plant)</v>
      </c>
      <c r="E1162" s="8" t="s">
        <v>264</v>
      </c>
      <c r="F1162" s="8" t="s">
        <v>17</v>
      </c>
      <c r="G1162" s="8" t="s">
        <v>70</v>
      </c>
      <c r="H1162" s="8"/>
      <c r="I1162" s="10">
        <v>45044</v>
      </c>
      <c r="J1162" s="8" t="s">
        <v>263</v>
      </c>
    </row>
    <row r="1163" spans="1:10" x14ac:dyDescent="0.15">
      <c r="A1163" s="7">
        <v>45112</v>
      </c>
      <c r="B1163" s="8" t="s">
        <v>68</v>
      </c>
      <c r="C1163" s="8" t="s">
        <v>68</v>
      </c>
      <c r="D1163" s="9" t="str">
        <f>HYPERLINK("https://www.marklines.com/en/global/2903","Stellantis, Peugeot-Citroen do Brasil S.A., Porto Real Plant")</f>
        <v>Stellantis, Peugeot-Citroen do Brasil S.A., Porto Real Plant</v>
      </c>
      <c r="E1163" s="8" t="s">
        <v>139</v>
      </c>
      <c r="F1163" s="8" t="s">
        <v>74</v>
      </c>
      <c r="G1163" s="8" t="s">
        <v>75</v>
      </c>
      <c r="H1163" s="8"/>
      <c r="I1163" s="10">
        <v>45044</v>
      </c>
      <c r="J1163" s="8" t="s">
        <v>263</v>
      </c>
    </row>
    <row r="1164" spans="1:10" x14ac:dyDescent="0.15">
      <c r="A1164" s="7">
        <v>45112</v>
      </c>
      <c r="B1164" s="8" t="s">
        <v>68</v>
      </c>
      <c r="C1164" s="8" t="s">
        <v>68</v>
      </c>
      <c r="D1164" s="9" t="str">
        <f>HYPERLINK("https://www.marklines.com/en/global/1939","Stellantis, Peugeot Citroen Automoviles Espana S.A., Vigo Plant")</f>
        <v>Stellantis, Peugeot Citroen Automoviles Espana S.A., Vigo Plant</v>
      </c>
      <c r="E1164" s="8" t="s">
        <v>158</v>
      </c>
      <c r="F1164" s="8" t="s">
        <v>17</v>
      </c>
      <c r="G1164" s="8" t="s">
        <v>114</v>
      </c>
      <c r="H1164" s="8"/>
      <c r="I1164" s="10">
        <v>45044</v>
      </c>
      <c r="J1164" s="8" t="s">
        <v>263</v>
      </c>
    </row>
    <row r="1165" spans="1:10" x14ac:dyDescent="0.15">
      <c r="A1165" s="7">
        <v>45112</v>
      </c>
      <c r="B1165" s="8" t="s">
        <v>68</v>
      </c>
      <c r="C1165" s="8" t="s">
        <v>68</v>
      </c>
      <c r="D1165" s="9" t="str">
        <f>HYPERLINK("https://www.marklines.com/en/global/1767","Stellantis, PCA Slovakia, s.r.o.(PSA Peugeot Citroën Slovakia), Trnava Plant")</f>
        <v>Stellantis, PCA Slovakia, s.r.o.(PSA Peugeot Citroën Slovakia), Trnava Plant</v>
      </c>
      <c r="E1165" s="8" t="s">
        <v>191</v>
      </c>
      <c r="F1165" s="8" t="s">
        <v>18</v>
      </c>
      <c r="G1165" s="8" t="s">
        <v>94</v>
      </c>
      <c r="H1165" s="8"/>
      <c r="I1165" s="10">
        <v>45044</v>
      </c>
      <c r="J1165" s="8" t="s">
        <v>263</v>
      </c>
    </row>
    <row r="1166" spans="1:10" x14ac:dyDescent="0.15">
      <c r="A1166" s="7">
        <v>45112</v>
      </c>
      <c r="B1166" s="8" t="s">
        <v>68</v>
      </c>
      <c r="C1166" s="8" t="s">
        <v>68</v>
      </c>
      <c r="D1166" s="9" t="str">
        <f>HYPERLINK("https://www.marklines.com/en/global/1805","Stellantis, Opel Wien GmbH, Aspern Plant")</f>
        <v>Stellantis, Opel Wien GmbH, Aspern Plant</v>
      </c>
      <c r="E1166" s="8" t="s">
        <v>192</v>
      </c>
      <c r="F1166" s="8" t="s">
        <v>17</v>
      </c>
      <c r="G1166" s="8" t="s">
        <v>102</v>
      </c>
      <c r="H1166" s="8"/>
      <c r="I1166" s="10">
        <v>45044</v>
      </c>
      <c r="J1166" s="8" t="s">
        <v>263</v>
      </c>
    </row>
    <row r="1167" spans="1:10" x14ac:dyDescent="0.15">
      <c r="A1167" s="7">
        <v>45112</v>
      </c>
      <c r="B1167" s="8" t="s">
        <v>68</v>
      </c>
      <c r="C1167" s="8" t="s">
        <v>68</v>
      </c>
      <c r="D1167" s="9" t="str">
        <f>HYPERLINK("https://www.marklines.com/en/global/1931","Stellantis, Opel Espana de Automoviles, S.A., Zaragoza Plant")</f>
        <v>Stellantis, Opel Espana de Automoviles, S.A., Zaragoza Plant</v>
      </c>
      <c r="E1167" s="8" t="s">
        <v>157</v>
      </c>
      <c r="F1167" s="8" t="s">
        <v>17</v>
      </c>
      <c r="G1167" s="8" t="s">
        <v>114</v>
      </c>
      <c r="H1167" s="8"/>
      <c r="I1167" s="10">
        <v>45044</v>
      </c>
      <c r="J1167" s="8" t="s">
        <v>263</v>
      </c>
    </row>
    <row r="1168" spans="1:10" x14ac:dyDescent="0.15">
      <c r="A1168" s="7">
        <v>45112</v>
      </c>
      <c r="B1168" s="8" t="s">
        <v>68</v>
      </c>
      <c r="C1168" s="8" t="s">
        <v>68</v>
      </c>
      <c r="D1168" s="9" t="str">
        <f>HYPERLINK("https://www.marklines.com/en/global/1767","Stellantis, PCA Slovakia, s.r.o.(PSA Peugeot Citroën Slovakia), Trnava Plant")</f>
        <v>Stellantis, PCA Slovakia, s.r.o.(PSA Peugeot Citroën Slovakia), Trnava Plant</v>
      </c>
      <c r="E1168" s="8" t="s">
        <v>191</v>
      </c>
      <c r="F1168" s="8" t="s">
        <v>18</v>
      </c>
      <c r="G1168" s="8" t="s">
        <v>94</v>
      </c>
      <c r="H1168" s="8"/>
      <c r="I1168" s="10">
        <v>45044</v>
      </c>
      <c r="J1168" s="8" t="s">
        <v>265</v>
      </c>
    </row>
    <row r="1169" spans="1:10" x14ac:dyDescent="0.15">
      <c r="A1169" s="7">
        <v>45111</v>
      </c>
      <c r="B1169" s="8" t="s">
        <v>56</v>
      </c>
      <c r="C1169" s="8" t="s">
        <v>56</v>
      </c>
      <c r="D1169" s="9" t="str">
        <f>HYPERLINK("https://www.marklines.com/en/global/3153","Rivian Automotive LLC, Normal Plant (former Mitsubishi Motors North America, Normal Plant)")</f>
        <v>Rivian Automotive LLC, Normal Plant (former Mitsubishi Motors North America, Normal Plant)</v>
      </c>
      <c r="E1169" s="8" t="s">
        <v>57</v>
      </c>
      <c r="F1169" s="8" t="s">
        <v>16</v>
      </c>
      <c r="G1169" s="8" t="s">
        <v>11</v>
      </c>
      <c r="H1169" s="8" t="s">
        <v>58</v>
      </c>
      <c r="I1169" s="10">
        <v>45110</v>
      </c>
      <c r="J1169" s="8" t="s">
        <v>266</v>
      </c>
    </row>
    <row r="1170" spans="1:10" x14ac:dyDescent="0.15">
      <c r="A1170" s="7">
        <v>45111</v>
      </c>
      <c r="B1170" s="8" t="s">
        <v>43</v>
      </c>
      <c r="C1170" s="8" t="s">
        <v>77</v>
      </c>
      <c r="D1170" s="9" t="str">
        <f>HYPERLINK("https://www.marklines.com/en/global/2171","MAN Truck &amp; Bus, Munich Plant")</f>
        <v>MAN Truck &amp; Bus, Munich Plant</v>
      </c>
      <c r="E1170" s="8" t="s">
        <v>78</v>
      </c>
      <c r="F1170" s="8" t="s">
        <v>17</v>
      </c>
      <c r="G1170" s="8" t="s">
        <v>21</v>
      </c>
      <c r="H1170" s="8"/>
      <c r="I1170" s="10">
        <v>45110</v>
      </c>
      <c r="J1170" s="8" t="s">
        <v>267</v>
      </c>
    </row>
    <row r="1171" spans="1:10" x14ac:dyDescent="0.15">
      <c r="A1171" s="7">
        <v>45111</v>
      </c>
      <c r="B1171" s="8" t="s">
        <v>56</v>
      </c>
      <c r="C1171" s="8" t="s">
        <v>56</v>
      </c>
      <c r="D1171" s="9" t="str">
        <f>HYPERLINK("https://www.marklines.com/en/global/3153","Rivian Automotive LLC, Normal Plant (former Mitsubishi Motors North America, Normal Plant)")</f>
        <v>Rivian Automotive LLC, Normal Plant (former Mitsubishi Motors North America, Normal Plant)</v>
      </c>
      <c r="E1171" s="8" t="s">
        <v>57</v>
      </c>
      <c r="F1171" s="8" t="s">
        <v>16</v>
      </c>
      <c r="G1171" s="8" t="s">
        <v>11</v>
      </c>
      <c r="H1171" s="8" t="s">
        <v>58</v>
      </c>
      <c r="I1171" s="10">
        <v>45110</v>
      </c>
      <c r="J1171" s="8" t="s">
        <v>268</v>
      </c>
    </row>
    <row r="1172" spans="1:10" x14ac:dyDescent="0.15">
      <c r="A1172" s="7">
        <v>45111</v>
      </c>
      <c r="B1172" s="8" t="s">
        <v>22</v>
      </c>
      <c r="C1172" s="8" t="s">
        <v>22</v>
      </c>
      <c r="D1172" s="9" t="str">
        <f>HYPERLINK("https://www.marklines.com/en/global/379","Toyota Motor, Tsutsumi Plant")</f>
        <v>Toyota Motor, Tsutsumi Plant</v>
      </c>
      <c r="E1172" s="8" t="s">
        <v>129</v>
      </c>
      <c r="F1172" s="8" t="s">
        <v>20</v>
      </c>
      <c r="G1172" s="8" t="s">
        <v>23</v>
      </c>
      <c r="H1172" s="8" t="s">
        <v>108</v>
      </c>
      <c r="I1172" s="10">
        <v>45107</v>
      </c>
      <c r="J1172" s="8" t="s">
        <v>269</v>
      </c>
    </row>
    <row r="1173" spans="1:10" x14ac:dyDescent="0.15">
      <c r="A1173" s="7">
        <v>45111</v>
      </c>
      <c r="B1173" s="8" t="s">
        <v>69</v>
      </c>
      <c r="C1173" s="8" t="s">
        <v>69</v>
      </c>
      <c r="D1173" s="9" t="str">
        <f>HYPERLINK("https://www.marklines.com/en/global/9899","Iveco S.p.A., Ulm Plant")</f>
        <v>Iveco S.p.A., Ulm Plant</v>
      </c>
      <c r="E1173" s="8" t="s">
        <v>155</v>
      </c>
      <c r="F1173" s="8" t="s">
        <v>17</v>
      </c>
      <c r="G1173" s="8" t="s">
        <v>21</v>
      </c>
      <c r="H1173" s="8"/>
      <c r="I1173" s="10">
        <v>45107</v>
      </c>
      <c r="J1173" s="8" t="s">
        <v>270</v>
      </c>
    </row>
    <row r="1174" spans="1:10" x14ac:dyDescent="0.15">
      <c r="A1174" s="7">
        <v>45111</v>
      </c>
      <c r="B1174" s="8" t="s">
        <v>156</v>
      </c>
      <c r="C1174" s="8" t="s">
        <v>156</v>
      </c>
      <c r="D1174" s="9" t="str">
        <f>HYPERLINK("https://www.marklines.com/en/global/9899","Iveco S.p.A., Ulm Plant")</f>
        <v>Iveco S.p.A., Ulm Plant</v>
      </c>
      <c r="E1174" s="8" t="s">
        <v>155</v>
      </c>
      <c r="F1174" s="8" t="s">
        <v>17</v>
      </c>
      <c r="G1174" s="8" t="s">
        <v>21</v>
      </c>
      <c r="H1174" s="8"/>
      <c r="I1174" s="10">
        <v>45107</v>
      </c>
      <c r="J1174" s="8" t="s">
        <v>270</v>
      </c>
    </row>
    <row r="1175" spans="1:10" x14ac:dyDescent="0.15">
      <c r="A1175" s="7">
        <v>45111</v>
      </c>
      <c r="B1175" s="8" t="s">
        <v>43</v>
      </c>
      <c r="C1175" s="8" t="s">
        <v>77</v>
      </c>
      <c r="D1175" s="9" t="str">
        <f>HYPERLINK("https://www.marklines.com/en/global/2173","MAN Truck &amp; Bus, Salzgitter Plant")</f>
        <v>MAN Truck &amp; Bus, Salzgitter Plant</v>
      </c>
      <c r="E1175" s="8" t="s">
        <v>271</v>
      </c>
      <c r="F1175" s="8" t="s">
        <v>17</v>
      </c>
      <c r="G1175" s="8" t="s">
        <v>21</v>
      </c>
      <c r="H1175" s="8"/>
      <c r="I1175" s="10">
        <v>45107</v>
      </c>
      <c r="J1175" s="8" t="s">
        <v>272</v>
      </c>
    </row>
    <row r="1176" spans="1:10" x14ac:dyDescent="0.15">
      <c r="A1176" s="7">
        <v>45111</v>
      </c>
      <c r="B1176" s="8" t="s">
        <v>43</v>
      </c>
      <c r="C1176" s="8" t="s">
        <v>77</v>
      </c>
      <c r="D1176" s="9" t="str">
        <f>HYPERLINK("https://www.marklines.com/en/global/2171","MAN Truck &amp; Bus, Munich Plant")</f>
        <v>MAN Truck &amp; Bus, Munich Plant</v>
      </c>
      <c r="E1176" s="8" t="s">
        <v>78</v>
      </c>
      <c r="F1176" s="8" t="s">
        <v>17</v>
      </c>
      <c r="G1176" s="8" t="s">
        <v>21</v>
      </c>
      <c r="H1176" s="8"/>
      <c r="I1176" s="10">
        <v>45107</v>
      </c>
      <c r="J1176" s="8" t="s">
        <v>272</v>
      </c>
    </row>
    <row r="1177" spans="1:10" x14ac:dyDescent="0.15">
      <c r="A1177" s="7">
        <v>45111</v>
      </c>
      <c r="B1177" s="8" t="s">
        <v>43</v>
      </c>
      <c r="C1177" s="8" t="s">
        <v>67</v>
      </c>
      <c r="D1177" s="9" t="str">
        <f>HYPERLINK("https://www.marklines.com/en/global/2271","Volkswagen AG, Salzgitter Plant / Power Co SE, Salzgitter Gigafactory")</f>
        <v>Volkswagen AG, Salzgitter Plant / Power Co SE, Salzgitter Gigafactory</v>
      </c>
      <c r="E1177" s="8" t="s">
        <v>140</v>
      </c>
      <c r="F1177" s="8" t="s">
        <v>17</v>
      </c>
      <c r="G1177" s="8" t="s">
        <v>21</v>
      </c>
      <c r="H1177" s="8"/>
      <c r="I1177" s="10">
        <v>45107</v>
      </c>
      <c r="J1177" s="8" t="s">
        <v>273</v>
      </c>
    </row>
    <row r="1178" spans="1:10" x14ac:dyDescent="0.15">
      <c r="A1178" s="7">
        <v>45111</v>
      </c>
      <c r="B1178" s="8" t="s">
        <v>29</v>
      </c>
      <c r="C1178" s="8" t="s">
        <v>29</v>
      </c>
      <c r="D1178" s="9" t="str">
        <f>HYPERLINK("https://www.marklines.com/en/global/3807","Zhejiang Geely Holding Group Co., Ltd.")</f>
        <v>Zhejiang Geely Holding Group Co., Ltd.</v>
      </c>
      <c r="E1178" s="8" t="s">
        <v>76</v>
      </c>
      <c r="F1178" s="8" t="s">
        <v>20</v>
      </c>
      <c r="G1178" s="8" t="s">
        <v>27</v>
      </c>
      <c r="H1178" s="8" t="s">
        <v>51</v>
      </c>
      <c r="I1178" s="10">
        <v>45107</v>
      </c>
      <c r="J1178" s="8" t="s">
        <v>274</v>
      </c>
    </row>
    <row r="1179" spans="1:10" x14ac:dyDescent="0.15">
      <c r="A1179" s="7">
        <v>45111</v>
      </c>
      <c r="B1179" s="8" t="s">
        <v>34</v>
      </c>
      <c r="C1179" s="8" t="s">
        <v>34</v>
      </c>
      <c r="D1179" s="9" t="str">
        <f>HYPERLINK("https://www.marklines.com/en/global/3283","Tesla, Fremont Plant")</f>
        <v>Tesla, Fremont Plant</v>
      </c>
      <c r="E1179" s="8" t="s">
        <v>152</v>
      </c>
      <c r="F1179" s="8" t="s">
        <v>16</v>
      </c>
      <c r="G1179" s="8" t="s">
        <v>11</v>
      </c>
      <c r="H1179" s="8" t="s">
        <v>38</v>
      </c>
      <c r="I1179" s="10">
        <v>45106</v>
      </c>
      <c r="J1179" s="8" t="s">
        <v>275</v>
      </c>
    </row>
    <row r="1180" spans="1:10" x14ac:dyDescent="0.15">
      <c r="A1180" s="7">
        <v>45111</v>
      </c>
      <c r="B1180" s="8" t="s">
        <v>34</v>
      </c>
      <c r="C1180" s="8" t="s">
        <v>34</v>
      </c>
      <c r="D1180" s="9" t="str">
        <f>HYPERLINK("https://www.marklines.com/en/global/10321","Tesla Gigafactory Texas")</f>
        <v>Tesla Gigafactory Texas</v>
      </c>
      <c r="E1180" s="8" t="s">
        <v>35</v>
      </c>
      <c r="F1180" s="8" t="s">
        <v>16</v>
      </c>
      <c r="G1180" s="8" t="s">
        <v>11</v>
      </c>
      <c r="H1180" s="8" t="s">
        <v>36</v>
      </c>
      <c r="I1180" s="10">
        <v>45106</v>
      </c>
      <c r="J1180" s="8" t="s">
        <v>275</v>
      </c>
    </row>
    <row r="1181" spans="1:10" x14ac:dyDescent="0.15">
      <c r="A1181" s="7">
        <v>45111</v>
      </c>
      <c r="B1181" s="8" t="s">
        <v>117</v>
      </c>
      <c r="C1181" s="8" t="s">
        <v>117</v>
      </c>
      <c r="D1181" s="9" t="str">
        <f>HYPERLINK("https://www.marklines.com/en/global/10668","Guangzhou Xiaopeng Automobile Manufacturing Co., Ltd.")</f>
        <v>Guangzhou Xiaopeng Automobile Manufacturing Co., Ltd.</v>
      </c>
      <c r="E1181" s="8" t="s">
        <v>118</v>
      </c>
      <c r="F1181" s="8" t="s">
        <v>20</v>
      </c>
      <c r="G1181" s="8" t="s">
        <v>27</v>
      </c>
      <c r="H1181" s="8" t="s">
        <v>31</v>
      </c>
      <c r="I1181" s="10">
        <v>45106</v>
      </c>
      <c r="J1181" s="8" t="s">
        <v>276</v>
      </c>
    </row>
    <row r="1182" spans="1:10" x14ac:dyDescent="0.15">
      <c r="A1182" s="7">
        <v>45111</v>
      </c>
      <c r="B1182" s="8" t="s">
        <v>53</v>
      </c>
      <c r="C1182" s="8" t="s">
        <v>135</v>
      </c>
      <c r="D1182" s="9" t="str">
        <f>HYPERLINK("https://www.marklines.com/en/global/10420","Great Wall Motor Co., Ltd. Jingmen Branch")</f>
        <v>Great Wall Motor Co., Ltd. Jingmen Branch</v>
      </c>
      <c r="E1182" s="8" t="s">
        <v>149</v>
      </c>
      <c r="F1182" s="8" t="s">
        <v>20</v>
      </c>
      <c r="G1182" s="8" t="s">
        <v>27</v>
      </c>
      <c r="H1182" s="8" t="s">
        <v>46</v>
      </c>
      <c r="I1182" s="10">
        <v>45106</v>
      </c>
      <c r="J1182" s="8" t="s">
        <v>277</v>
      </c>
    </row>
    <row r="1183" spans="1:10" x14ac:dyDescent="0.15">
      <c r="A1183" s="7">
        <v>45111</v>
      </c>
      <c r="B1183" s="8" t="s">
        <v>53</v>
      </c>
      <c r="C1183" s="8" t="s">
        <v>86</v>
      </c>
      <c r="D1183" s="9" t="str">
        <f>HYPERLINK("https://www.marklines.com/en/global/10420","Great Wall Motor Co., Ltd. Jingmen Branch")</f>
        <v>Great Wall Motor Co., Ltd. Jingmen Branch</v>
      </c>
      <c r="E1183" s="8" t="s">
        <v>149</v>
      </c>
      <c r="F1183" s="8" t="s">
        <v>20</v>
      </c>
      <c r="G1183" s="8" t="s">
        <v>27</v>
      </c>
      <c r="H1183" s="8" t="s">
        <v>46</v>
      </c>
      <c r="I1183" s="10">
        <v>45106</v>
      </c>
      <c r="J1183" s="8" t="s">
        <v>277</v>
      </c>
    </row>
    <row r="1184" spans="1:10" x14ac:dyDescent="0.15">
      <c r="A1184" s="7">
        <v>45111</v>
      </c>
      <c r="B1184" s="8" t="s">
        <v>53</v>
      </c>
      <c r="C1184" s="8" t="s">
        <v>154</v>
      </c>
      <c r="D1184" s="9" t="str">
        <f>HYPERLINK("https://www.marklines.com/en/global/10420","Great Wall Motor Co., Ltd. Jingmen Branch")</f>
        <v>Great Wall Motor Co., Ltd. Jingmen Branch</v>
      </c>
      <c r="E1184" s="8" t="s">
        <v>149</v>
      </c>
      <c r="F1184" s="8" t="s">
        <v>20</v>
      </c>
      <c r="G1184" s="8" t="s">
        <v>27</v>
      </c>
      <c r="H1184" s="8" t="s">
        <v>46</v>
      </c>
      <c r="I1184" s="10">
        <v>45106</v>
      </c>
      <c r="J1184" s="8" t="s">
        <v>277</v>
      </c>
    </row>
    <row r="1185" spans="1:10" x14ac:dyDescent="0.15">
      <c r="A1185" s="7">
        <v>45111</v>
      </c>
      <c r="B1185" s="8" t="s">
        <v>53</v>
      </c>
      <c r="C1185" s="8" t="s">
        <v>135</v>
      </c>
      <c r="D1185" s="9" t="str">
        <f>HYPERLINK("https://www.marklines.com/en/global/1995","Great Wall Motor (Thailand), Rayong Plant (formerly General Motors (Thailand), Rayong Plant)")</f>
        <v>Great Wall Motor (Thailand), Rayong Plant (formerly General Motors (Thailand), Rayong Plant)</v>
      </c>
      <c r="E1185" s="8" t="s">
        <v>183</v>
      </c>
      <c r="F1185" s="8" t="s">
        <v>49</v>
      </c>
      <c r="G1185" s="8" t="s">
        <v>170</v>
      </c>
      <c r="H1185" s="8" t="s">
        <v>172</v>
      </c>
      <c r="I1185" s="10">
        <v>45105</v>
      </c>
      <c r="J1185" s="8" t="s">
        <v>278</v>
      </c>
    </row>
    <row r="1186" spans="1:10" x14ac:dyDescent="0.15">
      <c r="A1186" s="7">
        <v>45111</v>
      </c>
      <c r="B1186" s="8" t="s">
        <v>65</v>
      </c>
      <c r="C1186" s="8" t="s">
        <v>66</v>
      </c>
      <c r="D1186" s="9" t="str">
        <f>HYPERLINK("https://www.marklines.com/en/global/4311","Jiangsu Yueda Kia Motors Co., Ltd. (Third Plant) (formerly Kia Motors Co., Ltd. (Third Plant))")</f>
        <v>Jiangsu Yueda Kia Motors Co., Ltd. (Third Plant) (formerly Kia Motors Co., Ltd. (Third Plant))</v>
      </c>
      <c r="E1186" s="8" t="s">
        <v>121</v>
      </c>
      <c r="F1186" s="8" t="s">
        <v>20</v>
      </c>
      <c r="G1186" s="8" t="s">
        <v>27</v>
      </c>
      <c r="H1186" s="8" t="s">
        <v>52</v>
      </c>
      <c r="I1186" s="10">
        <v>45105</v>
      </c>
      <c r="J1186" s="8" t="s">
        <v>279</v>
      </c>
    </row>
    <row r="1187" spans="1:10" x14ac:dyDescent="0.15">
      <c r="A1187" s="7">
        <v>45111</v>
      </c>
      <c r="B1187" s="8" t="s">
        <v>65</v>
      </c>
      <c r="C1187" s="8" t="s">
        <v>66</v>
      </c>
      <c r="D1187" s="9" t="str">
        <f>HYPERLINK("https://www.marklines.com/en/global/3765","Jiangsu Yueda Kia Motors Co., Ltd. (formerly Kia Motors Co., Ltd.)")</f>
        <v>Jiangsu Yueda Kia Motors Co., Ltd. (formerly Kia Motors Co., Ltd.)</v>
      </c>
      <c r="E1187" s="8" t="s">
        <v>122</v>
      </c>
      <c r="F1187" s="8" t="s">
        <v>20</v>
      </c>
      <c r="G1187" s="8" t="s">
        <v>27</v>
      </c>
      <c r="H1187" s="8" t="s">
        <v>52</v>
      </c>
      <c r="I1187" s="10">
        <v>45105</v>
      </c>
      <c r="J1187" s="8" t="s">
        <v>279</v>
      </c>
    </row>
    <row r="1188" spans="1:10" x14ac:dyDescent="0.15">
      <c r="A1188" s="7">
        <v>45111</v>
      </c>
      <c r="B1188" s="8" t="s">
        <v>133</v>
      </c>
      <c r="C1188" s="8" t="s">
        <v>197</v>
      </c>
      <c r="D1188" s="9" t="str">
        <f>HYPERLINK("https://www.marklines.com/en/global/2631","Stellantis, FCA US, Detroit Assembly Complex - Mack (formerly Mack Avenue Assembly Complex)")</f>
        <v>Stellantis, FCA US, Detroit Assembly Complex - Mack (formerly Mack Avenue Assembly Complex)</v>
      </c>
      <c r="E1188" s="8" t="s">
        <v>261</v>
      </c>
      <c r="F1188" s="8" t="s">
        <v>16</v>
      </c>
      <c r="G1188" s="8" t="s">
        <v>11</v>
      </c>
      <c r="H1188" s="8" t="s">
        <v>59</v>
      </c>
      <c r="I1188" s="10">
        <v>45103</v>
      </c>
      <c r="J1188" s="8" t="s">
        <v>280</v>
      </c>
    </row>
    <row r="1189" spans="1:10" x14ac:dyDescent="0.15">
      <c r="A1189" s="7">
        <v>45111</v>
      </c>
      <c r="B1189" s="8" t="s">
        <v>133</v>
      </c>
      <c r="C1189" s="8" t="s">
        <v>134</v>
      </c>
      <c r="D1189" s="9" t="str">
        <f>HYPERLINK("https://www.marklines.com/en/global/2631","Stellantis, FCA US, Detroit Assembly Complex - Mack (formerly Mack Avenue Assembly Complex)")</f>
        <v>Stellantis, FCA US, Detroit Assembly Complex - Mack (formerly Mack Avenue Assembly Complex)</v>
      </c>
      <c r="E1189" s="8" t="s">
        <v>261</v>
      </c>
      <c r="F1189" s="8" t="s">
        <v>16</v>
      </c>
      <c r="G1189" s="8" t="s">
        <v>11</v>
      </c>
      <c r="H1189" s="8" t="s">
        <v>59</v>
      </c>
      <c r="I1189" s="10">
        <v>45103</v>
      </c>
      <c r="J1189" s="8" t="s">
        <v>280</v>
      </c>
    </row>
    <row r="1190" spans="1:10" x14ac:dyDescent="0.15">
      <c r="A1190" s="7">
        <v>45111</v>
      </c>
      <c r="B1190" s="8" t="s">
        <v>198</v>
      </c>
      <c r="C1190" s="8" t="s">
        <v>198</v>
      </c>
      <c r="D1190" s="9" t="str">
        <f>HYPERLINK("https://www.marklines.com/en/global/1809","Magna Steyr Fahrzeugtechnik AG &amp; Co KG, Graz Plant")</f>
        <v>Magna Steyr Fahrzeugtechnik AG &amp; Co KG, Graz Plant</v>
      </c>
      <c r="E1190" s="8" t="s">
        <v>101</v>
      </c>
      <c r="F1190" s="8" t="s">
        <v>17</v>
      </c>
      <c r="G1190" s="8" t="s">
        <v>102</v>
      </c>
      <c r="H1190" s="8"/>
      <c r="I1190" s="10">
        <v>45100</v>
      </c>
      <c r="J1190" s="8" t="s">
        <v>281</v>
      </c>
    </row>
    <row r="1191" spans="1:10" x14ac:dyDescent="0.15">
      <c r="A1191" s="7">
        <v>45110</v>
      </c>
      <c r="B1191" s="8" t="s">
        <v>43</v>
      </c>
      <c r="C1191" s="8" t="s">
        <v>127</v>
      </c>
      <c r="D1191" s="9" t="str">
        <f>HYPERLINK("https://www.marklines.com/en/global/2201","Audi AG, Audi Sport GmbH, Neckarsulm Plant")</f>
        <v>Audi AG, Audi Sport GmbH, Neckarsulm Plant</v>
      </c>
      <c r="E1191" s="8" t="s">
        <v>177</v>
      </c>
      <c r="F1191" s="8" t="s">
        <v>17</v>
      </c>
      <c r="G1191" s="8" t="s">
        <v>21</v>
      </c>
      <c r="H1191" s="8"/>
      <c r="I1191" s="10">
        <v>45107</v>
      </c>
      <c r="J1191" s="8" t="s">
        <v>282</v>
      </c>
    </row>
    <row r="1192" spans="1:10" x14ac:dyDescent="0.15">
      <c r="A1192" s="7">
        <v>45110</v>
      </c>
      <c r="B1192" s="8" t="s">
        <v>43</v>
      </c>
      <c r="C1192" s="8" t="s">
        <v>127</v>
      </c>
      <c r="D1192" s="9" t="str">
        <f>HYPERLINK("https://www.marklines.com/en/global/1514","Audi Brussels S.A./N.V., Brussels Plant")</f>
        <v>Audi Brussels S.A./N.V., Brussels Plant</v>
      </c>
      <c r="E1192" s="8" t="s">
        <v>178</v>
      </c>
      <c r="F1192" s="8" t="s">
        <v>17</v>
      </c>
      <c r="G1192" s="8" t="s">
        <v>138</v>
      </c>
      <c r="H1192" s="8"/>
      <c r="I1192" s="10">
        <v>45107</v>
      </c>
      <c r="J1192" s="8" t="s">
        <v>282</v>
      </c>
    </row>
    <row r="1193" spans="1:10" x14ac:dyDescent="0.15">
      <c r="A1193" s="7">
        <v>45110</v>
      </c>
      <c r="B1193" s="8" t="s">
        <v>43</v>
      </c>
      <c r="C1193" s="8" t="s">
        <v>127</v>
      </c>
      <c r="D1193" s="9" t="str">
        <f>HYPERLINK("https://www.marklines.com/en/global/2199","Audi AG, Ingolstadt Plant")</f>
        <v>Audi AG, Ingolstadt Plant</v>
      </c>
      <c r="E1193" s="8" t="s">
        <v>179</v>
      </c>
      <c r="F1193" s="8" t="s">
        <v>17</v>
      </c>
      <c r="G1193" s="8" t="s">
        <v>21</v>
      </c>
      <c r="H1193" s="8"/>
      <c r="I1193" s="10">
        <v>45107</v>
      </c>
      <c r="J1193" s="8" t="s">
        <v>282</v>
      </c>
    </row>
    <row r="1194" spans="1:10" x14ac:dyDescent="0.15">
      <c r="A1194" s="7">
        <v>45110</v>
      </c>
      <c r="B1194" s="8" t="s">
        <v>12</v>
      </c>
      <c r="C1194" s="8" t="s">
        <v>19</v>
      </c>
      <c r="D1194" s="9" t="str">
        <f>HYPERLINK("https://www.marklines.com/en/global/9012","UzAuto Motors, Asaka Plant (formerly UzDaewooAuto, GM Uzbekistan)")</f>
        <v>UzAuto Motors, Asaka Plant (formerly UzDaewooAuto, GM Uzbekistan)</v>
      </c>
      <c r="E1194" s="8" t="s">
        <v>180</v>
      </c>
      <c r="F1194" s="8" t="s">
        <v>18</v>
      </c>
      <c r="G1194" s="8" t="s">
        <v>181</v>
      </c>
      <c r="H1194" s="8"/>
      <c r="I1194" s="10">
        <v>45107</v>
      </c>
      <c r="J1194" s="8" t="s">
        <v>283</v>
      </c>
    </row>
    <row r="1195" spans="1:10" x14ac:dyDescent="0.15">
      <c r="A1195" s="7">
        <v>45110</v>
      </c>
      <c r="B1195" s="8" t="s">
        <v>24</v>
      </c>
      <c r="C1195" s="8" t="s">
        <v>24</v>
      </c>
      <c r="D1195" s="9" t="str">
        <f>HYPERLINK("https://www.marklines.com/en/global/2145","Ford Motor Germany, Saarlouis Plant")</f>
        <v>Ford Motor Germany, Saarlouis Plant</v>
      </c>
      <c r="E1195" s="8" t="s">
        <v>189</v>
      </c>
      <c r="F1195" s="8" t="s">
        <v>17</v>
      </c>
      <c r="G1195" s="8" t="s">
        <v>21</v>
      </c>
      <c r="H1195" s="8"/>
      <c r="I1195" s="10">
        <v>45107</v>
      </c>
      <c r="J1195" s="8" t="s">
        <v>284</v>
      </c>
    </row>
    <row r="1196" spans="1:10" x14ac:dyDescent="0.15">
      <c r="A1196" s="7">
        <v>45110</v>
      </c>
      <c r="B1196" s="8" t="s">
        <v>24</v>
      </c>
      <c r="C1196" s="8" t="s">
        <v>24</v>
      </c>
      <c r="D1196" s="9" t="str">
        <f>HYPERLINK("https://www.marklines.com/en/global/2143","Ford Motor Germany, Cologne (Koln)-Niehl Plant")</f>
        <v>Ford Motor Germany, Cologne (Koln)-Niehl Plant</v>
      </c>
      <c r="E1196" s="8" t="s">
        <v>99</v>
      </c>
      <c r="F1196" s="8" t="s">
        <v>17</v>
      </c>
      <c r="G1196" s="8" t="s">
        <v>21</v>
      </c>
      <c r="H1196" s="8"/>
      <c r="I1196" s="10">
        <v>45107</v>
      </c>
      <c r="J1196" s="8" t="s">
        <v>285</v>
      </c>
    </row>
    <row r="1197" spans="1:10" x14ac:dyDescent="0.15">
      <c r="A1197" s="7">
        <v>45110</v>
      </c>
      <c r="B1197" s="8" t="s">
        <v>13</v>
      </c>
      <c r="C1197" s="8" t="s">
        <v>104</v>
      </c>
      <c r="D1197" s="9" t="str">
        <f>HYPERLINK("https://www.marklines.com/en/global/10377","Valmet Battery Assembly Center, Kirchardt Plant")</f>
        <v>Valmet Battery Assembly Center, Kirchardt Plant</v>
      </c>
      <c r="E1197" s="8" t="s">
        <v>105</v>
      </c>
      <c r="F1197" s="8" t="s">
        <v>17</v>
      </c>
      <c r="G1197" s="8" t="s">
        <v>21</v>
      </c>
      <c r="H1197" s="8"/>
      <c r="I1197" s="10">
        <v>45107</v>
      </c>
      <c r="J1197" s="8" t="s">
        <v>286</v>
      </c>
    </row>
    <row r="1198" spans="1:10" x14ac:dyDescent="0.15">
      <c r="A1198" s="7">
        <v>45110</v>
      </c>
      <c r="B1198" s="8" t="s">
        <v>174</v>
      </c>
      <c r="C1198" s="8" t="s">
        <v>174</v>
      </c>
      <c r="D1198" s="9" t="str">
        <f>HYPERLINK("https://www.marklines.com/en/global/741","Trucks Vostok Rus LLC (TVR), Naberezhnye Chelny Plant (formerly OOO Daimler Kamaz Rus (DK Rus), OOO Mercedes-Benz Trucks Vostok) ")</f>
        <v xml:space="preserve">Trucks Vostok Rus LLC (TVR), Naberezhnye Chelny Plant (formerly OOO Daimler Kamaz Rus (DK Rus), OOO Mercedes-Benz Trucks Vostok) </v>
      </c>
      <c r="E1198" s="8" t="s">
        <v>175</v>
      </c>
      <c r="F1198" s="8" t="s">
        <v>18</v>
      </c>
      <c r="G1198" s="8" t="s">
        <v>14</v>
      </c>
      <c r="H1198" s="8"/>
      <c r="I1198" s="10">
        <v>45107</v>
      </c>
      <c r="J1198" s="8" t="s">
        <v>287</v>
      </c>
    </row>
    <row r="1199" spans="1:10" x14ac:dyDescent="0.15">
      <c r="A1199" s="7">
        <v>45110</v>
      </c>
      <c r="B1199" s="8" t="s">
        <v>93</v>
      </c>
      <c r="C1199" s="8" t="s">
        <v>93</v>
      </c>
      <c r="D1199" s="9" t="str">
        <f>HYPERLINK("https://www.marklines.com/en/global/10414","Verkor SA")</f>
        <v>Verkor SA</v>
      </c>
      <c r="E1199" s="8" t="s">
        <v>97</v>
      </c>
      <c r="F1199" s="8" t="s">
        <v>17</v>
      </c>
      <c r="G1199" s="8" t="s">
        <v>40</v>
      </c>
      <c r="H1199" s="8"/>
      <c r="I1199" s="10">
        <v>45106</v>
      </c>
      <c r="J1199" s="8" t="s">
        <v>288</v>
      </c>
    </row>
    <row r="1200" spans="1:10" x14ac:dyDescent="0.15">
      <c r="A1200" s="7">
        <v>45110</v>
      </c>
      <c r="B1200" s="8" t="s">
        <v>93</v>
      </c>
      <c r="C1200" s="8" t="s">
        <v>93</v>
      </c>
      <c r="D1200" s="9" t="str">
        <f>HYPERLINK("https://www.marklines.com/en/global/10509","Verkor Gigafactory, Dunkirk Plant (tentative name)")</f>
        <v>Verkor Gigafactory, Dunkirk Plant (tentative name)</v>
      </c>
      <c r="E1200" s="8" t="s">
        <v>98</v>
      </c>
      <c r="F1200" s="8" t="s">
        <v>17</v>
      </c>
      <c r="G1200" s="8" t="s">
        <v>40</v>
      </c>
      <c r="H1200" s="8"/>
      <c r="I1200" s="10">
        <v>45106</v>
      </c>
      <c r="J1200" s="8" t="s">
        <v>288</v>
      </c>
    </row>
    <row r="1201" spans="1:10" x14ac:dyDescent="0.15">
      <c r="A1201" s="7">
        <v>45110</v>
      </c>
      <c r="B1201" s="8" t="s">
        <v>22</v>
      </c>
      <c r="C1201" s="8" t="s">
        <v>168</v>
      </c>
      <c r="D1201" s="9" t="str">
        <f>HYPERLINK("https://www.marklines.com/en/global/539","Daihatsu Motor, Head (Ikeda) Plant")</f>
        <v>Daihatsu Motor, Head (Ikeda) Plant</v>
      </c>
      <c r="E1201" s="8" t="s">
        <v>289</v>
      </c>
      <c r="F1201" s="8" t="s">
        <v>20</v>
      </c>
      <c r="G1201" s="8" t="s">
        <v>23</v>
      </c>
      <c r="H1201" s="8" t="s">
        <v>290</v>
      </c>
      <c r="I1201" s="10">
        <v>45106</v>
      </c>
      <c r="J1201" s="8" t="s">
        <v>291</v>
      </c>
    </row>
    <row r="1202" spans="1:10" x14ac:dyDescent="0.15">
      <c r="A1202" s="7">
        <v>45110</v>
      </c>
      <c r="B1202" s="8" t="s">
        <v>22</v>
      </c>
      <c r="C1202" s="8" t="s">
        <v>168</v>
      </c>
      <c r="D1202" s="9" t="str">
        <f>HYPERLINK("https://www.marklines.com/en/global/543","Daihatsu Motor, Shiga (Ryuo) Plant")</f>
        <v>Daihatsu Motor, Shiga (Ryuo) Plant</v>
      </c>
      <c r="E1202" s="8" t="s">
        <v>184</v>
      </c>
      <c r="F1202" s="8" t="s">
        <v>20</v>
      </c>
      <c r="G1202" s="8" t="s">
        <v>23</v>
      </c>
      <c r="H1202" s="8" t="s">
        <v>185</v>
      </c>
      <c r="I1202" s="10">
        <v>45106</v>
      </c>
      <c r="J1202" s="8" t="s">
        <v>291</v>
      </c>
    </row>
    <row r="1203" spans="1:10" x14ac:dyDescent="0.15">
      <c r="A1203" s="7">
        <v>45110</v>
      </c>
      <c r="B1203" s="8" t="s">
        <v>22</v>
      </c>
      <c r="C1203" s="8" t="s">
        <v>168</v>
      </c>
      <c r="D1203" s="9" t="str">
        <f>HYPERLINK("https://www.marklines.com/en/global/547","Daihatsu Motor Kyushu, Oita (Nakatsu) Plant")</f>
        <v>Daihatsu Motor Kyushu, Oita (Nakatsu) Plant</v>
      </c>
      <c r="E1203" s="8" t="s">
        <v>130</v>
      </c>
      <c r="F1203" s="8" t="s">
        <v>20</v>
      </c>
      <c r="G1203" s="8" t="s">
        <v>23</v>
      </c>
      <c r="H1203" s="8" t="s">
        <v>131</v>
      </c>
      <c r="I1203" s="10">
        <v>45106</v>
      </c>
      <c r="J1203" s="8" t="s">
        <v>291</v>
      </c>
    </row>
    <row r="1204" spans="1:10" x14ac:dyDescent="0.15">
      <c r="A1204" s="7">
        <v>45110</v>
      </c>
      <c r="B1204" s="8" t="s">
        <v>22</v>
      </c>
      <c r="C1204" s="8" t="s">
        <v>22</v>
      </c>
      <c r="D1204" s="9" t="str">
        <f>HYPERLINK("https://www.marklines.com/en/global/401","Toyota Motor Hokkaido,Inc.")</f>
        <v>Toyota Motor Hokkaido,Inc.</v>
      </c>
      <c r="E1204" s="8" t="s">
        <v>292</v>
      </c>
      <c r="F1204" s="8" t="s">
        <v>20</v>
      </c>
      <c r="G1204" s="8" t="s">
        <v>23</v>
      </c>
      <c r="H1204" s="8" t="s">
        <v>293</v>
      </c>
      <c r="I1204" s="10">
        <v>45105</v>
      </c>
      <c r="J1204" s="8" t="s">
        <v>294</v>
      </c>
    </row>
    <row r="1205" spans="1:10" x14ac:dyDescent="0.15">
      <c r="A1205" s="7">
        <v>45110</v>
      </c>
      <c r="B1205" s="8" t="s">
        <v>53</v>
      </c>
      <c r="C1205" s="8" t="s">
        <v>135</v>
      </c>
      <c r="D1205" s="9" t="str">
        <f>HYPERLINK("https://www.marklines.com/en/global/1995","Great Wall Motor (Thailand), Rayong Plant (formerly General Motors (Thailand), Rayong Plant)")</f>
        <v>Great Wall Motor (Thailand), Rayong Plant (formerly General Motors (Thailand), Rayong Plant)</v>
      </c>
      <c r="E1205" s="8" t="s">
        <v>183</v>
      </c>
      <c r="F1205" s="8" t="s">
        <v>49</v>
      </c>
      <c r="G1205" s="8" t="s">
        <v>170</v>
      </c>
      <c r="H1205" s="8" t="s">
        <v>172</v>
      </c>
      <c r="I1205" s="10">
        <v>45105</v>
      </c>
      <c r="J1205" s="8" t="s">
        <v>295</v>
      </c>
    </row>
    <row r="1206" spans="1:10" x14ac:dyDescent="0.15">
      <c r="A1206" s="7">
        <v>45110</v>
      </c>
      <c r="B1206" s="8" t="s">
        <v>44</v>
      </c>
      <c r="C1206" s="8" t="s">
        <v>54</v>
      </c>
      <c r="D1206" s="9" t="str">
        <f>HYPERLINK("https://www.marklines.com/en/global/9824","GAC Aion New Energy Automobile Co., Ltd.")</f>
        <v>GAC Aion New Energy Automobile Co., Ltd.</v>
      </c>
      <c r="E1206" s="8" t="s">
        <v>55</v>
      </c>
      <c r="F1206" s="8" t="s">
        <v>20</v>
      </c>
      <c r="G1206" s="8" t="s">
        <v>27</v>
      </c>
      <c r="H1206" s="8" t="s">
        <v>31</v>
      </c>
      <c r="I1206" s="10">
        <v>45105</v>
      </c>
      <c r="J1206" s="8" t="s">
        <v>296</v>
      </c>
    </row>
    <row r="1207" spans="1:10" x14ac:dyDescent="0.15">
      <c r="A1207" s="7">
        <v>45110</v>
      </c>
      <c r="B1207" s="8" t="s">
        <v>13</v>
      </c>
      <c r="C1207" s="8" t="s">
        <v>297</v>
      </c>
      <c r="D1207" s="9" t="str">
        <f>HYPERLINK("https://www.marklines.com/en/global/10446","Liuzhou Wuling New Energy Automobile Co., Ltd. (formerly Guangxi Automobile Group Co., Ltd. New Energy Automotive Base)")</f>
        <v>Liuzhou Wuling New Energy Automobile Co., Ltd. (formerly Guangxi Automobile Group Co., Ltd. New Energy Automotive Base)</v>
      </c>
      <c r="E1207" s="8" t="s">
        <v>298</v>
      </c>
      <c r="F1207" s="8" t="s">
        <v>20</v>
      </c>
      <c r="G1207" s="8" t="s">
        <v>27</v>
      </c>
      <c r="H1207" s="8" t="s">
        <v>48</v>
      </c>
      <c r="I1207" s="10">
        <v>45105</v>
      </c>
      <c r="J1207" s="8" t="s">
        <v>299</v>
      </c>
    </row>
    <row r="1208" spans="1:10" x14ac:dyDescent="0.15">
      <c r="A1208" s="7">
        <v>45110</v>
      </c>
      <c r="B1208" s="8" t="s">
        <v>83</v>
      </c>
      <c r="C1208" s="8" t="s">
        <v>83</v>
      </c>
      <c r="D1208" s="9" t="str">
        <f>HYPERLINK("https://www.marklines.com/en/global/9536","Zhejiang Leapmotor Technology Co., Ltd.")</f>
        <v>Zhejiang Leapmotor Technology Co., Ltd.</v>
      </c>
      <c r="E1208" s="8" t="s">
        <v>85</v>
      </c>
      <c r="F1208" s="8" t="s">
        <v>20</v>
      </c>
      <c r="G1208" s="8" t="s">
        <v>27</v>
      </c>
      <c r="H1208" s="8" t="s">
        <v>51</v>
      </c>
      <c r="I1208" s="10">
        <v>45105</v>
      </c>
      <c r="J1208" s="8" t="s">
        <v>300</v>
      </c>
    </row>
    <row r="1209" spans="1:10" x14ac:dyDescent="0.15">
      <c r="A1209" s="7">
        <v>45110</v>
      </c>
      <c r="B1209" s="8" t="s">
        <v>22</v>
      </c>
      <c r="C1209" s="8" t="s">
        <v>168</v>
      </c>
      <c r="D1209" s="9" t="str">
        <f>HYPERLINK("https://www.marklines.com/en/global/543","Daihatsu Motor, Shiga (Ryuo) Plant")</f>
        <v>Daihatsu Motor, Shiga (Ryuo) Plant</v>
      </c>
      <c r="E1209" s="8" t="s">
        <v>184</v>
      </c>
      <c r="F1209" s="8" t="s">
        <v>20</v>
      </c>
      <c r="G1209" s="8" t="s">
        <v>23</v>
      </c>
      <c r="H1209" s="8" t="s">
        <v>185</v>
      </c>
      <c r="I1209" s="10">
        <v>45104</v>
      </c>
      <c r="J1209" s="8" t="s">
        <v>301</v>
      </c>
    </row>
    <row r="1210" spans="1:10" x14ac:dyDescent="0.15">
      <c r="A1210" s="7">
        <v>45110</v>
      </c>
      <c r="B1210" s="8" t="s">
        <v>22</v>
      </c>
      <c r="C1210" s="8" t="s">
        <v>168</v>
      </c>
      <c r="D1210" s="9" t="str">
        <f>HYPERLINK("https://www.marklines.com/en/global/547","Daihatsu Motor Kyushu, Oita (Nakatsu) Plant")</f>
        <v>Daihatsu Motor Kyushu, Oita (Nakatsu) Plant</v>
      </c>
      <c r="E1210" s="8" t="s">
        <v>130</v>
      </c>
      <c r="F1210" s="8" t="s">
        <v>20</v>
      </c>
      <c r="G1210" s="8" t="s">
        <v>23</v>
      </c>
      <c r="H1210" s="8" t="s">
        <v>131</v>
      </c>
      <c r="I1210" s="10">
        <v>45104</v>
      </c>
      <c r="J1210" s="8" t="s">
        <v>301</v>
      </c>
    </row>
    <row r="1211" spans="1:10" x14ac:dyDescent="0.15">
      <c r="A1211" s="7">
        <v>45110</v>
      </c>
      <c r="B1211" s="8" t="s">
        <v>44</v>
      </c>
      <c r="C1211" s="8" t="s">
        <v>54</v>
      </c>
      <c r="D1211" s="9" t="str">
        <f>HYPERLINK("https://www.marklines.com/en/global/9824","GAC Aion New Energy Automobile Co., Ltd.")</f>
        <v>GAC Aion New Energy Automobile Co., Ltd.</v>
      </c>
      <c r="E1211" s="8" t="s">
        <v>55</v>
      </c>
      <c r="F1211" s="8" t="s">
        <v>20</v>
      </c>
      <c r="G1211" s="8" t="s">
        <v>27</v>
      </c>
      <c r="H1211" s="8" t="s">
        <v>31</v>
      </c>
      <c r="I1211" s="10">
        <v>45104</v>
      </c>
      <c r="J1211" s="8" t="s">
        <v>302</v>
      </c>
    </row>
    <row r="1212" spans="1:10" x14ac:dyDescent="0.15">
      <c r="A1212" s="7">
        <v>45110</v>
      </c>
      <c r="B1212" s="8" t="s">
        <v>43</v>
      </c>
      <c r="C1212" s="8" t="s">
        <v>67</v>
      </c>
      <c r="D1212" s="9" t="str">
        <f>HYPERLINK("https://www.marklines.com/en/global/2267","Volkswagen AG, Emden Plant")</f>
        <v>Volkswagen AG, Emden Plant</v>
      </c>
      <c r="E1212" s="8" t="s">
        <v>71</v>
      </c>
      <c r="F1212" s="8" t="s">
        <v>17</v>
      </c>
      <c r="G1212" s="8" t="s">
        <v>21</v>
      </c>
      <c r="H1212" s="8"/>
      <c r="I1212" s="10">
        <v>45104</v>
      </c>
      <c r="J1212" s="8" t="s">
        <v>303</v>
      </c>
    </row>
    <row r="1213" spans="1:10" x14ac:dyDescent="0.15">
      <c r="A1213" s="7">
        <v>45110</v>
      </c>
      <c r="B1213" s="8" t="s">
        <v>63</v>
      </c>
      <c r="C1213" s="8" t="s">
        <v>64</v>
      </c>
      <c r="D1213" s="9" t="str">
        <f>HYPERLINK("https://www.marklines.com/en/global/6427","Beijing Borgward Automobile Co., Ltd. ")</f>
        <v xml:space="preserve">Beijing Borgward Automobile Co., Ltd. </v>
      </c>
      <c r="E1213" s="8" t="s">
        <v>304</v>
      </c>
      <c r="F1213" s="8" t="s">
        <v>20</v>
      </c>
      <c r="G1213" s="8" t="s">
        <v>27</v>
      </c>
      <c r="H1213" s="8" t="s">
        <v>37</v>
      </c>
      <c r="I1213" s="10">
        <v>45103</v>
      </c>
      <c r="J1213" s="8" t="s">
        <v>305</v>
      </c>
    </row>
    <row r="1214" spans="1:10" x14ac:dyDescent="0.15">
      <c r="A1214" s="7">
        <v>45110</v>
      </c>
      <c r="B1214" s="8" t="s">
        <v>53</v>
      </c>
      <c r="C1214" s="8" t="s">
        <v>154</v>
      </c>
      <c r="D1214" s="9" t="str">
        <f>HYPERLINK("https://www.marklines.com/en/global/10420","Great Wall Motor Co., Ltd. Jingmen Branch")</f>
        <v>Great Wall Motor Co., Ltd. Jingmen Branch</v>
      </c>
      <c r="E1214" s="8" t="s">
        <v>149</v>
      </c>
      <c r="F1214" s="8" t="s">
        <v>20</v>
      </c>
      <c r="G1214" s="8" t="s">
        <v>27</v>
      </c>
      <c r="H1214" s="8" t="s">
        <v>46</v>
      </c>
      <c r="I1214" s="10">
        <v>45103</v>
      </c>
      <c r="J1214" s="8" t="s">
        <v>306</v>
      </c>
    </row>
    <row r="1215" spans="1:10" x14ac:dyDescent="0.15">
      <c r="A1215" s="7">
        <v>45110</v>
      </c>
      <c r="B1215" s="8" t="s">
        <v>44</v>
      </c>
      <c r="C1215" s="8" t="s">
        <v>44</v>
      </c>
      <c r="D1215" s="9" t="str">
        <f>HYPERLINK("https://www.marklines.com/en/global/4073","Guangzhou Automobile Group Co., Ltd. (GAC)")</f>
        <v>Guangzhou Automobile Group Co., Ltd. (GAC)</v>
      </c>
      <c r="E1215" s="8" t="s">
        <v>45</v>
      </c>
      <c r="F1215" s="8" t="s">
        <v>20</v>
      </c>
      <c r="G1215" s="8" t="s">
        <v>27</v>
      </c>
      <c r="H1215" s="8" t="s">
        <v>31</v>
      </c>
      <c r="I1215" s="10">
        <v>45103</v>
      </c>
      <c r="J1215" s="8" t="s">
        <v>307</v>
      </c>
    </row>
    <row r="1216" spans="1:10" x14ac:dyDescent="0.15">
      <c r="A1216" s="7">
        <v>45110</v>
      </c>
      <c r="B1216" s="8" t="s">
        <v>44</v>
      </c>
      <c r="C1216" s="8" t="s">
        <v>44</v>
      </c>
      <c r="D1216" s="9" t="str">
        <f>HYPERLINK("https://www.marklines.com/en/global/4075","GAC Motor Co., Ltd. (formerly Guangzhou Automobile Group Motor Co., Ltd.)")</f>
        <v>GAC Motor Co., Ltd. (formerly Guangzhou Automobile Group Motor Co., Ltd.)</v>
      </c>
      <c r="E1216" s="8" t="s">
        <v>119</v>
      </c>
      <c r="F1216" s="8" t="s">
        <v>20</v>
      </c>
      <c r="G1216" s="8" t="s">
        <v>27</v>
      </c>
      <c r="H1216" s="8" t="s">
        <v>31</v>
      </c>
      <c r="I1216" s="10">
        <v>45103</v>
      </c>
      <c r="J1216" s="8" t="s">
        <v>307</v>
      </c>
    </row>
    <row r="1217" spans="1:10" x14ac:dyDescent="0.15">
      <c r="A1217" s="7">
        <v>45110</v>
      </c>
      <c r="B1217" s="8" t="s">
        <v>44</v>
      </c>
      <c r="C1217" s="8" t="s">
        <v>44</v>
      </c>
      <c r="D1217" s="9" t="str">
        <f>HYPERLINK("https://www.marklines.com/en/global/9824","GAC Aion New Energy Automobile Co., Ltd.")</f>
        <v>GAC Aion New Energy Automobile Co., Ltd.</v>
      </c>
      <c r="E1217" s="8" t="s">
        <v>55</v>
      </c>
      <c r="F1217" s="8" t="s">
        <v>20</v>
      </c>
      <c r="G1217" s="8" t="s">
        <v>27</v>
      </c>
      <c r="H1217" s="8" t="s">
        <v>31</v>
      </c>
      <c r="I1217" s="10">
        <v>45103</v>
      </c>
      <c r="J1217" s="8" t="s">
        <v>307</v>
      </c>
    </row>
    <row r="1218" spans="1:10" x14ac:dyDescent="0.15">
      <c r="A1218" s="7">
        <v>45110</v>
      </c>
      <c r="B1218" s="8" t="s">
        <v>13</v>
      </c>
      <c r="C1218" s="8" t="s">
        <v>308</v>
      </c>
      <c r="D1218" s="9" t="str">
        <f>HYPERLINK("https://www.marklines.com/en/global/6427","Beijing Borgward Automobile Co., Ltd. ")</f>
        <v xml:space="preserve">Beijing Borgward Automobile Co., Ltd. </v>
      </c>
      <c r="E1218" s="8" t="s">
        <v>304</v>
      </c>
      <c r="F1218" s="8" t="s">
        <v>20</v>
      </c>
      <c r="G1218" s="8" t="s">
        <v>27</v>
      </c>
      <c r="H1218" s="8" t="s">
        <v>37</v>
      </c>
      <c r="I1218" s="10">
        <v>45102</v>
      </c>
      <c r="J1218" s="8" t="s">
        <v>309</v>
      </c>
    </row>
    <row r="1219" spans="1:10" x14ac:dyDescent="0.15">
      <c r="A1219" s="7">
        <v>45110</v>
      </c>
      <c r="B1219" s="8" t="s">
        <v>100</v>
      </c>
      <c r="C1219" s="8" t="s">
        <v>100</v>
      </c>
      <c r="D1219" s="9" t="str">
        <f>HYPERLINK("https://www.marklines.com/en/global/10422","AESC Ibaraki Ltd.")</f>
        <v>AESC Ibaraki Ltd.</v>
      </c>
      <c r="E1219" s="8" t="s">
        <v>310</v>
      </c>
      <c r="F1219" s="8" t="s">
        <v>20</v>
      </c>
      <c r="G1219" s="8" t="s">
        <v>23</v>
      </c>
      <c r="H1219" s="8" t="s">
        <v>107</v>
      </c>
      <c r="I1219" s="10">
        <v>45100</v>
      </c>
      <c r="J1219" s="8" t="s">
        <v>311</v>
      </c>
    </row>
    <row r="1220" spans="1:10" x14ac:dyDescent="0.15">
      <c r="A1220" s="7">
        <v>45110</v>
      </c>
      <c r="B1220" s="8" t="s">
        <v>148</v>
      </c>
      <c r="C1220" s="8" t="s">
        <v>148</v>
      </c>
      <c r="D1220" s="9" t="str">
        <f>HYPERLINK("https://www.marklines.com/en/global/503","Mazda Motor, Hiroshima Plant")</f>
        <v>Mazda Motor, Hiroshima Plant</v>
      </c>
      <c r="E1220" s="8" t="s">
        <v>150</v>
      </c>
      <c r="F1220" s="8" t="s">
        <v>20</v>
      </c>
      <c r="G1220" s="8" t="s">
        <v>23</v>
      </c>
      <c r="H1220" s="8" t="s">
        <v>151</v>
      </c>
      <c r="I1220" s="10">
        <v>45099</v>
      </c>
      <c r="J1220" s="8" t="s">
        <v>312</v>
      </c>
    </row>
    <row r="1221" spans="1:10" x14ac:dyDescent="0.15">
      <c r="A1221" s="7"/>
      <c r="B1221" s="8"/>
      <c r="C1221" s="8"/>
      <c r="D1221" s="9"/>
      <c r="E1221" s="8"/>
      <c r="F1221" s="8"/>
      <c r="G1221" s="8"/>
      <c r="H1221" s="8"/>
      <c r="I1221" s="10"/>
      <c r="J1221" s="8"/>
    </row>
    <row r="1222" spans="1:10" x14ac:dyDescent="0.15">
      <c r="A1222" s="7"/>
      <c r="B1222" s="8"/>
      <c r="C1222" s="8"/>
      <c r="D1222" s="9"/>
      <c r="E1222" s="8"/>
      <c r="F1222" s="8"/>
      <c r="G1222" s="8"/>
      <c r="H1222" s="8"/>
      <c r="I1222" s="10"/>
      <c r="J1222" s="8"/>
    </row>
    <row r="1223" spans="1:10" x14ac:dyDescent="0.15">
      <c r="A1223" s="7"/>
      <c r="B1223" s="8"/>
      <c r="C1223" s="8"/>
      <c r="D1223" s="9"/>
      <c r="E1223" s="8"/>
      <c r="F1223" s="8"/>
      <c r="G1223" s="8"/>
      <c r="H1223" s="8"/>
      <c r="I1223" s="10"/>
      <c r="J1223" s="8"/>
    </row>
    <row r="1224" spans="1:10" x14ac:dyDescent="0.15">
      <c r="A1224" s="7"/>
      <c r="B1224" s="8"/>
      <c r="C1224" s="8"/>
      <c r="D1224" s="9"/>
      <c r="E1224" s="8"/>
      <c r="F1224" s="8"/>
      <c r="G1224" s="8"/>
      <c r="H1224" s="8"/>
      <c r="I1224" s="10"/>
      <c r="J1224" s="8"/>
    </row>
    <row r="1225" spans="1:10" x14ac:dyDescent="0.15">
      <c r="A1225" s="7"/>
      <c r="B1225" s="8"/>
      <c r="C1225" s="8"/>
      <c r="D1225" s="9"/>
      <c r="E1225" s="8"/>
      <c r="F1225" s="8"/>
      <c r="G1225" s="8"/>
      <c r="H1225" s="8"/>
      <c r="I1225" s="10"/>
      <c r="J1225" s="8"/>
    </row>
    <row r="1226" spans="1:10" x14ac:dyDescent="0.15">
      <c r="A1226" s="7"/>
      <c r="B1226" s="8"/>
      <c r="C1226" s="8"/>
      <c r="D1226" s="9"/>
      <c r="E1226" s="8"/>
      <c r="F1226" s="8"/>
      <c r="G1226" s="8"/>
      <c r="H1226" s="8"/>
      <c r="I1226" s="10"/>
      <c r="J1226" s="8"/>
    </row>
    <row r="1227" spans="1:10" x14ac:dyDescent="0.15">
      <c r="A1227" s="7"/>
      <c r="B1227" s="8"/>
      <c r="C1227" s="8"/>
      <c r="D1227" s="9"/>
      <c r="E1227" s="8"/>
      <c r="F1227" s="8"/>
      <c r="G1227" s="8"/>
      <c r="H1227" s="8"/>
      <c r="I1227" s="10"/>
      <c r="J1227" s="8"/>
    </row>
    <row r="1228" spans="1:10" x14ac:dyDescent="0.15">
      <c r="A1228" s="7"/>
      <c r="B1228" s="8"/>
      <c r="C1228" s="8"/>
      <c r="D1228" s="9"/>
      <c r="E1228" s="8"/>
      <c r="F1228" s="8"/>
      <c r="G1228" s="8"/>
      <c r="H1228" s="8"/>
      <c r="I1228" s="10"/>
      <c r="J1228" s="8"/>
    </row>
    <row r="1229" spans="1:10" x14ac:dyDescent="0.15">
      <c r="A1229" s="7"/>
      <c r="B1229" s="8"/>
      <c r="C1229" s="8"/>
      <c r="D1229" s="9"/>
      <c r="E1229" s="8"/>
      <c r="F1229" s="8"/>
      <c r="G1229" s="8"/>
      <c r="H1229" s="8"/>
      <c r="I1229" s="10"/>
      <c r="J1229" s="8"/>
    </row>
    <row r="1230" spans="1:10" x14ac:dyDescent="0.15">
      <c r="A1230" s="7"/>
      <c r="B1230" s="8"/>
      <c r="C1230" s="8"/>
      <c r="D1230" s="9"/>
      <c r="E1230" s="8"/>
      <c r="F1230" s="8"/>
      <c r="G1230" s="8"/>
      <c r="H1230" s="8"/>
      <c r="I1230" s="10"/>
      <c r="J1230" s="8"/>
    </row>
    <row r="1231" spans="1:10" x14ac:dyDescent="0.15">
      <c r="A1231" s="7"/>
      <c r="B1231" s="8"/>
      <c r="C1231" s="8"/>
      <c r="D1231" s="9"/>
      <c r="E1231" s="8"/>
      <c r="F1231" s="8"/>
      <c r="G1231" s="8"/>
      <c r="H1231" s="8"/>
      <c r="I1231" s="10"/>
      <c r="J1231" s="8"/>
    </row>
    <row r="1232" spans="1:10" x14ac:dyDescent="0.15">
      <c r="A1232" s="7"/>
      <c r="B1232" s="8"/>
      <c r="C1232" s="8"/>
      <c r="D1232" s="9"/>
      <c r="E1232" s="8"/>
      <c r="F1232" s="8"/>
      <c r="G1232" s="8"/>
      <c r="H1232" s="8"/>
      <c r="I1232" s="10"/>
      <c r="J1232" s="8"/>
    </row>
    <row r="1233" spans="1:10" x14ac:dyDescent="0.15">
      <c r="A1233" s="7"/>
      <c r="B1233" s="8"/>
      <c r="C1233" s="8"/>
      <c r="D1233" s="9"/>
      <c r="E1233" s="8"/>
      <c r="F1233" s="8"/>
      <c r="G1233" s="8"/>
      <c r="H1233" s="8"/>
      <c r="I1233" s="10"/>
      <c r="J1233" s="8"/>
    </row>
    <row r="1234" spans="1:10" x14ac:dyDescent="0.15">
      <c r="A1234" s="7"/>
      <c r="B1234" s="8"/>
      <c r="C1234" s="8"/>
      <c r="D1234" s="9"/>
      <c r="E1234" s="8"/>
      <c r="F1234" s="8"/>
      <c r="G1234" s="8"/>
      <c r="H1234" s="8"/>
      <c r="I1234" s="10"/>
      <c r="J1234" s="8"/>
    </row>
    <row r="1235" spans="1:10" x14ac:dyDescent="0.15">
      <c r="A1235" s="7"/>
      <c r="B1235" s="8"/>
      <c r="C1235" s="8"/>
      <c r="D1235" s="9"/>
      <c r="E1235" s="8"/>
      <c r="F1235" s="8"/>
      <c r="G1235" s="8"/>
      <c r="H1235" s="8"/>
      <c r="I1235" s="10"/>
      <c r="J1235" s="8"/>
    </row>
    <row r="1236" spans="1:10" x14ac:dyDescent="0.15">
      <c r="A1236" s="7"/>
      <c r="B1236" s="8"/>
      <c r="C1236" s="8"/>
      <c r="D1236" s="9"/>
      <c r="E1236" s="8"/>
      <c r="F1236" s="8"/>
      <c r="G1236" s="8"/>
      <c r="H1236" s="8"/>
      <c r="I1236" s="10"/>
      <c r="J1236" s="8"/>
    </row>
    <row r="1237" spans="1:10" x14ac:dyDescent="0.15">
      <c r="A1237" s="7"/>
      <c r="B1237" s="8"/>
      <c r="C1237" s="8"/>
      <c r="D1237" s="9"/>
      <c r="E1237" s="8"/>
      <c r="F1237" s="8"/>
      <c r="G1237" s="8"/>
      <c r="H1237" s="8"/>
      <c r="I1237" s="10"/>
      <c r="J1237" s="8"/>
    </row>
    <row r="1238" spans="1:10" x14ac:dyDescent="0.15">
      <c r="A1238" s="7"/>
      <c r="B1238" s="8"/>
      <c r="C1238" s="8"/>
      <c r="D1238" s="9"/>
      <c r="E1238" s="8"/>
      <c r="F1238" s="8"/>
      <c r="G1238" s="8"/>
      <c r="H1238" s="8"/>
      <c r="I1238" s="10"/>
      <c r="J1238" s="8"/>
    </row>
    <row r="1239" spans="1:10" x14ac:dyDescent="0.15">
      <c r="A1239" s="7"/>
      <c r="B1239" s="8"/>
      <c r="C1239" s="8"/>
      <c r="D1239" s="9"/>
      <c r="E1239" s="8"/>
      <c r="F1239" s="8"/>
      <c r="G1239" s="8"/>
      <c r="H1239" s="8"/>
      <c r="I1239" s="10"/>
      <c r="J1239" s="8"/>
    </row>
    <row r="1240" spans="1:10" x14ac:dyDescent="0.15">
      <c r="A1240" s="7"/>
      <c r="B1240" s="8"/>
      <c r="C1240" s="8"/>
      <c r="D1240" s="9"/>
      <c r="E1240" s="8"/>
      <c r="F1240" s="8"/>
      <c r="G1240" s="8"/>
      <c r="H1240" s="8"/>
      <c r="I1240" s="10"/>
      <c r="J1240" s="8"/>
    </row>
    <row r="1241" spans="1:10" x14ac:dyDescent="0.15">
      <c r="A1241" s="7"/>
      <c r="B1241" s="8"/>
      <c r="C1241" s="8"/>
      <c r="D1241" s="9"/>
      <c r="E1241" s="8"/>
      <c r="F1241" s="8"/>
      <c r="G1241" s="8"/>
      <c r="H1241" s="8"/>
      <c r="I1241" s="10"/>
      <c r="J1241" s="8"/>
    </row>
    <row r="1242" spans="1:10" x14ac:dyDescent="0.15">
      <c r="A1242" s="7"/>
      <c r="B1242" s="8"/>
      <c r="C1242" s="8"/>
      <c r="D1242" s="9"/>
      <c r="E1242" s="8"/>
      <c r="F1242" s="8"/>
      <c r="G1242" s="8"/>
      <c r="H1242" s="8"/>
      <c r="I1242" s="10"/>
      <c r="J1242" s="8"/>
    </row>
    <row r="1243" spans="1:10" x14ac:dyDescent="0.15">
      <c r="A1243" s="7"/>
      <c r="B1243" s="8"/>
      <c r="C1243" s="8"/>
      <c r="D1243" s="9"/>
      <c r="E1243" s="8"/>
      <c r="F1243" s="8"/>
      <c r="G1243" s="8"/>
      <c r="H1243" s="8"/>
      <c r="I1243" s="10"/>
      <c r="J1243" s="8"/>
    </row>
    <row r="1244" spans="1:10" x14ac:dyDescent="0.15">
      <c r="A1244" s="7"/>
      <c r="B1244" s="8"/>
      <c r="C1244" s="8"/>
      <c r="D1244" s="9"/>
      <c r="E1244" s="8"/>
      <c r="F1244" s="8"/>
      <c r="G1244" s="8"/>
      <c r="H1244" s="8"/>
      <c r="I1244" s="10"/>
      <c r="J1244" s="8"/>
    </row>
    <row r="1245" spans="1:10" x14ac:dyDescent="0.15">
      <c r="A1245" s="7"/>
      <c r="B1245" s="8"/>
      <c r="C1245" s="8"/>
      <c r="D1245" s="9"/>
      <c r="E1245" s="8"/>
      <c r="F1245" s="8"/>
      <c r="G1245" s="8"/>
      <c r="H1245" s="8"/>
      <c r="I1245" s="10"/>
      <c r="J1245" s="8"/>
    </row>
    <row r="1246" spans="1:10" x14ac:dyDescent="0.15">
      <c r="A1246" s="7"/>
      <c r="B1246" s="8"/>
      <c r="C1246" s="8"/>
      <c r="D1246" s="9"/>
      <c r="E1246" s="8"/>
      <c r="F1246" s="8"/>
      <c r="G1246" s="8"/>
      <c r="H1246" s="8"/>
      <c r="I1246" s="10"/>
      <c r="J1246" s="8"/>
    </row>
    <row r="1247" spans="1:10" x14ac:dyDescent="0.15">
      <c r="A1247" s="7"/>
      <c r="B1247" s="8"/>
      <c r="C1247" s="8"/>
      <c r="D1247" s="9"/>
      <c r="E1247" s="8"/>
      <c r="F1247" s="8"/>
      <c r="G1247" s="8"/>
      <c r="H1247" s="8"/>
      <c r="I1247" s="10"/>
      <c r="J1247" s="8"/>
    </row>
    <row r="1248" spans="1:10" x14ac:dyDescent="0.15">
      <c r="A1248" s="7"/>
      <c r="B1248" s="8"/>
      <c r="C1248" s="8"/>
      <c r="D1248" s="9"/>
      <c r="E1248" s="8"/>
      <c r="F1248" s="8"/>
      <c r="G1248" s="8"/>
      <c r="H1248" s="8"/>
      <c r="I1248" s="10"/>
      <c r="J1248" s="8"/>
    </row>
    <row r="1249" spans="1:10" x14ac:dyDescent="0.15">
      <c r="A1249" s="7"/>
      <c r="B1249" s="8"/>
      <c r="C1249" s="8"/>
      <c r="D1249" s="9"/>
      <c r="E1249" s="8"/>
      <c r="F1249" s="8"/>
      <c r="G1249" s="8"/>
      <c r="H1249" s="8"/>
      <c r="I1249" s="10"/>
      <c r="J1249" s="8"/>
    </row>
    <row r="1250" spans="1:10" x14ac:dyDescent="0.15">
      <c r="A1250" s="7"/>
      <c r="B1250" s="8"/>
      <c r="C1250" s="8"/>
      <c r="D1250" s="9"/>
      <c r="E1250" s="8"/>
      <c r="F1250" s="8"/>
      <c r="G1250" s="8"/>
      <c r="H1250" s="8"/>
      <c r="I1250" s="10"/>
      <c r="J1250" s="8"/>
    </row>
    <row r="1251" spans="1:10" x14ac:dyDescent="0.15">
      <c r="A1251" s="7"/>
      <c r="B1251" s="8"/>
      <c r="C1251" s="8"/>
      <c r="D1251" s="9"/>
      <c r="E1251" s="8"/>
      <c r="F1251" s="8"/>
      <c r="G1251" s="8"/>
      <c r="H1251" s="8"/>
      <c r="I1251" s="10"/>
      <c r="J1251" s="8"/>
    </row>
    <row r="1252" spans="1:10" x14ac:dyDescent="0.15">
      <c r="A1252" s="7"/>
      <c r="B1252" s="8"/>
      <c r="C1252" s="8"/>
      <c r="D1252" s="9"/>
      <c r="E1252" s="8"/>
      <c r="F1252" s="8"/>
      <c r="G1252" s="8"/>
      <c r="H1252" s="8"/>
      <c r="I1252" s="10"/>
      <c r="J1252" s="8"/>
    </row>
    <row r="1253" spans="1:10" x14ac:dyDescent="0.15">
      <c r="A1253" s="7"/>
      <c r="B1253" s="8"/>
      <c r="C1253" s="8"/>
      <c r="D1253" s="9"/>
      <c r="E1253" s="8"/>
      <c r="F1253" s="8"/>
      <c r="G1253" s="8"/>
      <c r="H1253" s="8"/>
      <c r="I1253" s="10"/>
      <c r="J1253" s="8"/>
    </row>
    <row r="1254" spans="1:10" x14ac:dyDescent="0.15">
      <c r="A1254" s="7"/>
      <c r="B1254" s="8"/>
      <c r="C1254" s="8"/>
      <c r="D1254" s="9"/>
      <c r="E1254" s="8"/>
      <c r="F1254" s="8"/>
      <c r="G1254" s="8"/>
      <c r="H1254" s="8"/>
      <c r="I1254" s="10"/>
      <c r="J1254" s="8"/>
    </row>
    <row r="1255" spans="1:10" x14ac:dyDescent="0.15">
      <c r="A1255" s="7"/>
      <c r="B1255" s="8"/>
      <c r="C1255" s="8"/>
      <c r="D1255" s="9"/>
      <c r="E1255" s="8"/>
      <c r="F1255" s="8"/>
      <c r="G1255" s="8"/>
      <c r="H1255" s="8"/>
      <c r="I1255" s="10"/>
      <c r="J1255" s="8"/>
    </row>
    <row r="1256" spans="1:10" x14ac:dyDescent="0.15">
      <c r="A1256" s="7"/>
      <c r="B1256" s="8"/>
      <c r="C1256" s="8"/>
      <c r="D1256" s="9"/>
      <c r="E1256" s="8"/>
      <c r="F1256" s="8"/>
      <c r="G1256" s="8"/>
      <c r="H1256" s="8"/>
      <c r="I1256" s="10"/>
      <c r="J1256" s="8"/>
    </row>
    <row r="1257" spans="1:10" x14ac:dyDescent="0.15">
      <c r="A1257" s="7"/>
      <c r="B1257" s="8"/>
      <c r="C1257" s="8"/>
      <c r="D1257" s="9"/>
      <c r="E1257" s="8"/>
      <c r="F1257" s="8"/>
      <c r="G1257" s="8"/>
      <c r="H1257" s="8"/>
      <c r="I1257" s="10"/>
      <c r="J1257" s="8"/>
    </row>
    <row r="1258" spans="1:10" x14ac:dyDescent="0.15">
      <c r="A1258" s="7"/>
      <c r="B1258" s="8"/>
      <c r="C1258" s="8"/>
      <c r="D1258" s="9"/>
      <c r="E1258" s="8"/>
      <c r="F1258" s="8"/>
      <c r="G1258" s="8"/>
      <c r="H1258" s="8"/>
      <c r="I1258" s="10"/>
      <c r="J1258" s="8"/>
    </row>
    <row r="1259" spans="1:10" x14ac:dyDescent="0.15">
      <c r="A1259" s="7"/>
      <c r="B1259" s="8"/>
      <c r="C1259" s="8"/>
      <c r="D1259" s="9"/>
      <c r="E1259" s="8"/>
      <c r="F1259" s="8"/>
      <c r="G1259" s="8"/>
      <c r="H1259" s="8"/>
      <c r="I1259" s="10"/>
      <c r="J1259" s="8"/>
    </row>
    <row r="1260" spans="1:10" x14ac:dyDescent="0.15">
      <c r="A1260" s="7"/>
      <c r="B1260" s="8"/>
      <c r="C1260" s="8"/>
      <c r="D1260" s="9"/>
      <c r="E1260" s="8"/>
      <c r="F1260" s="8"/>
      <c r="G1260" s="8"/>
      <c r="H1260" s="8"/>
      <c r="I1260" s="10"/>
      <c r="J1260" s="8"/>
    </row>
    <row r="1261" spans="1:10" x14ac:dyDescent="0.15">
      <c r="A1261" s="7"/>
      <c r="B1261" s="8"/>
      <c r="C1261" s="8"/>
      <c r="D1261" s="9"/>
      <c r="E1261" s="8"/>
      <c r="F1261" s="8"/>
      <c r="G1261" s="8"/>
      <c r="H1261" s="8"/>
      <c r="I1261" s="10"/>
      <c r="J1261" s="8"/>
    </row>
    <row r="1262" spans="1:10" x14ac:dyDescent="0.15">
      <c r="A1262" s="7"/>
      <c r="B1262" s="8"/>
      <c r="C1262" s="8"/>
      <c r="D1262" s="9"/>
      <c r="E1262" s="8"/>
      <c r="F1262" s="8"/>
      <c r="G1262" s="8"/>
      <c r="H1262" s="8"/>
      <c r="I1262" s="10"/>
      <c r="J1262" s="8"/>
    </row>
    <row r="1263" spans="1:10" x14ac:dyDescent="0.15">
      <c r="A1263" s="7"/>
      <c r="B1263" s="8"/>
      <c r="C1263" s="8"/>
      <c r="D1263" s="9"/>
      <c r="E1263" s="8"/>
      <c r="F1263" s="8"/>
      <c r="G1263" s="8"/>
      <c r="H1263" s="8"/>
      <c r="I1263" s="10"/>
      <c r="J1263" s="8"/>
    </row>
    <row r="1264" spans="1:10" x14ac:dyDescent="0.15">
      <c r="A1264" s="7"/>
      <c r="B1264" s="8"/>
      <c r="C1264" s="8"/>
      <c r="D1264" s="9"/>
      <c r="E1264" s="8"/>
      <c r="F1264" s="8"/>
      <c r="G1264" s="8"/>
      <c r="H1264" s="8"/>
      <c r="I1264" s="10"/>
      <c r="J1264" s="8"/>
    </row>
    <row r="1265" spans="1:10" x14ac:dyDescent="0.15">
      <c r="A1265" s="7"/>
      <c r="B1265" s="8"/>
      <c r="C1265" s="8"/>
      <c r="D1265" s="9"/>
      <c r="E1265" s="8"/>
      <c r="F1265" s="8"/>
      <c r="G1265" s="8"/>
      <c r="H1265" s="8"/>
      <c r="I1265" s="10"/>
      <c r="J1265" s="8"/>
    </row>
    <row r="1266" spans="1:10" x14ac:dyDescent="0.15">
      <c r="A1266" s="7"/>
      <c r="B1266" s="8"/>
      <c r="C1266" s="8"/>
      <c r="D1266" s="9"/>
      <c r="E1266" s="8"/>
      <c r="F1266" s="8"/>
      <c r="G1266" s="8"/>
      <c r="H1266" s="8"/>
      <c r="I1266" s="10"/>
      <c r="J1266" s="8"/>
    </row>
    <row r="1267" spans="1:10" x14ac:dyDescent="0.15">
      <c r="A1267" s="7"/>
      <c r="B1267" s="8"/>
      <c r="C1267" s="8"/>
      <c r="D1267" s="9"/>
      <c r="E1267" s="8"/>
      <c r="F1267" s="8"/>
      <c r="G1267" s="8"/>
      <c r="H1267" s="8"/>
      <c r="I1267" s="10"/>
      <c r="J1267" s="8"/>
    </row>
    <row r="1268" spans="1:10" x14ac:dyDescent="0.15">
      <c r="A1268" s="7"/>
      <c r="B1268" s="8"/>
      <c r="C1268" s="8"/>
      <c r="D1268" s="9"/>
      <c r="E1268" s="8"/>
      <c r="F1268" s="8"/>
      <c r="G1268" s="8"/>
      <c r="H1268" s="8"/>
      <c r="I1268" s="10"/>
      <c r="J1268" s="8"/>
    </row>
    <row r="1269" spans="1:10" x14ac:dyDescent="0.15">
      <c r="A1269" s="7"/>
      <c r="B1269" s="8"/>
      <c r="C1269" s="8"/>
      <c r="D1269" s="9"/>
      <c r="E1269" s="8"/>
      <c r="F1269" s="8"/>
      <c r="G1269" s="8"/>
      <c r="H1269" s="8"/>
      <c r="I1269" s="10"/>
      <c r="J1269" s="8"/>
    </row>
    <row r="1270" spans="1:10" x14ac:dyDescent="0.15">
      <c r="A1270" s="7"/>
      <c r="B1270" s="8"/>
      <c r="C1270" s="8"/>
      <c r="D1270" s="9"/>
      <c r="E1270" s="8"/>
      <c r="F1270" s="8"/>
      <c r="G1270" s="8"/>
      <c r="H1270" s="8"/>
      <c r="I1270" s="10"/>
      <c r="J1270" s="8"/>
    </row>
    <row r="1271" spans="1:10" x14ac:dyDescent="0.15">
      <c r="A1271" s="7"/>
      <c r="B1271" s="8"/>
      <c r="C1271" s="8"/>
      <c r="D1271" s="9"/>
      <c r="E1271" s="8"/>
      <c r="F1271" s="8"/>
      <c r="G1271" s="8"/>
      <c r="H1271" s="8"/>
      <c r="I1271" s="10"/>
      <c r="J1271" s="8"/>
    </row>
    <row r="1272" spans="1:10" x14ac:dyDescent="0.15">
      <c r="A1272" s="7"/>
      <c r="B1272" s="8"/>
      <c r="C1272" s="8"/>
      <c r="D1272" s="9"/>
      <c r="E1272" s="8"/>
      <c r="F1272" s="8"/>
      <c r="G1272" s="8"/>
      <c r="H1272" s="8"/>
      <c r="I1272" s="10"/>
      <c r="J1272" s="8"/>
    </row>
    <row r="1273" spans="1:10" x14ac:dyDescent="0.15">
      <c r="A1273" s="7"/>
      <c r="B1273" s="8"/>
      <c r="C1273" s="8"/>
      <c r="D1273" s="9"/>
      <c r="E1273" s="8"/>
      <c r="F1273" s="8"/>
      <c r="G1273" s="8"/>
      <c r="H1273" s="8"/>
      <c r="I1273" s="10"/>
      <c r="J1273" s="8"/>
    </row>
    <row r="1274" spans="1:10" x14ac:dyDescent="0.15">
      <c r="A1274" s="7"/>
      <c r="B1274" s="8"/>
      <c r="C1274" s="8"/>
      <c r="D1274" s="9"/>
      <c r="E1274" s="8"/>
      <c r="F1274" s="8"/>
      <c r="G1274" s="8"/>
      <c r="H1274" s="8"/>
      <c r="I1274" s="10"/>
      <c r="J1274" s="8"/>
    </row>
    <row r="1275" spans="1:10" x14ac:dyDescent="0.15">
      <c r="A1275" s="7"/>
      <c r="B1275" s="8"/>
      <c r="C1275" s="8"/>
      <c r="D1275" s="9"/>
      <c r="E1275" s="8"/>
      <c r="F1275" s="8"/>
      <c r="G1275" s="8"/>
      <c r="H1275" s="8"/>
      <c r="I1275" s="10"/>
      <c r="J1275" s="8"/>
    </row>
    <row r="1276" spans="1:10" x14ac:dyDescent="0.15">
      <c r="A1276" s="7"/>
      <c r="B1276" s="8"/>
      <c r="C1276" s="8"/>
      <c r="D1276" s="9"/>
      <c r="E1276" s="8"/>
      <c r="F1276" s="8"/>
      <c r="G1276" s="8"/>
      <c r="H1276" s="8"/>
      <c r="I1276" s="10"/>
      <c r="J1276" s="8"/>
    </row>
    <row r="1277" spans="1:10" x14ac:dyDescent="0.15">
      <c r="A1277" s="7"/>
      <c r="B1277" s="8"/>
      <c r="C1277" s="8"/>
      <c r="D1277" s="9"/>
      <c r="E1277" s="8"/>
      <c r="F1277" s="8"/>
      <c r="G1277" s="8"/>
      <c r="H1277" s="8"/>
      <c r="I1277" s="10"/>
      <c r="J1277" s="8"/>
    </row>
    <row r="1278" spans="1:10" x14ac:dyDescent="0.15">
      <c r="A1278" s="7"/>
      <c r="B1278" s="8"/>
      <c r="C1278" s="8"/>
      <c r="D1278" s="9"/>
      <c r="E1278" s="8"/>
      <c r="F1278" s="8"/>
      <c r="G1278" s="8"/>
      <c r="H1278" s="8"/>
      <c r="I1278" s="10"/>
      <c r="J1278" s="8"/>
    </row>
    <row r="1279" spans="1:10" x14ac:dyDescent="0.15">
      <c r="A1279" s="7"/>
      <c r="B1279" s="8"/>
      <c r="C1279" s="8"/>
      <c r="D1279" s="9"/>
      <c r="E1279" s="8"/>
      <c r="F1279" s="8"/>
      <c r="G1279" s="8"/>
      <c r="H1279" s="8"/>
      <c r="I1279" s="10"/>
      <c r="J1279" s="8"/>
    </row>
    <row r="1280" spans="1:10" x14ac:dyDescent="0.15">
      <c r="A1280" s="7"/>
      <c r="B1280" s="8"/>
      <c r="C1280" s="8"/>
      <c r="D1280" s="9"/>
      <c r="E1280" s="8"/>
      <c r="F1280" s="8"/>
      <c r="G1280" s="8"/>
      <c r="H1280" s="8"/>
      <c r="I1280" s="10"/>
      <c r="J1280" s="8"/>
    </row>
    <row r="1281" spans="1:10" x14ac:dyDescent="0.15">
      <c r="A1281" s="7"/>
      <c r="B1281" s="8"/>
      <c r="C1281" s="8"/>
      <c r="D1281" s="9"/>
      <c r="E1281" s="8"/>
      <c r="F1281" s="8"/>
      <c r="G1281" s="8"/>
      <c r="H1281" s="8"/>
      <c r="I1281" s="10"/>
      <c r="J1281" s="8"/>
    </row>
    <row r="1282" spans="1:10" x14ac:dyDescent="0.15">
      <c r="A1282" s="7"/>
      <c r="B1282" s="8"/>
      <c r="C1282" s="8"/>
      <c r="D1282" s="9"/>
      <c r="E1282" s="8"/>
      <c r="F1282" s="8"/>
      <c r="G1282" s="8"/>
      <c r="H1282" s="8"/>
      <c r="I1282" s="10"/>
      <c r="J1282" s="8"/>
    </row>
    <row r="1283" spans="1:10" x14ac:dyDescent="0.15">
      <c r="A1283" s="7"/>
      <c r="B1283" s="8"/>
      <c r="C1283" s="8"/>
      <c r="D1283" s="9"/>
      <c r="E1283" s="8"/>
      <c r="F1283" s="8"/>
      <c r="G1283" s="8"/>
      <c r="H1283" s="8"/>
      <c r="I1283" s="10"/>
      <c r="J1283" s="8"/>
    </row>
    <row r="1284" spans="1:10" x14ac:dyDescent="0.15">
      <c r="A1284" s="7"/>
      <c r="B1284" s="8"/>
      <c r="C1284" s="8"/>
      <c r="D1284" s="9"/>
      <c r="E1284" s="8"/>
      <c r="F1284" s="8"/>
      <c r="G1284" s="8"/>
      <c r="H1284" s="8"/>
      <c r="I1284" s="10"/>
      <c r="J1284" s="8"/>
    </row>
    <row r="1285" spans="1:10" x14ac:dyDescent="0.15">
      <c r="A1285" s="7"/>
      <c r="B1285" s="8"/>
      <c r="C1285" s="8"/>
      <c r="D1285" s="9"/>
      <c r="E1285" s="8"/>
      <c r="F1285" s="8"/>
      <c r="G1285" s="8"/>
      <c r="H1285" s="8"/>
      <c r="I1285" s="10"/>
      <c r="J1285" s="8"/>
    </row>
    <row r="1286" spans="1:10" x14ac:dyDescent="0.15">
      <c r="A1286" s="7"/>
      <c r="B1286" s="8"/>
      <c r="C1286" s="8"/>
      <c r="D1286" s="9"/>
      <c r="E1286" s="8"/>
      <c r="F1286" s="8"/>
      <c r="G1286" s="8"/>
      <c r="H1286" s="8"/>
      <c r="I1286" s="10"/>
      <c r="J1286" s="8"/>
    </row>
    <row r="1287" spans="1:10" x14ac:dyDescent="0.15">
      <c r="A1287" s="7"/>
      <c r="B1287" s="8"/>
      <c r="C1287" s="8"/>
      <c r="D1287" s="9"/>
      <c r="E1287" s="8"/>
      <c r="F1287" s="8"/>
      <c r="G1287" s="8"/>
      <c r="H1287" s="8"/>
      <c r="I1287" s="10"/>
      <c r="J1287" s="8"/>
    </row>
    <row r="1288" spans="1:10" x14ac:dyDescent="0.15">
      <c r="A1288" s="7"/>
      <c r="B1288" s="8"/>
      <c r="C1288" s="8"/>
      <c r="D1288" s="9"/>
      <c r="E1288" s="8"/>
      <c r="F1288" s="8"/>
      <c r="G1288" s="8"/>
      <c r="H1288" s="8"/>
      <c r="I1288" s="10"/>
      <c r="J1288" s="8"/>
    </row>
    <row r="1289" spans="1:10" x14ac:dyDescent="0.15">
      <c r="A1289" s="7"/>
      <c r="B1289" s="8"/>
      <c r="C1289" s="8"/>
      <c r="D1289" s="9"/>
      <c r="E1289" s="8"/>
      <c r="F1289" s="8"/>
      <c r="G1289" s="8"/>
      <c r="H1289" s="8"/>
      <c r="I1289" s="10"/>
      <c r="J1289" s="8"/>
    </row>
    <row r="1290" spans="1:10" x14ac:dyDescent="0.15">
      <c r="A1290" s="7"/>
      <c r="B1290" s="8"/>
      <c r="C1290" s="8"/>
      <c r="D1290" s="9"/>
      <c r="E1290" s="8"/>
      <c r="F1290" s="8"/>
      <c r="G1290" s="8"/>
      <c r="H1290" s="8"/>
      <c r="I1290" s="10"/>
      <c r="J1290" s="8"/>
    </row>
    <row r="1291" spans="1:10" x14ac:dyDescent="0.15">
      <c r="A1291" s="7"/>
      <c r="B1291" s="8"/>
      <c r="C1291" s="8"/>
      <c r="D1291" s="9"/>
      <c r="E1291" s="8"/>
      <c r="F1291" s="8"/>
      <c r="G1291" s="8"/>
      <c r="H1291" s="8"/>
      <c r="I1291" s="10"/>
      <c r="J1291" s="8"/>
    </row>
    <row r="1292" spans="1:10" x14ac:dyDescent="0.15">
      <c r="A1292" s="7"/>
      <c r="B1292" s="8"/>
      <c r="C1292" s="8"/>
      <c r="D1292" s="9"/>
      <c r="E1292" s="8"/>
      <c r="F1292" s="8"/>
      <c r="G1292" s="8"/>
      <c r="H1292" s="8"/>
      <c r="I1292" s="10"/>
      <c r="J1292" s="8"/>
    </row>
    <row r="1293" spans="1:10" x14ac:dyDescent="0.15">
      <c r="A1293" s="7"/>
      <c r="B1293" s="8"/>
      <c r="C1293" s="8"/>
      <c r="D1293" s="9"/>
      <c r="E1293" s="8"/>
      <c r="F1293" s="8"/>
      <c r="G1293" s="8"/>
      <c r="H1293" s="8"/>
      <c r="I1293" s="10"/>
      <c r="J1293" s="8"/>
    </row>
    <row r="1294" spans="1:10" x14ac:dyDescent="0.15">
      <c r="A1294" s="7"/>
      <c r="B1294" s="8"/>
      <c r="C1294" s="8"/>
      <c r="D1294" s="9"/>
      <c r="E1294" s="8"/>
      <c r="F1294" s="8"/>
      <c r="G1294" s="8"/>
      <c r="H1294" s="8"/>
      <c r="I1294" s="10"/>
      <c r="J1294" s="8"/>
    </row>
    <row r="1295" spans="1:10" x14ac:dyDescent="0.15">
      <c r="A1295" s="7"/>
      <c r="B1295" s="8"/>
      <c r="C1295" s="8"/>
      <c r="D1295" s="9"/>
      <c r="E1295" s="8"/>
      <c r="F1295" s="8"/>
      <c r="G1295" s="8"/>
      <c r="H1295" s="8"/>
      <c r="I1295" s="10"/>
      <c r="J1295" s="8"/>
    </row>
    <row r="1296" spans="1:10" x14ac:dyDescent="0.15">
      <c r="A1296" s="7"/>
      <c r="B1296" s="8"/>
      <c r="C1296" s="8"/>
      <c r="D1296" s="9"/>
      <c r="E1296" s="8"/>
      <c r="F1296" s="8"/>
      <c r="G1296" s="8"/>
      <c r="H1296" s="8"/>
      <c r="I1296" s="10"/>
      <c r="J1296" s="8"/>
    </row>
    <row r="1297" spans="1:10" x14ac:dyDescent="0.15">
      <c r="A1297" s="7"/>
      <c r="B1297" s="8"/>
      <c r="C1297" s="8"/>
      <c r="D1297" s="9"/>
      <c r="E1297" s="8"/>
      <c r="F1297" s="8"/>
      <c r="G1297" s="8"/>
      <c r="H1297" s="8"/>
      <c r="I1297" s="10"/>
      <c r="J1297" s="8"/>
    </row>
    <row r="1298" spans="1:10" x14ac:dyDescent="0.15">
      <c r="A1298" s="7"/>
      <c r="B1298" s="8"/>
      <c r="C1298" s="8"/>
      <c r="D1298" s="9"/>
      <c r="E1298" s="8"/>
      <c r="F1298" s="8"/>
      <c r="G1298" s="8"/>
      <c r="H1298" s="8"/>
      <c r="I1298" s="10"/>
      <c r="J1298" s="8"/>
    </row>
    <row r="1299" spans="1:10" x14ac:dyDescent="0.15">
      <c r="A1299" s="7"/>
      <c r="B1299" s="8"/>
      <c r="C1299" s="8"/>
      <c r="D1299" s="9"/>
      <c r="E1299" s="8"/>
      <c r="F1299" s="8"/>
      <c r="G1299" s="8"/>
      <c r="H1299" s="8"/>
      <c r="I1299" s="10"/>
      <c r="J1299" s="8"/>
    </row>
    <row r="1300" spans="1:10" x14ac:dyDescent="0.15">
      <c r="A1300" s="7"/>
      <c r="B1300" s="8"/>
      <c r="C1300" s="8"/>
      <c r="D1300" s="9"/>
      <c r="E1300" s="8"/>
      <c r="F1300" s="8"/>
      <c r="G1300" s="8"/>
      <c r="H1300" s="8"/>
      <c r="I1300" s="10"/>
      <c r="J1300" s="8"/>
    </row>
    <row r="1301" spans="1:10" x14ac:dyDescent="0.15">
      <c r="A1301" s="7"/>
      <c r="B1301" s="8"/>
      <c r="C1301" s="8"/>
      <c r="D1301" s="9"/>
      <c r="E1301" s="8"/>
      <c r="F1301" s="8"/>
      <c r="G1301" s="8"/>
      <c r="H1301" s="8"/>
      <c r="I1301" s="10"/>
      <c r="J1301" s="8"/>
    </row>
    <row r="1302" spans="1:10" x14ac:dyDescent="0.15">
      <c r="A1302" s="7"/>
      <c r="B1302" s="8"/>
      <c r="C1302" s="8"/>
      <c r="D1302" s="9"/>
      <c r="E1302" s="8"/>
      <c r="F1302" s="8"/>
      <c r="G1302" s="8"/>
      <c r="H1302" s="8"/>
      <c r="I1302" s="10"/>
      <c r="J1302" s="8"/>
    </row>
    <row r="1303" spans="1:10" x14ac:dyDescent="0.15">
      <c r="A1303" s="7"/>
      <c r="B1303" s="8"/>
      <c r="C1303" s="8"/>
      <c r="D1303" s="9"/>
      <c r="E1303" s="8"/>
      <c r="F1303" s="8"/>
      <c r="G1303" s="8"/>
      <c r="H1303" s="8"/>
      <c r="I1303" s="10"/>
      <c r="J1303" s="8"/>
    </row>
    <row r="1304" spans="1:10" x14ac:dyDescent="0.15">
      <c r="A1304" s="7"/>
      <c r="B1304" s="8"/>
      <c r="C1304" s="8"/>
      <c r="D1304" s="9"/>
      <c r="E1304" s="8"/>
      <c r="F1304" s="8"/>
      <c r="G1304" s="8"/>
      <c r="H1304" s="8"/>
      <c r="I1304" s="10"/>
      <c r="J1304" s="8"/>
    </row>
    <row r="1305" spans="1:10" x14ac:dyDescent="0.15">
      <c r="A1305" s="7"/>
      <c r="B1305" s="8"/>
      <c r="C1305" s="8"/>
      <c r="D1305" s="9"/>
      <c r="E1305" s="8"/>
      <c r="F1305" s="8"/>
      <c r="G1305" s="8"/>
      <c r="H1305" s="8"/>
      <c r="I1305" s="10"/>
      <c r="J1305" s="8"/>
    </row>
    <row r="1306" spans="1:10" x14ac:dyDescent="0.15">
      <c r="A1306" s="7"/>
      <c r="B1306" s="8"/>
      <c r="C1306" s="8"/>
      <c r="D1306" s="9"/>
      <c r="E1306" s="8"/>
      <c r="F1306" s="8"/>
      <c r="G1306" s="8"/>
      <c r="H1306" s="8"/>
      <c r="I1306" s="10"/>
      <c r="J1306" s="8"/>
    </row>
    <row r="1307" spans="1:10" x14ac:dyDescent="0.15">
      <c r="A1307" s="7"/>
      <c r="B1307" s="8"/>
      <c r="C1307" s="8"/>
      <c r="D1307" s="9"/>
      <c r="E1307" s="8"/>
      <c r="F1307" s="8"/>
      <c r="G1307" s="8"/>
      <c r="H1307" s="8"/>
      <c r="I1307" s="10"/>
      <c r="J1307" s="8"/>
    </row>
    <row r="1308" spans="1:10" x14ac:dyDescent="0.15">
      <c r="A1308" s="7"/>
      <c r="B1308" s="8"/>
      <c r="C1308" s="8"/>
      <c r="D1308" s="9"/>
      <c r="E1308" s="8"/>
      <c r="F1308" s="8"/>
      <c r="G1308" s="8"/>
      <c r="H1308" s="8"/>
      <c r="I1308" s="10"/>
      <c r="J1308" s="8"/>
    </row>
    <row r="1309" spans="1:10" x14ac:dyDescent="0.15">
      <c r="A1309" s="7"/>
      <c r="B1309" s="8"/>
      <c r="C1309" s="8"/>
      <c r="D1309" s="9"/>
      <c r="E1309" s="8"/>
      <c r="F1309" s="8"/>
      <c r="G1309" s="8"/>
      <c r="H1309" s="8"/>
      <c r="I1309" s="10"/>
      <c r="J1309" s="8"/>
    </row>
    <row r="1310" spans="1:10" x14ac:dyDescent="0.15">
      <c r="A1310" s="7"/>
      <c r="B1310" s="8"/>
      <c r="C1310" s="8"/>
      <c r="D1310" s="9"/>
      <c r="E1310" s="8"/>
      <c r="F1310" s="8"/>
      <c r="G1310" s="8"/>
      <c r="H1310" s="8"/>
      <c r="I1310" s="10"/>
      <c r="J1310" s="8"/>
    </row>
    <row r="1311" spans="1:10" x14ac:dyDescent="0.15">
      <c r="A1311" s="7"/>
      <c r="B1311" s="8"/>
      <c r="C1311" s="8"/>
      <c r="D1311" s="9"/>
      <c r="E1311" s="8"/>
      <c r="F1311" s="8"/>
      <c r="G1311" s="8"/>
      <c r="H1311" s="8"/>
      <c r="I1311" s="10"/>
      <c r="J1311" s="8"/>
    </row>
    <row r="1312" spans="1:10" x14ac:dyDescent="0.15">
      <c r="A1312" s="7"/>
      <c r="B1312" s="8"/>
      <c r="C1312" s="8"/>
      <c r="D1312" s="9"/>
      <c r="E1312" s="8"/>
      <c r="F1312" s="8"/>
      <c r="G1312" s="8"/>
      <c r="H1312" s="8"/>
      <c r="I1312" s="10"/>
      <c r="J1312" s="8"/>
    </row>
    <row r="1313" spans="1:10" x14ac:dyDescent="0.15">
      <c r="A1313" s="7"/>
      <c r="B1313" s="8"/>
      <c r="C1313" s="8"/>
      <c r="D1313" s="9"/>
      <c r="E1313" s="8"/>
      <c r="F1313" s="8"/>
      <c r="G1313" s="8"/>
      <c r="H1313" s="8"/>
      <c r="I1313" s="10"/>
      <c r="J1313" s="8"/>
    </row>
    <row r="1314" spans="1:10" x14ac:dyDescent="0.15">
      <c r="A1314" s="7"/>
      <c r="B1314" s="8"/>
      <c r="C1314" s="8"/>
      <c r="D1314" s="9"/>
      <c r="E1314" s="8"/>
      <c r="F1314" s="8"/>
      <c r="G1314" s="8"/>
      <c r="H1314" s="8"/>
      <c r="I1314" s="10"/>
      <c r="J1314" s="8"/>
    </row>
    <row r="1315" spans="1:10" x14ac:dyDescent="0.15">
      <c r="A1315" s="7"/>
      <c r="B1315" s="8"/>
      <c r="C1315" s="8"/>
      <c r="D1315" s="9"/>
      <c r="E1315" s="8"/>
      <c r="F1315" s="8"/>
      <c r="G1315" s="8"/>
      <c r="H1315" s="8"/>
      <c r="I1315" s="10"/>
      <c r="J1315" s="8"/>
    </row>
    <row r="1316" spans="1:10" x14ac:dyDescent="0.15">
      <c r="A1316" s="7"/>
      <c r="B1316" s="8"/>
      <c r="C1316" s="8"/>
      <c r="D1316" s="9"/>
      <c r="E1316" s="8"/>
      <c r="F1316" s="8"/>
      <c r="G1316" s="8"/>
      <c r="H1316" s="8"/>
      <c r="I1316" s="10"/>
      <c r="J1316" s="8"/>
    </row>
    <row r="1317" spans="1:10" x14ac:dyDescent="0.15">
      <c r="A1317" s="7"/>
      <c r="B1317" s="8"/>
      <c r="C1317" s="8"/>
      <c r="D1317" s="9"/>
      <c r="E1317" s="8"/>
      <c r="F1317" s="8"/>
      <c r="G1317" s="8"/>
      <c r="H1317" s="8"/>
      <c r="I1317" s="10"/>
      <c r="J1317" s="8"/>
    </row>
    <row r="1318" spans="1:10" x14ac:dyDescent="0.15">
      <c r="A1318" s="7"/>
      <c r="B1318" s="8"/>
      <c r="C1318" s="8"/>
      <c r="D1318" s="9"/>
      <c r="E1318" s="8"/>
      <c r="F1318" s="8"/>
      <c r="G1318" s="8"/>
      <c r="H1318" s="8"/>
      <c r="I1318" s="10"/>
      <c r="J1318" s="8"/>
    </row>
    <row r="1319" spans="1:10" x14ac:dyDescent="0.15">
      <c r="A1319" s="7"/>
      <c r="B1319" s="8"/>
      <c r="C1319" s="8"/>
      <c r="D1319" s="9"/>
      <c r="E1319" s="8"/>
      <c r="F1319" s="8"/>
      <c r="G1319" s="8"/>
      <c r="H1319" s="8"/>
      <c r="I1319" s="10"/>
      <c r="J1319" s="8"/>
    </row>
    <row r="1320" spans="1:10" x14ac:dyDescent="0.15">
      <c r="A1320" s="7"/>
      <c r="B1320" s="8"/>
      <c r="C1320" s="8"/>
      <c r="D1320" s="9"/>
      <c r="E1320" s="8"/>
      <c r="F1320" s="8"/>
      <c r="G1320" s="8"/>
      <c r="H1320" s="8"/>
      <c r="I1320" s="10"/>
      <c r="J1320" s="8"/>
    </row>
    <row r="1321" spans="1:10" x14ac:dyDescent="0.15">
      <c r="A1321" s="7"/>
      <c r="B1321" s="8"/>
      <c r="C1321" s="8"/>
      <c r="D1321" s="9"/>
      <c r="E1321" s="8"/>
      <c r="F1321" s="8"/>
      <c r="G1321" s="8"/>
      <c r="H1321" s="8"/>
      <c r="I1321" s="10"/>
      <c r="J1321" s="8"/>
    </row>
    <row r="1322" spans="1:10" x14ac:dyDescent="0.15">
      <c r="A1322" s="7"/>
      <c r="B1322" s="8"/>
      <c r="C1322" s="8"/>
      <c r="D1322" s="9"/>
      <c r="E1322" s="8"/>
      <c r="F1322" s="8"/>
      <c r="G1322" s="8"/>
      <c r="H1322" s="8"/>
      <c r="I1322" s="10"/>
      <c r="J1322" s="8"/>
    </row>
    <row r="1323" spans="1:10" x14ac:dyDescent="0.15">
      <c r="A1323" s="7"/>
      <c r="B1323" s="8"/>
      <c r="C1323" s="8"/>
      <c r="D1323" s="9"/>
      <c r="E1323" s="8"/>
      <c r="F1323" s="8"/>
      <c r="G1323" s="8"/>
      <c r="H1323" s="8"/>
      <c r="I1323" s="10"/>
      <c r="J1323" s="8"/>
    </row>
    <row r="1324" spans="1:10" x14ac:dyDescent="0.15">
      <c r="A1324" s="7"/>
      <c r="B1324" s="8"/>
      <c r="C1324" s="8"/>
      <c r="D1324" s="9"/>
      <c r="E1324" s="8"/>
      <c r="F1324" s="8"/>
      <c r="G1324" s="8"/>
      <c r="H1324" s="8"/>
      <c r="I1324" s="10"/>
      <c r="J1324" s="8"/>
    </row>
    <row r="1325" spans="1:10" x14ac:dyDescent="0.15">
      <c r="A1325" s="7"/>
      <c r="B1325" s="8"/>
      <c r="C1325" s="8"/>
      <c r="D1325" s="9"/>
      <c r="E1325" s="8"/>
      <c r="F1325" s="8"/>
      <c r="G1325" s="8"/>
      <c r="H1325" s="8"/>
      <c r="I1325" s="10"/>
      <c r="J1325" s="8"/>
    </row>
    <row r="1326" spans="1:10" x14ac:dyDescent="0.15">
      <c r="A1326" s="7"/>
      <c r="B1326" s="8"/>
      <c r="C1326" s="8"/>
      <c r="D1326" s="9"/>
      <c r="E1326" s="8"/>
      <c r="F1326" s="8"/>
      <c r="G1326" s="8"/>
      <c r="H1326" s="8"/>
      <c r="I1326" s="10"/>
      <c r="J1326" s="8"/>
    </row>
    <row r="1327" spans="1:10" x14ac:dyDescent="0.15">
      <c r="A1327" s="7"/>
      <c r="B1327" s="8"/>
      <c r="C1327" s="8"/>
      <c r="D1327" s="9"/>
      <c r="E1327" s="8"/>
      <c r="F1327" s="8"/>
      <c r="G1327" s="8"/>
      <c r="H1327" s="8"/>
      <c r="I1327" s="10"/>
      <c r="J1327" s="8"/>
    </row>
    <row r="1328" spans="1:10" x14ac:dyDescent="0.15">
      <c r="A1328" s="7"/>
      <c r="B1328" s="8"/>
      <c r="C1328" s="8"/>
      <c r="D1328" s="9"/>
      <c r="E1328" s="8"/>
      <c r="F1328" s="8"/>
      <c r="G1328" s="8"/>
      <c r="H1328" s="8"/>
      <c r="I1328" s="10"/>
      <c r="J1328" s="8"/>
    </row>
    <row r="1329" spans="1:10" x14ac:dyDescent="0.15">
      <c r="A1329" s="7"/>
      <c r="B1329" s="8"/>
      <c r="C1329" s="8"/>
      <c r="D1329" s="9"/>
      <c r="E1329" s="8"/>
      <c r="F1329" s="8"/>
      <c r="G1329" s="8"/>
      <c r="H1329" s="8"/>
      <c r="I1329" s="10"/>
      <c r="J1329" s="8"/>
    </row>
    <row r="1330" spans="1:10" x14ac:dyDescent="0.15">
      <c r="A1330" s="7"/>
      <c r="B1330" s="8"/>
      <c r="C1330" s="8"/>
      <c r="D1330" s="9"/>
      <c r="E1330" s="8"/>
      <c r="F1330" s="8"/>
      <c r="G1330" s="8"/>
      <c r="H1330" s="8"/>
      <c r="I1330" s="10"/>
      <c r="J1330" s="8"/>
    </row>
    <row r="1331" spans="1:10" x14ac:dyDescent="0.15">
      <c r="A1331" s="7"/>
      <c r="B1331" s="8"/>
      <c r="C1331" s="8"/>
      <c r="D1331" s="9"/>
      <c r="E1331" s="8"/>
      <c r="F1331" s="8"/>
      <c r="G1331" s="8"/>
      <c r="H1331" s="8"/>
      <c r="I1331" s="10"/>
      <c r="J1331" s="8"/>
    </row>
    <row r="1332" spans="1:10" x14ac:dyDescent="0.15">
      <c r="A1332" s="7"/>
      <c r="B1332" s="8"/>
      <c r="C1332" s="8"/>
      <c r="D1332" s="9"/>
      <c r="E1332" s="8"/>
      <c r="F1332" s="8"/>
      <c r="G1332" s="8"/>
      <c r="H1332" s="8"/>
      <c r="I1332" s="10"/>
      <c r="J1332" s="8"/>
    </row>
    <row r="1333" spans="1:10" x14ac:dyDescent="0.15">
      <c r="A1333" s="7"/>
      <c r="B1333" s="8"/>
      <c r="C1333" s="8"/>
      <c r="D1333" s="9"/>
      <c r="E1333" s="8"/>
      <c r="F1333" s="8"/>
      <c r="G1333" s="8"/>
      <c r="H1333" s="8"/>
      <c r="I1333" s="10"/>
      <c r="J1333" s="8"/>
    </row>
    <row r="1334" spans="1:10" x14ac:dyDescent="0.15">
      <c r="A1334" s="7"/>
      <c r="B1334" s="8"/>
      <c r="C1334" s="8"/>
      <c r="D1334" s="9"/>
      <c r="E1334" s="8"/>
      <c r="F1334" s="8"/>
      <c r="G1334" s="8"/>
      <c r="H1334" s="8"/>
      <c r="I1334" s="10"/>
      <c r="J1334" s="8"/>
    </row>
    <row r="1335" spans="1:10" x14ac:dyDescent="0.15">
      <c r="A1335" s="7"/>
      <c r="B1335" s="8"/>
      <c r="C1335" s="8"/>
      <c r="D1335" s="9"/>
      <c r="E1335" s="8"/>
      <c r="F1335" s="8"/>
      <c r="G1335" s="8"/>
      <c r="H1335" s="8"/>
      <c r="I1335" s="10"/>
      <c r="J1335" s="8"/>
    </row>
    <row r="1336" spans="1:10" x14ac:dyDescent="0.15">
      <c r="A1336" s="7"/>
      <c r="B1336" s="8"/>
      <c r="C1336" s="8"/>
      <c r="D1336" s="9"/>
      <c r="E1336" s="8"/>
      <c r="F1336" s="8"/>
      <c r="G1336" s="8"/>
      <c r="H1336" s="8"/>
      <c r="I1336" s="10"/>
      <c r="J1336" s="8"/>
    </row>
    <row r="1337" spans="1:10" x14ac:dyDescent="0.15">
      <c r="A1337" s="7"/>
      <c r="B1337" s="8"/>
      <c r="C1337" s="8"/>
      <c r="D1337" s="9"/>
      <c r="E1337" s="8"/>
      <c r="F1337" s="8"/>
      <c r="G1337" s="8"/>
      <c r="H1337" s="8"/>
      <c r="I1337" s="10"/>
      <c r="J1337" s="8"/>
    </row>
    <row r="1338" spans="1:10" x14ac:dyDescent="0.15">
      <c r="A1338" s="7"/>
      <c r="B1338" s="8"/>
      <c r="C1338" s="8"/>
      <c r="D1338" s="9"/>
      <c r="E1338" s="8"/>
      <c r="F1338" s="8"/>
      <c r="G1338" s="8"/>
      <c r="H1338" s="8"/>
      <c r="I1338" s="10"/>
      <c r="J1338" s="8"/>
    </row>
    <row r="1339" spans="1:10" x14ac:dyDescent="0.15">
      <c r="A1339" s="7"/>
      <c r="B1339" s="8"/>
      <c r="C1339" s="8"/>
      <c r="D1339" s="9"/>
      <c r="E1339" s="8"/>
      <c r="F1339" s="8"/>
      <c r="G1339" s="8"/>
      <c r="H1339" s="8"/>
      <c r="I1339" s="10"/>
      <c r="J1339" s="8"/>
    </row>
    <row r="1340" spans="1:10" x14ac:dyDescent="0.15">
      <c r="A1340" s="7"/>
      <c r="B1340" s="8"/>
      <c r="C1340" s="8"/>
      <c r="D1340" s="9"/>
      <c r="E1340" s="8"/>
      <c r="F1340" s="8"/>
      <c r="G1340" s="8"/>
      <c r="H1340" s="8"/>
      <c r="I1340" s="10"/>
      <c r="J1340" s="8"/>
    </row>
    <row r="1341" spans="1:10" x14ac:dyDescent="0.15">
      <c r="A1341" s="7"/>
      <c r="B1341" s="8"/>
      <c r="C1341" s="8"/>
      <c r="D1341" s="9"/>
      <c r="E1341" s="8"/>
      <c r="F1341" s="8"/>
      <c r="G1341" s="8"/>
      <c r="H1341" s="8"/>
      <c r="I1341" s="10"/>
      <c r="J1341" s="8"/>
    </row>
    <row r="1342" spans="1:10" x14ac:dyDescent="0.15">
      <c r="A1342" s="7"/>
      <c r="B1342" s="8"/>
      <c r="C1342" s="8"/>
      <c r="D1342" s="9"/>
      <c r="E1342" s="8"/>
      <c r="F1342" s="8"/>
      <c r="G1342" s="8"/>
      <c r="H1342" s="8"/>
      <c r="I1342" s="10"/>
      <c r="J1342" s="8"/>
    </row>
    <row r="1343" spans="1:10" x14ac:dyDescent="0.15">
      <c r="A1343" s="7"/>
      <c r="B1343" s="8"/>
      <c r="C1343" s="8"/>
      <c r="D1343" s="9"/>
      <c r="E1343" s="8"/>
      <c r="F1343" s="8"/>
      <c r="G1343" s="8"/>
      <c r="H1343" s="8"/>
      <c r="I1343" s="10"/>
      <c r="J1343" s="8"/>
    </row>
    <row r="1344" spans="1:10" x14ac:dyDescent="0.15">
      <c r="A1344" s="7"/>
      <c r="B1344" s="8"/>
      <c r="C1344" s="8"/>
      <c r="D1344" s="9"/>
      <c r="E1344" s="8"/>
      <c r="F1344" s="8"/>
      <c r="G1344" s="8"/>
      <c r="H1344" s="8"/>
      <c r="I1344" s="10"/>
      <c r="J1344" s="8"/>
    </row>
    <row r="1345" spans="1:10" x14ac:dyDescent="0.15">
      <c r="A1345" s="7"/>
      <c r="B1345" s="8"/>
      <c r="C1345" s="8"/>
      <c r="D1345" s="9"/>
      <c r="E1345" s="8"/>
      <c r="F1345" s="8"/>
      <c r="G1345" s="8"/>
      <c r="H1345" s="8"/>
      <c r="I1345" s="10"/>
      <c r="J1345" s="8"/>
    </row>
    <row r="1346" spans="1:10" x14ac:dyDescent="0.15">
      <c r="A1346" s="7"/>
      <c r="B1346" s="8"/>
      <c r="C1346" s="8"/>
      <c r="D1346" s="9"/>
      <c r="E1346" s="8"/>
      <c r="F1346" s="8"/>
      <c r="G1346" s="8"/>
      <c r="H1346" s="8"/>
      <c r="I1346" s="10"/>
      <c r="J1346" s="8"/>
    </row>
    <row r="1347" spans="1:10" x14ac:dyDescent="0.15">
      <c r="A1347" s="7"/>
      <c r="B1347" s="8"/>
      <c r="C1347" s="8"/>
      <c r="D1347" s="9"/>
      <c r="E1347" s="8"/>
      <c r="F1347" s="8"/>
      <c r="G1347" s="8"/>
      <c r="H1347" s="8"/>
      <c r="I1347" s="10"/>
      <c r="J1347" s="8"/>
    </row>
    <row r="1348" spans="1:10" x14ac:dyDescent="0.15">
      <c r="A1348" s="7"/>
      <c r="B1348" s="8"/>
      <c r="C1348" s="8"/>
      <c r="D1348" s="9"/>
      <c r="E1348" s="8"/>
      <c r="F1348" s="8"/>
      <c r="G1348" s="8"/>
      <c r="H1348" s="8"/>
      <c r="I1348" s="10"/>
      <c r="J1348" s="8"/>
    </row>
    <row r="1349" spans="1:10" x14ac:dyDescent="0.15">
      <c r="A1349" s="7"/>
      <c r="B1349" s="8"/>
      <c r="C1349" s="8"/>
      <c r="D1349" s="9"/>
      <c r="E1349" s="8"/>
      <c r="F1349" s="8"/>
      <c r="G1349" s="8"/>
      <c r="H1349" s="8"/>
      <c r="I1349" s="10"/>
      <c r="J1349" s="8"/>
    </row>
    <row r="1350" spans="1:10" x14ac:dyDescent="0.15">
      <c r="A1350" s="7"/>
      <c r="B1350" s="8"/>
      <c r="C1350" s="8"/>
      <c r="D1350" s="9"/>
      <c r="E1350" s="8"/>
      <c r="F1350" s="8"/>
      <c r="G1350" s="8"/>
      <c r="H1350" s="8"/>
      <c r="I1350" s="10"/>
      <c r="J1350" s="8"/>
    </row>
    <row r="1351" spans="1:10" x14ac:dyDescent="0.15">
      <c r="A1351" s="7"/>
      <c r="B1351" s="8"/>
      <c r="C1351" s="8"/>
      <c r="D1351" s="9"/>
      <c r="E1351" s="8"/>
      <c r="F1351" s="8"/>
      <c r="G1351" s="8"/>
      <c r="H1351" s="8"/>
      <c r="I1351" s="10"/>
      <c r="J1351" s="8"/>
    </row>
    <row r="1352" spans="1:10" x14ac:dyDescent="0.15">
      <c r="A1352" s="7"/>
      <c r="B1352" s="8"/>
      <c r="C1352" s="8"/>
      <c r="D1352" s="9"/>
      <c r="E1352" s="8"/>
      <c r="F1352" s="8"/>
      <c r="G1352" s="8"/>
      <c r="H1352" s="8"/>
      <c r="I1352" s="10"/>
      <c r="J1352" s="8"/>
    </row>
    <row r="1353" spans="1:10" x14ac:dyDescent="0.15">
      <c r="A1353" s="7"/>
      <c r="B1353" s="8"/>
      <c r="C1353" s="8"/>
      <c r="D1353" s="9"/>
      <c r="E1353" s="8"/>
      <c r="F1353" s="8"/>
      <c r="G1353" s="8"/>
      <c r="H1353" s="8"/>
      <c r="I1353" s="10"/>
      <c r="J1353" s="8"/>
    </row>
    <row r="1354" spans="1:10" x14ac:dyDescent="0.15">
      <c r="A1354" s="7"/>
      <c r="B1354" s="8"/>
      <c r="C1354" s="8"/>
      <c r="D1354" s="9"/>
      <c r="E1354" s="8"/>
      <c r="F1354" s="8"/>
      <c r="G1354" s="8"/>
      <c r="H1354" s="8"/>
      <c r="I1354" s="10"/>
      <c r="J1354" s="8"/>
    </row>
    <row r="1355" spans="1:10" x14ac:dyDescent="0.15">
      <c r="A1355" s="7"/>
      <c r="B1355" s="8"/>
      <c r="C1355" s="8"/>
      <c r="D1355" s="9"/>
      <c r="E1355" s="8"/>
      <c r="F1355" s="8"/>
      <c r="G1355" s="8"/>
      <c r="H1355" s="8"/>
      <c r="I1355" s="10"/>
      <c r="J1355" s="8"/>
    </row>
    <row r="1356" spans="1:10" x14ac:dyDescent="0.15">
      <c r="A1356" s="7"/>
      <c r="B1356" s="8"/>
      <c r="C1356" s="8"/>
      <c r="D1356" s="9"/>
      <c r="E1356" s="8"/>
      <c r="F1356" s="8"/>
      <c r="G1356" s="8"/>
      <c r="H1356" s="8"/>
      <c r="I1356" s="10"/>
      <c r="J1356" s="8"/>
    </row>
    <row r="1357" spans="1:10" x14ac:dyDescent="0.15">
      <c r="A1357" s="7"/>
      <c r="B1357" s="8"/>
      <c r="C1357" s="8"/>
      <c r="D1357" s="9"/>
      <c r="E1357" s="8"/>
      <c r="F1357" s="8"/>
      <c r="G1357" s="8"/>
      <c r="H1357" s="8"/>
      <c r="I1357" s="10"/>
      <c r="J1357" s="8"/>
    </row>
    <row r="1358" spans="1:10" x14ac:dyDescent="0.15">
      <c r="A1358" s="7"/>
      <c r="B1358" s="8"/>
      <c r="C1358" s="8"/>
      <c r="D1358" s="9"/>
      <c r="E1358" s="8"/>
      <c r="F1358" s="8"/>
      <c r="G1358" s="8"/>
      <c r="H1358" s="8"/>
      <c r="I1358" s="10"/>
      <c r="J1358" s="8"/>
    </row>
    <row r="1359" spans="1:10" x14ac:dyDescent="0.15">
      <c r="A1359" s="7"/>
      <c r="B1359" s="8"/>
      <c r="C1359" s="8"/>
      <c r="D1359" s="9"/>
      <c r="E1359" s="8"/>
      <c r="F1359" s="8"/>
      <c r="G1359" s="8"/>
      <c r="H1359" s="8"/>
      <c r="I1359" s="10"/>
      <c r="J1359" s="8"/>
    </row>
    <row r="1360" spans="1:10" x14ac:dyDescent="0.15">
      <c r="A1360" s="7"/>
      <c r="B1360" s="8"/>
      <c r="C1360" s="8"/>
      <c r="D1360" s="9"/>
      <c r="E1360" s="8"/>
      <c r="F1360" s="8"/>
      <c r="G1360" s="8"/>
      <c r="H1360" s="8"/>
      <c r="I1360" s="10"/>
      <c r="J1360" s="8"/>
    </row>
    <row r="1361" spans="1:10" x14ac:dyDescent="0.15">
      <c r="A1361" s="7"/>
      <c r="B1361" s="8"/>
      <c r="C1361" s="8"/>
      <c r="D1361" s="9"/>
      <c r="E1361" s="8"/>
      <c r="F1361" s="8"/>
      <c r="G1361" s="8"/>
      <c r="H1361" s="8"/>
      <c r="I1361" s="10"/>
      <c r="J1361" s="8"/>
    </row>
    <row r="1362" spans="1:10" x14ac:dyDescent="0.15">
      <c r="A1362" s="7"/>
      <c r="B1362" s="8"/>
      <c r="C1362" s="8"/>
      <c r="D1362" s="9"/>
      <c r="E1362" s="8"/>
      <c r="F1362" s="8"/>
      <c r="G1362" s="8"/>
      <c r="H1362" s="8"/>
      <c r="I1362" s="10"/>
      <c r="J1362" s="8"/>
    </row>
    <row r="1363" spans="1:10" x14ac:dyDescent="0.15">
      <c r="A1363" s="7"/>
      <c r="B1363" s="8"/>
      <c r="C1363" s="8"/>
      <c r="D1363" s="9"/>
      <c r="E1363" s="8"/>
      <c r="F1363" s="8"/>
      <c r="G1363" s="8"/>
      <c r="H1363" s="8"/>
      <c r="I1363" s="10"/>
      <c r="J1363" s="8"/>
    </row>
    <row r="1364" spans="1:10" x14ac:dyDescent="0.15">
      <c r="A1364" s="7"/>
      <c r="B1364" s="8"/>
      <c r="C1364" s="8"/>
      <c r="D1364" s="9"/>
      <c r="E1364" s="8"/>
      <c r="F1364" s="8"/>
      <c r="G1364" s="8"/>
      <c r="H1364" s="8"/>
      <c r="I1364" s="10"/>
      <c r="J1364" s="8"/>
    </row>
    <row r="1365" spans="1:10" x14ac:dyDescent="0.15">
      <c r="A1365" s="7"/>
      <c r="B1365" s="8"/>
      <c r="C1365" s="8"/>
      <c r="D1365" s="9"/>
      <c r="E1365" s="8"/>
      <c r="F1365" s="8"/>
      <c r="G1365" s="8"/>
      <c r="H1365" s="8"/>
      <c r="I1365" s="10"/>
      <c r="J1365" s="8"/>
    </row>
    <row r="1366" spans="1:10" x14ac:dyDescent="0.15">
      <c r="A1366" s="7"/>
      <c r="B1366" s="8"/>
      <c r="C1366" s="8"/>
      <c r="D1366" s="9"/>
      <c r="E1366" s="8"/>
      <c r="F1366" s="8"/>
      <c r="G1366" s="8"/>
      <c r="H1366" s="8"/>
      <c r="I1366" s="10"/>
      <c r="J1366" s="8"/>
    </row>
    <row r="1367" spans="1:10" x14ac:dyDescent="0.15">
      <c r="A1367" s="7"/>
      <c r="B1367" s="8"/>
      <c r="C1367" s="8"/>
      <c r="D1367" s="9"/>
      <c r="E1367" s="8"/>
      <c r="F1367" s="8"/>
      <c r="G1367" s="8"/>
      <c r="H1367" s="8"/>
      <c r="I1367" s="10"/>
      <c r="J1367" s="8"/>
    </row>
    <row r="1368" spans="1:10" x14ac:dyDescent="0.15">
      <c r="A1368" s="7"/>
      <c r="B1368" s="8"/>
      <c r="C1368" s="8"/>
      <c r="D1368" s="9"/>
      <c r="E1368" s="8"/>
      <c r="F1368" s="8"/>
      <c r="G1368" s="8"/>
      <c r="H1368" s="8"/>
      <c r="I1368" s="10"/>
      <c r="J1368" s="8"/>
    </row>
    <row r="1369" spans="1:10" x14ac:dyDescent="0.15">
      <c r="A1369" s="7"/>
      <c r="B1369" s="8"/>
      <c r="C1369" s="8"/>
      <c r="D1369" s="9"/>
      <c r="E1369" s="8"/>
      <c r="F1369" s="8"/>
      <c r="G1369" s="8"/>
      <c r="H1369" s="8"/>
      <c r="I1369" s="10"/>
      <c r="J1369" s="8"/>
    </row>
    <row r="1370" spans="1:10" x14ac:dyDescent="0.15">
      <c r="A1370" s="7"/>
      <c r="B1370" s="8"/>
      <c r="C1370" s="8"/>
      <c r="D1370" s="9"/>
      <c r="E1370" s="8"/>
      <c r="F1370" s="8"/>
      <c r="G1370" s="8"/>
      <c r="H1370" s="8"/>
      <c r="I1370" s="10"/>
      <c r="J1370" s="8"/>
    </row>
    <row r="1371" spans="1:10" x14ac:dyDescent="0.15">
      <c r="A1371" s="7"/>
      <c r="B1371" s="8"/>
      <c r="C1371" s="8"/>
      <c r="D1371" s="9"/>
      <c r="E1371" s="8"/>
      <c r="F1371" s="8"/>
      <c r="G1371" s="8"/>
      <c r="H1371" s="8"/>
      <c r="I1371" s="10"/>
      <c r="J1371" s="8"/>
    </row>
    <row r="1372" spans="1:10" x14ac:dyDescent="0.15">
      <c r="A1372" s="7"/>
      <c r="B1372" s="8"/>
      <c r="C1372" s="8"/>
      <c r="D1372" s="9"/>
      <c r="E1372" s="8"/>
      <c r="F1372" s="8"/>
      <c r="G1372" s="8"/>
      <c r="H1372" s="8"/>
      <c r="I1372" s="10"/>
      <c r="J1372" s="8"/>
    </row>
    <row r="1373" spans="1:10" x14ac:dyDescent="0.15">
      <c r="A1373" s="7"/>
      <c r="B1373" s="8"/>
      <c r="C1373" s="8"/>
      <c r="D1373" s="9"/>
      <c r="E1373" s="8"/>
      <c r="F1373" s="8"/>
      <c r="G1373" s="8"/>
      <c r="H1373" s="8"/>
      <c r="I1373" s="10"/>
      <c r="J1373" s="8"/>
    </row>
    <row r="1374" spans="1:10" x14ac:dyDescent="0.15">
      <c r="A1374" s="7"/>
      <c r="B1374" s="8"/>
      <c r="C1374" s="8"/>
      <c r="D1374" s="9"/>
      <c r="E1374" s="8"/>
      <c r="F1374" s="8"/>
      <c r="G1374" s="8"/>
      <c r="H1374" s="8"/>
      <c r="I1374" s="10"/>
      <c r="J1374" s="8"/>
    </row>
    <row r="1375" spans="1:10" x14ac:dyDescent="0.15">
      <c r="A1375" s="7"/>
      <c r="B1375" s="8"/>
      <c r="C1375" s="8"/>
      <c r="D1375" s="9"/>
      <c r="E1375" s="8"/>
      <c r="F1375" s="8"/>
      <c r="G1375" s="8"/>
      <c r="H1375" s="8"/>
      <c r="I1375" s="10"/>
      <c r="J1375" s="8"/>
    </row>
    <row r="1376" spans="1:10" x14ac:dyDescent="0.15">
      <c r="A1376" s="7"/>
      <c r="B1376" s="8"/>
      <c r="C1376" s="8"/>
      <c r="D1376" s="9"/>
      <c r="E1376" s="8"/>
      <c r="F1376" s="8"/>
      <c r="G1376" s="8"/>
      <c r="H1376" s="8"/>
      <c r="I1376" s="10"/>
      <c r="J1376" s="8"/>
    </row>
    <row r="1377" spans="1:10" x14ac:dyDescent="0.15">
      <c r="A1377" s="7"/>
      <c r="B1377" s="8"/>
      <c r="C1377" s="8"/>
      <c r="D1377" s="9"/>
      <c r="E1377" s="8"/>
      <c r="F1377" s="8"/>
      <c r="G1377" s="8"/>
      <c r="H1377" s="8"/>
      <c r="I1377" s="10"/>
      <c r="J1377" s="8"/>
    </row>
    <row r="1378" spans="1:10" x14ac:dyDescent="0.15">
      <c r="A1378" s="7"/>
      <c r="B1378" s="8"/>
      <c r="C1378" s="8"/>
      <c r="D1378" s="9"/>
      <c r="E1378" s="8"/>
      <c r="F1378" s="8"/>
      <c r="G1378" s="8"/>
      <c r="H1378" s="8"/>
      <c r="I1378" s="10"/>
      <c r="J1378" s="8"/>
    </row>
    <row r="1379" spans="1:10" x14ac:dyDescent="0.15">
      <c r="A1379" s="7"/>
      <c r="B1379" s="8"/>
      <c r="C1379" s="8"/>
      <c r="D1379" s="9"/>
      <c r="E1379" s="8"/>
      <c r="F1379" s="8"/>
      <c r="G1379" s="8"/>
      <c r="H1379" s="8"/>
      <c r="I1379" s="10"/>
      <c r="J1379" s="8"/>
    </row>
    <row r="1380" spans="1:10" x14ac:dyDescent="0.15">
      <c r="A1380" s="7"/>
      <c r="B1380" s="8"/>
      <c r="C1380" s="8"/>
      <c r="D1380" s="9"/>
      <c r="E1380" s="8"/>
      <c r="F1380" s="8"/>
      <c r="G1380" s="8"/>
      <c r="H1380" s="8"/>
      <c r="I1380" s="10"/>
      <c r="J1380" s="8"/>
    </row>
    <row r="1381" spans="1:10" x14ac:dyDescent="0.15">
      <c r="A1381" s="7"/>
      <c r="B1381" s="8"/>
      <c r="C1381" s="8"/>
      <c r="D1381" s="9"/>
      <c r="E1381" s="8"/>
      <c r="F1381" s="8"/>
      <c r="G1381" s="8"/>
      <c r="H1381" s="8"/>
      <c r="I1381" s="10"/>
      <c r="J1381" s="8"/>
    </row>
    <row r="1382" spans="1:10" x14ac:dyDescent="0.15">
      <c r="A1382" s="7"/>
      <c r="B1382" s="8"/>
      <c r="C1382" s="8"/>
      <c r="D1382" s="9"/>
      <c r="E1382" s="8"/>
      <c r="F1382" s="8"/>
      <c r="G1382" s="8"/>
      <c r="H1382" s="8"/>
      <c r="I1382" s="10"/>
      <c r="J1382" s="8"/>
    </row>
    <row r="1383" spans="1:10" x14ac:dyDescent="0.15">
      <c r="A1383" s="7"/>
      <c r="B1383" s="8"/>
      <c r="C1383" s="8"/>
      <c r="D1383" s="9"/>
      <c r="E1383" s="8"/>
      <c r="F1383" s="8"/>
      <c r="G1383" s="8"/>
      <c r="H1383" s="8"/>
      <c r="I1383" s="10"/>
      <c r="J1383" s="8"/>
    </row>
    <row r="1384" spans="1:10" x14ac:dyDescent="0.15">
      <c r="A1384" s="7"/>
      <c r="B1384" s="8"/>
      <c r="C1384" s="8"/>
      <c r="D1384" s="9"/>
      <c r="E1384" s="8"/>
      <c r="F1384" s="8"/>
      <c r="G1384" s="8"/>
      <c r="H1384" s="8"/>
      <c r="I1384" s="10"/>
      <c r="J1384" s="8"/>
    </row>
    <row r="1385" spans="1:10" x14ac:dyDescent="0.15">
      <c r="A1385" s="7"/>
      <c r="B1385" s="8"/>
      <c r="C1385" s="8"/>
      <c r="D1385" s="9"/>
      <c r="E1385" s="8"/>
      <c r="F1385" s="8"/>
      <c r="G1385" s="8"/>
      <c r="H1385" s="8"/>
      <c r="I1385" s="10"/>
      <c r="J1385" s="8"/>
    </row>
    <row r="1386" spans="1:10" x14ac:dyDescent="0.15">
      <c r="A1386" s="7"/>
      <c r="B1386" s="8"/>
      <c r="C1386" s="8"/>
      <c r="D1386" s="9"/>
      <c r="E1386" s="8"/>
      <c r="F1386" s="8"/>
      <c r="G1386" s="8"/>
      <c r="H1386" s="8"/>
      <c r="I1386" s="10"/>
      <c r="J1386" s="8"/>
    </row>
    <row r="1387" spans="1:10" x14ac:dyDescent="0.15">
      <c r="A1387" s="7"/>
      <c r="B1387" s="8"/>
      <c r="C1387" s="8"/>
      <c r="D1387" s="9"/>
      <c r="E1387" s="8"/>
      <c r="F1387" s="8"/>
      <c r="G1387" s="8"/>
      <c r="H1387" s="8"/>
      <c r="I1387" s="10"/>
      <c r="J1387" s="8"/>
    </row>
    <row r="1388" spans="1:10" x14ac:dyDescent="0.15">
      <c r="A1388" s="7"/>
      <c r="B1388" s="8"/>
      <c r="C1388" s="8"/>
      <c r="D1388" s="9"/>
      <c r="E1388" s="8"/>
      <c r="F1388" s="8"/>
      <c r="G1388" s="8"/>
      <c r="H1388" s="8"/>
      <c r="I1388" s="10"/>
      <c r="J1388" s="8"/>
    </row>
    <row r="1389" spans="1:10" x14ac:dyDescent="0.15">
      <c r="A1389" s="7"/>
      <c r="B1389" s="8"/>
      <c r="C1389" s="8"/>
      <c r="D1389" s="9"/>
      <c r="E1389" s="8"/>
      <c r="F1389" s="8"/>
      <c r="G1389" s="8"/>
      <c r="H1389" s="8"/>
      <c r="I1389" s="10"/>
      <c r="J1389" s="8"/>
    </row>
    <row r="1390" spans="1:10" x14ac:dyDescent="0.15">
      <c r="A1390" s="7"/>
      <c r="B1390" s="8"/>
      <c r="C1390" s="8"/>
      <c r="D1390" s="9"/>
      <c r="E1390" s="8"/>
      <c r="F1390" s="8"/>
      <c r="G1390" s="8"/>
      <c r="H1390" s="8"/>
      <c r="I1390" s="10"/>
      <c r="J1390" s="8"/>
    </row>
    <row r="1391" spans="1:10" x14ac:dyDescent="0.15">
      <c r="A1391" s="7"/>
      <c r="B1391" s="8"/>
      <c r="C1391" s="8"/>
      <c r="D1391" s="9"/>
      <c r="E1391" s="8"/>
      <c r="F1391" s="8"/>
      <c r="G1391" s="8"/>
      <c r="H1391" s="8"/>
      <c r="I1391" s="10"/>
      <c r="J1391" s="8"/>
    </row>
    <row r="1392" spans="1:10" x14ac:dyDescent="0.15">
      <c r="A1392" s="7"/>
      <c r="B1392" s="8"/>
      <c r="C1392" s="8"/>
      <c r="D1392" s="9"/>
      <c r="E1392" s="8"/>
      <c r="F1392" s="8"/>
      <c r="G1392" s="8"/>
      <c r="H1392" s="8"/>
      <c r="I1392" s="10"/>
      <c r="J1392" s="8"/>
    </row>
    <row r="1393" spans="1:10" x14ac:dyDescent="0.15">
      <c r="A1393" s="7"/>
      <c r="B1393" s="8"/>
      <c r="C1393" s="8"/>
      <c r="D1393" s="9"/>
      <c r="E1393" s="8"/>
      <c r="F1393" s="8"/>
      <c r="G1393" s="8"/>
      <c r="H1393" s="8"/>
      <c r="I1393" s="10"/>
      <c r="J1393" s="8"/>
    </row>
    <row r="1394" spans="1:10" x14ac:dyDescent="0.15">
      <c r="A1394" s="7"/>
      <c r="B1394" s="8"/>
      <c r="C1394" s="8"/>
      <c r="D1394" s="9"/>
      <c r="E1394" s="8"/>
      <c r="F1394" s="8"/>
      <c r="G1394" s="8"/>
      <c r="H1394" s="8"/>
      <c r="I1394" s="10"/>
      <c r="J1394" s="8"/>
    </row>
    <row r="1395" spans="1:10" x14ac:dyDescent="0.15">
      <c r="A1395" s="7"/>
      <c r="B1395" s="8"/>
      <c r="C1395" s="8"/>
      <c r="D1395" s="9"/>
      <c r="E1395" s="8"/>
      <c r="F1395" s="8"/>
      <c r="G1395" s="8"/>
      <c r="H1395" s="8"/>
      <c r="I1395" s="10"/>
      <c r="J1395" s="8"/>
    </row>
    <row r="1396" spans="1:10" x14ac:dyDescent="0.15">
      <c r="A1396" s="7"/>
      <c r="B1396" s="8"/>
      <c r="C1396" s="8"/>
      <c r="D1396" s="9"/>
      <c r="E1396" s="8"/>
      <c r="F1396" s="8"/>
      <c r="G1396" s="8"/>
      <c r="H1396" s="8"/>
      <c r="I1396" s="10"/>
      <c r="J1396" s="8"/>
    </row>
    <row r="1397" spans="1:10" x14ac:dyDescent="0.15">
      <c r="A1397" s="7"/>
      <c r="B1397" s="8"/>
      <c r="C1397" s="8"/>
      <c r="D1397" s="9"/>
      <c r="E1397" s="8"/>
      <c r="F1397" s="8"/>
      <c r="G1397" s="8"/>
      <c r="H1397" s="8"/>
      <c r="I1397" s="10"/>
      <c r="J1397" s="8"/>
    </row>
    <row r="1398" spans="1:10" x14ac:dyDescent="0.15">
      <c r="A1398" s="7"/>
      <c r="B1398" s="8"/>
      <c r="C1398" s="8"/>
      <c r="D1398" s="9"/>
      <c r="E1398" s="8"/>
      <c r="F1398" s="8"/>
      <c r="G1398" s="8"/>
      <c r="H1398" s="8"/>
      <c r="I1398" s="10"/>
      <c r="J1398" s="8"/>
    </row>
    <row r="1399" spans="1:10" x14ac:dyDescent="0.15">
      <c r="A1399" s="7"/>
      <c r="B1399" s="8"/>
      <c r="C1399" s="8"/>
      <c r="D1399" s="9"/>
      <c r="E1399" s="8"/>
      <c r="F1399" s="8"/>
      <c r="G1399" s="8"/>
      <c r="H1399" s="8"/>
      <c r="I1399" s="10"/>
      <c r="J1399" s="8"/>
    </row>
    <row r="1400" spans="1:10" x14ac:dyDescent="0.15">
      <c r="A1400" s="7"/>
      <c r="B1400" s="8"/>
      <c r="C1400" s="8"/>
      <c r="D1400" s="9"/>
      <c r="E1400" s="8"/>
      <c r="F1400" s="8"/>
      <c r="G1400" s="8"/>
      <c r="H1400" s="8"/>
      <c r="I1400" s="10"/>
      <c r="J1400" s="8"/>
    </row>
    <row r="1401" spans="1:10" x14ac:dyDescent="0.15">
      <c r="A1401" s="7"/>
      <c r="B1401" s="8"/>
      <c r="C1401" s="8"/>
      <c r="D1401" s="9"/>
      <c r="E1401" s="8"/>
      <c r="F1401" s="8"/>
      <c r="G1401" s="8"/>
      <c r="H1401" s="8"/>
      <c r="I1401" s="10"/>
      <c r="J1401" s="8"/>
    </row>
    <row r="1402" spans="1:10" x14ac:dyDescent="0.15">
      <c r="A1402" s="7"/>
      <c r="B1402" s="8"/>
      <c r="C1402" s="8"/>
      <c r="D1402" s="9"/>
      <c r="E1402" s="8"/>
      <c r="F1402" s="8"/>
      <c r="G1402" s="8"/>
      <c r="H1402" s="8"/>
      <c r="I1402" s="10"/>
      <c r="J1402" s="8"/>
    </row>
    <row r="1403" spans="1:10" x14ac:dyDescent="0.15">
      <c r="A1403" s="7"/>
      <c r="B1403" s="8"/>
      <c r="C1403" s="8"/>
      <c r="D1403" s="9"/>
      <c r="E1403" s="8"/>
      <c r="F1403" s="8"/>
      <c r="G1403" s="8"/>
      <c r="H1403" s="8"/>
      <c r="I1403" s="10"/>
      <c r="J1403" s="8"/>
    </row>
    <row r="1404" spans="1:10" x14ac:dyDescent="0.15">
      <c r="A1404" s="7"/>
      <c r="B1404" s="8"/>
      <c r="C1404" s="8"/>
      <c r="D1404" s="9"/>
      <c r="E1404" s="8"/>
      <c r="F1404" s="8"/>
      <c r="G1404" s="8"/>
      <c r="H1404" s="8"/>
      <c r="I1404" s="10"/>
      <c r="J1404" s="8"/>
    </row>
    <row r="1405" spans="1:10" x14ac:dyDescent="0.15">
      <c r="A1405" s="7"/>
      <c r="B1405" s="8"/>
      <c r="C1405" s="8"/>
      <c r="D1405" s="9"/>
      <c r="E1405" s="8"/>
      <c r="F1405" s="8"/>
      <c r="G1405" s="8"/>
      <c r="H1405" s="8"/>
      <c r="I1405" s="10"/>
      <c r="J1405" s="8"/>
    </row>
    <row r="1406" spans="1:10" x14ac:dyDescent="0.15">
      <c r="A1406" s="7"/>
      <c r="B1406" s="8"/>
      <c r="C1406" s="8"/>
      <c r="D1406" s="9"/>
      <c r="E1406" s="8"/>
      <c r="F1406" s="8"/>
      <c r="G1406" s="8"/>
      <c r="H1406" s="8"/>
      <c r="I1406" s="10"/>
      <c r="J1406" s="8"/>
    </row>
    <row r="1407" spans="1:10" x14ac:dyDescent="0.15">
      <c r="A1407" s="7"/>
      <c r="B1407" s="8"/>
      <c r="C1407" s="8"/>
      <c r="D1407" s="9"/>
      <c r="E1407" s="8"/>
      <c r="F1407" s="8"/>
      <c r="G1407" s="8"/>
      <c r="H1407" s="8"/>
      <c r="I1407" s="10"/>
      <c r="J1407" s="8"/>
    </row>
    <row r="1408" spans="1:10" x14ac:dyDescent="0.15">
      <c r="A1408" s="7"/>
      <c r="B1408" s="8"/>
      <c r="C1408" s="8"/>
      <c r="D1408" s="9"/>
      <c r="E1408" s="8"/>
      <c r="F1408" s="8"/>
      <c r="G1408" s="8"/>
      <c r="H1408" s="8"/>
      <c r="I1408" s="10"/>
      <c r="J1408" s="8"/>
    </row>
    <row r="1409" spans="1:10" x14ac:dyDescent="0.15">
      <c r="A1409" s="7"/>
      <c r="B1409" s="8"/>
      <c r="C1409" s="8"/>
      <c r="D1409" s="9"/>
      <c r="E1409" s="8"/>
      <c r="F1409" s="8"/>
      <c r="G1409" s="8"/>
      <c r="H1409" s="8"/>
      <c r="I1409" s="10"/>
      <c r="J1409" s="8"/>
    </row>
    <row r="1410" spans="1:10" x14ac:dyDescent="0.15">
      <c r="A1410" s="7"/>
      <c r="B1410" s="8"/>
      <c r="C1410" s="8"/>
      <c r="D1410" s="9"/>
      <c r="E1410" s="8"/>
      <c r="F1410" s="8"/>
      <c r="G1410" s="8"/>
      <c r="H1410" s="8"/>
      <c r="I1410" s="10"/>
      <c r="J1410" s="8"/>
    </row>
    <row r="1411" spans="1:10" x14ac:dyDescent="0.15">
      <c r="A1411" s="7"/>
      <c r="B1411" s="8"/>
      <c r="C1411" s="8"/>
      <c r="D1411" s="9"/>
      <c r="E1411" s="8"/>
      <c r="F1411" s="8"/>
      <c r="G1411" s="8"/>
      <c r="H1411" s="8"/>
      <c r="I1411" s="10"/>
      <c r="J1411" s="8"/>
    </row>
    <row r="1412" spans="1:10" x14ac:dyDescent="0.15">
      <c r="A1412" s="7"/>
      <c r="B1412" s="8"/>
      <c r="C1412" s="8"/>
      <c r="D1412" s="9"/>
      <c r="E1412" s="8"/>
      <c r="F1412" s="8"/>
      <c r="G1412" s="8"/>
      <c r="H1412" s="8"/>
      <c r="I1412" s="10"/>
      <c r="J1412" s="8"/>
    </row>
    <row r="1413" spans="1:10" x14ac:dyDescent="0.15">
      <c r="A1413" s="7"/>
      <c r="B1413" s="8"/>
      <c r="C1413" s="8"/>
      <c r="D1413" s="9"/>
      <c r="E1413" s="8"/>
      <c r="F1413" s="8"/>
      <c r="G1413" s="8"/>
      <c r="H1413" s="8"/>
      <c r="I1413" s="10"/>
      <c r="J1413" s="8"/>
    </row>
    <row r="1414" spans="1:10" x14ac:dyDescent="0.15">
      <c r="A1414" s="7"/>
      <c r="B1414" s="8"/>
      <c r="C1414" s="8"/>
      <c r="D1414" s="9"/>
      <c r="E1414" s="8"/>
      <c r="F1414" s="8"/>
      <c r="G1414" s="8"/>
      <c r="H1414" s="8"/>
      <c r="I1414" s="10"/>
      <c r="J1414" s="8"/>
    </row>
    <row r="1415" spans="1:10" x14ac:dyDescent="0.15">
      <c r="A1415" s="7"/>
      <c r="B1415" s="8"/>
      <c r="C1415" s="8"/>
      <c r="D1415" s="9"/>
      <c r="E1415" s="8"/>
      <c r="F1415" s="8"/>
      <c r="G1415" s="8"/>
      <c r="H1415" s="8"/>
      <c r="I1415" s="10"/>
      <c r="J1415" s="8"/>
    </row>
    <row r="1416" spans="1:10" x14ac:dyDescent="0.15">
      <c r="A1416" s="7"/>
      <c r="B1416" s="8"/>
      <c r="C1416" s="8"/>
      <c r="D1416" s="9"/>
      <c r="E1416" s="8"/>
      <c r="F1416" s="8"/>
      <c r="G1416" s="8"/>
      <c r="H1416" s="8"/>
      <c r="I1416" s="10"/>
      <c r="J1416" s="8"/>
    </row>
    <row r="1417" spans="1:10" x14ac:dyDescent="0.15">
      <c r="A1417" s="7"/>
      <c r="B1417" s="8"/>
      <c r="C1417" s="8"/>
      <c r="D1417" s="9"/>
      <c r="E1417" s="8"/>
      <c r="F1417" s="8"/>
      <c r="G1417" s="8"/>
      <c r="H1417" s="8"/>
      <c r="I1417" s="10"/>
      <c r="J1417" s="8"/>
    </row>
    <row r="1418" spans="1:10" x14ac:dyDescent="0.15">
      <c r="A1418" s="7"/>
      <c r="B1418" s="8"/>
      <c r="C1418" s="8"/>
      <c r="D1418" s="9"/>
      <c r="E1418" s="8"/>
      <c r="F1418" s="8"/>
      <c r="G1418" s="8"/>
      <c r="H1418" s="8"/>
      <c r="I1418" s="10"/>
      <c r="J1418" s="8"/>
    </row>
    <row r="1419" spans="1:10" x14ac:dyDescent="0.15">
      <c r="A1419" s="7"/>
      <c r="B1419" s="8"/>
      <c r="C1419" s="8"/>
      <c r="D1419" s="9"/>
      <c r="E1419" s="8"/>
      <c r="F1419" s="8"/>
      <c r="G1419" s="8"/>
      <c r="H1419" s="8"/>
      <c r="I1419" s="10"/>
      <c r="J1419" s="8"/>
    </row>
    <row r="1420" spans="1:10" x14ac:dyDescent="0.15">
      <c r="A1420" s="7"/>
      <c r="B1420" s="8"/>
      <c r="C1420" s="8"/>
      <c r="D1420" s="9"/>
      <c r="E1420" s="8"/>
      <c r="F1420" s="8"/>
      <c r="G1420" s="8"/>
      <c r="H1420" s="8"/>
      <c r="I1420" s="10"/>
      <c r="J1420" s="8"/>
    </row>
    <row r="1421" spans="1:10" x14ac:dyDescent="0.15">
      <c r="A1421" s="7"/>
      <c r="B1421" s="8"/>
      <c r="C1421" s="8"/>
      <c r="D1421" s="9"/>
      <c r="E1421" s="8"/>
      <c r="F1421" s="8"/>
      <c r="G1421" s="8"/>
      <c r="H1421" s="8"/>
      <c r="I1421" s="10"/>
      <c r="J1421" s="8"/>
    </row>
    <row r="1422" spans="1:10" x14ac:dyDescent="0.15">
      <c r="A1422" s="7"/>
      <c r="B1422" s="8"/>
      <c r="C1422" s="8"/>
      <c r="D1422" s="9"/>
      <c r="E1422" s="8"/>
      <c r="F1422" s="8"/>
      <c r="G1422" s="8"/>
      <c r="H1422" s="8"/>
      <c r="I1422" s="10"/>
      <c r="J1422" s="8"/>
    </row>
    <row r="1423" spans="1:10" x14ac:dyDescent="0.15">
      <c r="A1423" s="7"/>
      <c r="B1423" s="8"/>
      <c r="C1423" s="8"/>
      <c r="D1423" s="9"/>
      <c r="E1423" s="8"/>
      <c r="F1423" s="8"/>
      <c r="G1423" s="8"/>
      <c r="H1423" s="8"/>
      <c r="I1423" s="10"/>
      <c r="J1423" s="8"/>
    </row>
    <row r="1424" spans="1:10" x14ac:dyDescent="0.15">
      <c r="A1424" s="7"/>
      <c r="B1424" s="8"/>
      <c r="C1424" s="8"/>
      <c r="D1424" s="9"/>
      <c r="E1424" s="8"/>
      <c r="F1424" s="8"/>
      <c r="G1424" s="8"/>
      <c r="H1424" s="8"/>
      <c r="I1424" s="10"/>
      <c r="J1424" s="8"/>
    </row>
    <row r="1425" spans="1:10" x14ac:dyDescent="0.15">
      <c r="A1425" s="7"/>
      <c r="B1425" s="8"/>
      <c r="C1425" s="8"/>
      <c r="D1425" s="9"/>
      <c r="E1425" s="8"/>
      <c r="F1425" s="8"/>
      <c r="G1425" s="8"/>
      <c r="H1425" s="8"/>
      <c r="I1425" s="10"/>
      <c r="J1425" s="8"/>
    </row>
    <row r="1426" spans="1:10" x14ac:dyDescent="0.15">
      <c r="A1426" s="7"/>
      <c r="B1426" s="8"/>
      <c r="C1426" s="8"/>
      <c r="D1426" s="9"/>
      <c r="E1426" s="8"/>
      <c r="F1426" s="8"/>
      <c r="G1426" s="8"/>
      <c r="H1426" s="8"/>
      <c r="I1426" s="10"/>
      <c r="J1426" s="8"/>
    </row>
    <row r="1427" spans="1:10" x14ac:dyDescent="0.15">
      <c r="A1427" s="7"/>
      <c r="B1427" s="8"/>
      <c r="C1427" s="8"/>
      <c r="D1427" s="9"/>
      <c r="E1427" s="8"/>
      <c r="F1427" s="8"/>
      <c r="G1427" s="8"/>
      <c r="H1427" s="8"/>
      <c r="I1427" s="10"/>
      <c r="J1427" s="8"/>
    </row>
    <row r="1428" spans="1:10" x14ac:dyDescent="0.15">
      <c r="A1428" s="7"/>
      <c r="B1428" s="8"/>
      <c r="C1428" s="8"/>
      <c r="D1428" s="9"/>
      <c r="E1428" s="8"/>
      <c r="F1428" s="8"/>
      <c r="G1428" s="8"/>
      <c r="H1428" s="8"/>
      <c r="I1428" s="10"/>
      <c r="J1428" s="8"/>
    </row>
    <row r="1429" spans="1:10" x14ac:dyDescent="0.15">
      <c r="A1429" s="7"/>
      <c r="B1429" s="8"/>
      <c r="C1429" s="8"/>
      <c r="D1429" s="9"/>
      <c r="E1429" s="8"/>
      <c r="F1429" s="8"/>
      <c r="G1429" s="8"/>
      <c r="H1429" s="8"/>
      <c r="I1429" s="10"/>
      <c r="J1429" s="8"/>
    </row>
    <row r="1430" spans="1:10" x14ac:dyDescent="0.15">
      <c r="A1430" s="7"/>
      <c r="B1430" s="8"/>
      <c r="C1430" s="8"/>
      <c r="D1430" s="9"/>
      <c r="E1430" s="8"/>
      <c r="F1430" s="8"/>
      <c r="G1430" s="8"/>
      <c r="H1430" s="8"/>
      <c r="I1430" s="10"/>
      <c r="J1430" s="8"/>
    </row>
    <row r="1431" spans="1:10" x14ac:dyDescent="0.15">
      <c r="A1431" s="7"/>
      <c r="B1431" s="8"/>
      <c r="C1431" s="8"/>
      <c r="D1431" s="9"/>
      <c r="E1431" s="8"/>
      <c r="F1431" s="8"/>
      <c r="G1431" s="8"/>
      <c r="H1431" s="8"/>
      <c r="I1431" s="10"/>
      <c r="J1431" s="8"/>
    </row>
    <row r="1432" spans="1:10" x14ac:dyDescent="0.15">
      <c r="A1432" s="7"/>
      <c r="B1432" s="8"/>
      <c r="C1432" s="8"/>
      <c r="D1432" s="9"/>
      <c r="E1432" s="8"/>
      <c r="F1432" s="8"/>
      <c r="G1432" s="8"/>
      <c r="H1432" s="8"/>
      <c r="I1432" s="10"/>
      <c r="J1432" s="8"/>
    </row>
    <row r="1433" spans="1:10" x14ac:dyDescent="0.15">
      <c r="A1433" s="7"/>
      <c r="B1433" s="8"/>
      <c r="C1433" s="8"/>
      <c r="D1433" s="9"/>
      <c r="E1433" s="8"/>
      <c r="F1433" s="8"/>
      <c r="G1433" s="8"/>
      <c r="H1433" s="8"/>
      <c r="I1433" s="10"/>
      <c r="J1433" s="8"/>
    </row>
    <row r="1434" spans="1:10" x14ac:dyDescent="0.15">
      <c r="A1434" s="7"/>
      <c r="B1434" s="8"/>
      <c r="C1434" s="8"/>
      <c r="D1434" s="9"/>
      <c r="E1434" s="8"/>
      <c r="F1434" s="8"/>
      <c r="G1434" s="8"/>
      <c r="H1434" s="8"/>
      <c r="I1434" s="10"/>
      <c r="J1434" s="8"/>
    </row>
    <row r="1435" spans="1:10" x14ac:dyDescent="0.15">
      <c r="A1435" s="7"/>
      <c r="B1435" s="8"/>
      <c r="C1435" s="8"/>
      <c r="D1435" s="9"/>
      <c r="E1435" s="8"/>
      <c r="F1435" s="8"/>
      <c r="G1435" s="8"/>
      <c r="H1435" s="8"/>
      <c r="I1435" s="10"/>
      <c r="J1435" s="8"/>
    </row>
    <row r="1436" spans="1:10" x14ac:dyDescent="0.15">
      <c r="A1436" s="7"/>
      <c r="B1436" s="8"/>
      <c r="C1436" s="8"/>
      <c r="D1436" s="9"/>
      <c r="E1436" s="8"/>
      <c r="F1436" s="8"/>
      <c r="G1436" s="8"/>
      <c r="H1436" s="8"/>
      <c r="I1436" s="10"/>
      <c r="J1436" s="8"/>
    </row>
    <row r="1437" spans="1:10" x14ac:dyDescent="0.15">
      <c r="A1437" s="7"/>
      <c r="B1437" s="8"/>
      <c r="C1437" s="8"/>
      <c r="D1437" s="9"/>
      <c r="E1437" s="8"/>
      <c r="F1437" s="8"/>
      <c r="G1437" s="8"/>
      <c r="H1437" s="8"/>
      <c r="I1437" s="10"/>
      <c r="J1437" s="8"/>
    </row>
    <row r="1438" spans="1:10" x14ac:dyDescent="0.15">
      <c r="A1438" s="7"/>
      <c r="B1438" s="8"/>
      <c r="C1438" s="8"/>
      <c r="D1438" s="9"/>
      <c r="E1438" s="8"/>
      <c r="F1438" s="8"/>
      <c r="G1438" s="8"/>
      <c r="H1438" s="8"/>
      <c r="I1438" s="10"/>
      <c r="J1438" s="8"/>
    </row>
    <row r="1439" spans="1:10" x14ac:dyDescent="0.15">
      <c r="A1439" s="7"/>
      <c r="B1439" s="8"/>
      <c r="C1439" s="8"/>
      <c r="D1439" s="9"/>
      <c r="E1439" s="8"/>
      <c r="F1439" s="8"/>
      <c r="G1439" s="8"/>
      <c r="H1439" s="8"/>
      <c r="I1439" s="10"/>
      <c r="J1439" s="8"/>
    </row>
    <row r="1440" spans="1:10" x14ac:dyDescent="0.15">
      <c r="A1440" s="7"/>
      <c r="B1440" s="8"/>
      <c r="C1440" s="8"/>
      <c r="D1440" s="9"/>
      <c r="E1440" s="8"/>
      <c r="F1440" s="8"/>
      <c r="G1440" s="8"/>
      <c r="H1440" s="8"/>
      <c r="I1440" s="10"/>
      <c r="J1440" s="8"/>
    </row>
    <row r="1441" spans="1:10" x14ac:dyDescent="0.15">
      <c r="A1441" s="7"/>
      <c r="B1441" s="8"/>
      <c r="C1441" s="8"/>
      <c r="D1441" s="9"/>
      <c r="E1441" s="8"/>
      <c r="F1441" s="8"/>
      <c r="G1441" s="8"/>
      <c r="H1441" s="8"/>
      <c r="I1441" s="10"/>
      <c r="J1441" s="8"/>
    </row>
    <row r="1442" spans="1:10" x14ac:dyDescent="0.15">
      <c r="A1442" s="7"/>
      <c r="B1442" s="8"/>
      <c r="C1442" s="8"/>
      <c r="D1442" s="9"/>
      <c r="E1442" s="8"/>
      <c r="F1442" s="8"/>
      <c r="G1442" s="8"/>
      <c r="H1442" s="8"/>
      <c r="I1442" s="10"/>
      <c r="J1442" s="8"/>
    </row>
    <row r="1443" spans="1:10" x14ac:dyDescent="0.15">
      <c r="A1443" s="7"/>
      <c r="B1443" s="8"/>
      <c r="C1443" s="8"/>
      <c r="D1443" s="9"/>
      <c r="E1443" s="8"/>
      <c r="F1443" s="8"/>
      <c r="G1443" s="8"/>
      <c r="H1443" s="8"/>
      <c r="I1443" s="10"/>
      <c r="J1443" s="8"/>
    </row>
    <row r="1444" spans="1:10" x14ac:dyDescent="0.15">
      <c r="A1444" s="7"/>
      <c r="B1444" s="8"/>
      <c r="C1444" s="8"/>
      <c r="D1444" s="9"/>
      <c r="E1444" s="8"/>
      <c r="F1444" s="8"/>
      <c r="G1444" s="8"/>
      <c r="H1444" s="8"/>
      <c r="I1444" s="10"/>
      <c r="J1444" s="8"/>
    </row>
    <row r="1445" spans="1:10" x14ac:dyDescent="0.15">
      <c r="A1445" s="7"/>
      <c r="B1445" s="8"/>
      <c r="C1445" s="8"/>
      <c r="D1445" s="9"/>
      <c r="E1445" s="8"/>
      <c r="F1445" s="8"/>
      <c r="G1445" s="8"/>
      <c r="H1445" s="8"/>
      <c r="I1445" s="10"/>
      <c r="J1445" s="8"/>
    </row>
    <row r="1446" spans="1:10" x14ac:dyDescent="0.15">
      <c r="A1446" s="7"/>
      <c r="B1446" s="8"/>
      <c r="C1446" s="8"/>
      <c r="D1446" s="9"/>
      <c r="E1446" s="8"/>
      <c r="F1446" s="8"/>
      <c r="G1446" s="8"/>
      <c r="H1446" s="8"/>
      <c r="I1446" s="10"/>
      <c r="J1446" s="8"/>
    </row>
    <row r="1447" spans="1:10" x14ac:dyDescent="0.15">
      <c r="A1447" s="7"/>
      <c r="B1447" s="8"/>
      <c r="C1447" s="8"/>
      <c r="D1447" s="9"/>
      <c r="E1447" s="8"/>
      <c r="F1447" s="8"/>
      <c r="G1447" s="8"/>
      <c r="H1447" s="8"/>
      <c r="I1447" s="10"/>
      <c r="J1447" s="8"/>
    </row>
    <row r="1448" spans="1:10" x14ac:dyDescent="0.15">
      <c r="A1448" s="7"/>
      <c r="B1448" s="8"/>
      <c r="C1448" s="8"/>
      <c r="D1448" s="9"/>
      <c r="E1448" s="8"/>
      <c r="F1448" s="8"/>
      <c r="G1448" s="8"/>
      <c r="H1448" s="8"/>
      <c r="I1448" s="10"/>
      <c r="J1448" s="8"/>
    </row>
    <row r="1449" spans="1:10" x14ac:dyDescent="0.15">
      <c r="A1449" s="7"/>
      <c r="B1449" s="8"/>
      <c r="C1449" s="8"/>
      <c r="D1449" s="9"/>
      <c r="E1449" s="8"/>
      <c r="F1449" s="8"/>
      <c r="G1449" s="8"/>
      <c r="H1449" s="8"/>
      <c r="I1449" s="10"/>
      <c r="J1449" s="8"/>
    </row>
    <row r="1450" spans="1:10" x14ac:dyDescent="0.15">
      <c r="A1450" s="7"/>
      <c r="B1450" s="8"/>
      <c r="C1450" s="8"/>
      <c r="D1450" s="9"/>
      <c r="E1450" s="8"/>
      <c r="F1450" s="8"/>
      <c r="G1450" s="8"/>
      <c r="H1450" s="8"/>
      <c r="I1450" s="10"/>
      <c r="J1450" s="8"/>
    </row>
    <row r="1451" spans="1:10" x14ac:dyDescent="0.15">
      <c r="A1451" s="7"/>
      <c r="B1451" s="8"/>
      <c r="C1451" s="8"/>
      <c r="D1451" s="9"/>
      <c r="E1451" s="8"/>
      <c r="F1451" s="8"/>
      <c r="G1451" s="8"/>
      <c r="H1451" s="8"/>
      <c r="I1451" s="10"/>
      <c r="J1451" s="8"/>
    </row>
    <row r="1452" spans="1:10" x14ac:dyDescent="0.15">
      <c r="A1452" s="7"/>
      <c r="B1452" s="8"/>
      <c r="C1452" s="8"/>
      <c r="D1452" s="9"/>
      <c r="E1452" s="8"/>
      <c r="F1452" s="8"/>
      <c r="G1452" s="8"/>
      <c r="H1452" s="8"/>
      <c r="I1452" s="10"/>
      <c r="J1452" s="8"/>
    </row>
    <row r="1453" spans="1:10" x14ac:dyDescent="0.15">
      <c r="A1453" s="7"/>
      <c r="B1453" s="8"/>
      <c r="C1453" s="8"/>
      <c r="D1453" s="9"/>
      <c r="E1453" s="8"/>
      <c r="F1453" s="8"/>
      <c r="G1453" s="8"/>
      <c r="H1453" s="8"/>
      <c r="I1453" s="10"/>
      <c r="J1453" s="8"/>
    </row>
    <row r="1454" spans="1:10" x14ac:dyDescent="0.15">
      <c r="A1454" s="7"/>
      <c r="B1454" s="8"/>
      <c r="C1454" s="8"/>
      <c r="D1454" s="9"/>
      <c r="E1454" s="8"/>
      <c r="F1454" s="8"/>
      <c r="G1454" s="8"/>
      <c r="H1454" s="8"/>
      <c r="I1454" s="10"/>
      <c r="J1454" s="8"/>
    </row>
    <row r="1455" spans="1:10" x14ac:dyDescent="0.15">
      <c r="A1455" s="7"/>
      <c r="B1455" s="8"/>
      <c r="C1455" s="8"/>
      <c r="D1455" s="9"/>
      <c r="E1455" s="8"/>
      <c r="F1455" s="8"/>
      <c r="G1455" s="8"/>
      <c r="H1455" s="8"/>
      <c r="I1455" s="10"/>
      <c r="J1455" s="8"/>
    </row>
    <row r="1456" spans="1:10" x14ac:dyDescent="0.15">
      <c r="A1456" s="7"/>
      <c r="B1456" s="8"/>
      <c r="C1456" s="8"/>
      <c r="D1456" s="9"/>
      <c r="E1456" s="8"/>
      <c r="F1456" s="8"/>
      <c r="G1456" s="8"/>
      <c r="H1456" s="8"/>
      <c r="I1456" s="10"/>
      <c r="J1456" s="8"/>
    </row>
    <row r="1457" spans="1:10" x14ac:dyDescent="0.15">
      <c r="A1457" s="7"/>
      <c r="B1457" s="8"/>
      <c r="C1457" s="8"/>
      <c r="D1457" s="9"/>
      <c r="E1457" s="8"/>
      <c r="F1457" s="8"/>
      <c r="G1457" s="8"/>
      <c r="H1457" s="8"/>
      <c r="I1457" s="10"/>
      <c r="J1457" s="8"/>
    </row>
    <row r="1458" spans="1:10" x14ac:dyDescent="0.15">
      <c r="A1458" s="7"/>
      <c r="B1458" s="8"/>
      <c r="C1458" s="8"/>
      <c r="D1458" s="9"/>
      <c r="E1458" s="8"/>
      <c r="F1458" s="8"/>
      <c r="G1458" s="8"/>
      <c r="H1458" s="8"/>
      <c r="I1458" s="10"/>
      <c r="J1458" s="8"/>
    </row>
    <row r="1459" spans="1:10" x14ac:dyDescent="0.15">
      <c r="A1459" s="7"/>
      <c r="B1459" s="8"/>
      <c r="C1459" s="8"/>
      <c r="D1459" s="9"/>
      <c r="E1459" s="8"/>
      <c r="F1459" s="8"/>
      <c r="G1459" s="8"/>
      <c r="H1459" s="8"/>
      <c r="I1459" s="10"/>
      <c r="J1459" s="8"/>
    </row>
    <row r="1460" spans="1:10" x14ac:dyDescent="0.15">
      <c r="A1460" s="7"/>
      <c r="B1460" s="8"/>
      <c r="C1460" s="8"/>
      <c r="D1460" s="9"/>
      <c r="E1460" s="8"/>
      <c r="F1460" s="8"/>
      <c r="G1460" s="8"/>
      <c r="H1460" s="8"/>
      <c r="I1460" s="10"/>
      <c r="J1460" s="8"/>
    </row>
    <row r="1461" spans="1:10" x14ac:dyDescent="0.15">
      <c r="A1461" s="7"/>
      <c r="B1461" s="8"/>
      <c r="C1461" s="8"/>
      <c r="D1461" s="9"/>
      <c r="E1461" s="8"/>
      <c r="F1461" s="8"/>
      <c r="G1461" s="8"/>
      <c r="H1461" s="8"/>
      <c r="I1461" s="10"/>
      <c r="J1461" s="8"/>
    </row>
    <row r="1462" spans="1:10" x14ac:dyDescent="0.15">
      <c r="A1462" s="7"/>
      <c r="B1462" s="8"/>
      <c r="C1462" s="8"/>
      <c r="D1462" s="9"/>
      <c r="E1462" s="8"/>
      <c r="F1462" s="8"/>
      <c r="G1462" s="8"/>
      <c r="H1462" s="8"/>
      <c r="I1462" s="10"/>
      <c r="J1462" s="8"/>
    </row>
    <row r="1463" spans="1:10" x14ac:dyDescent="0.15">
      <c r="A1463" s="7"/>
      <c r="B1463" s="8"/>
      <c r="C1463" s="8"/>
      <c r="D1463" s="9"/>
      <c r="E1463" s="8"/>
      <c r="F1463" s="8"/>
      <c r="G1463" s="8"/>
      <c r="H1463" s="8"/>
      <c r="I1463" s="10"/>
      <c r="J1463" s="8"/>
    </row>
    <row r="1464" spans="1:10" x14ac:dyDescent="0.15">
      <c r="A1464" s="7"/>
      <c r="B1464" s="8"/>
      <c r="C1464" s="8"/>
      <c r="D1464" s="9"/>
      <c r="E1464" s="8"/>
      <c r="F1464" s="8"/>
      <c r="G1464" s="8"/>
      <c r="H1464" s="8"/>
      <c r="I1464" s="10"/>
      <c r="J1464" s="8"/>
    </row>
    <row r="1465" spans="1:10" x14ac:dyDescent="0.15">
      <c r="A1465" s="7"/>
      <c r="B1465" s="8"/>
      <c r="C1465" s="8"/>
      <c r="D1465" s="9"/>
      <c r="E1465" s="8"/>
      <c r="F1465" s="8"/>
      <c r="G1465" s="8"/>
      <c r="H1465" s="8"/>
      <c r="I1465" s="10"/>
      <c r="J1465" s="8"/>
    </row>
    <row r="1466" spans="1:10" x14ac:dyDescent="0.15">
      <c r="A1466" s="7"/>
      <c r="B1466" s="8"/>
      <c r="C1466" s="8"/>
      <c r="D1466" s="9"/>
      <c r="E1466" s="8"/>
      <c r="F1466" s="8"/>
      <c r="G1466" s="8"/>
      <c r="H1466" s="8"/>
      <c r="I1466" s="10"/>
      <c r="J1466" s="8"/>
    </row>
    <row r="1467" spans="1:10" x14ac:dyDescent="0.15">
      <c r="A1467" s="7"/>
      <c r="B1467" s="8"/>
      <c r="C1467" s="8"/>
      <c r="D1467" s="9"/>
      <c r="E1467" s="8"/>
      <c r="F1467" s="8"/>
      <c r="G1467" s="8"/>
      <c r="H1467" s="8"/>
      <c r="I1467" s="10"/>
      <c r="J1467" s="8"/>
    </row>
    <row r="1468" spans="1:10" x14ac:dyDescent="0.15">
      <c r="A1468" s="7"/>
      <c r="B1468" s="8"/>
      <c r="C1468" s="8"/>
      <c r="D1468" s="9"/>
      <c r="E1468" s="8"/>
      <c r="F1468" s="8"/>
      <c r="G1468" s="8"/>
      <c r="H1468" s="8"/>
      <c r="I1468" s="10"/>
      <c r="J1468" s="8"/>
    </row>
    <row r="1469" spans="1:10" x14ac:dyDescent="0.15">
      <c r="A1469" s="7"/>
      <c r="B1469" s="8"/>
      <c r="C1469" s="8"/>
      <c r="D1469" s="9"/>
      <c r="E1469" s="8"/>
      <c r="F1469" s="8"/>
      <c r="G1469" s="8"/>
      <c r="H1469" s="8"/>
      <c r="I1469" s="10"/>
      <c r="J1469" s="8"/>
    </row>
    <row r="1470" spans="1:10" x14ac:dyDescent="0.15">
      <c r="A1470" s="7"/>
      <c r="B1470" s="8"/>
      <c r="C1470" s="8"/>
      <c r="D1470" s="9"/>
      <c r="E1470" s="8"/>
      <c r="F1470" s="8"/>
      <c r="G1470" s="8"/>
      <c r="H1470" s="8"/>
      <c r="I1470" s="10"/>
      <c r="J1470" s="8"/>
    </row>
    <row r="1471" spans="1:10" x14ac:dyDescent="0.15">
      <c r="A1471" s="7"/>
      <c r="B1471" s="8"/>
      <c r="C1471" s="8"/>
      <c r="D1471" s="9"/>
      <c r="E1471" s="8"/>
      <c r="F1471" s="8"/>
      <c r="G1471" s="8"/>
      <c r="H1471" s="8"/>
      <c r="I1471" s="10"/>
      <c r="J1471" s="8"/>
    </row>
    <row r="1472" spans="1:10" x14ac:dyDescent="0.15">
      <c r="A1472" s="7"/>
      <c r="B1472" s="8"/>
      <c r="C1472" s="8"/>
      <c r="D1472" s="9"/>
      <c r="E1472" s="8"/>
      <c r="F1472" s="8"/>
      <c r="G1472" s="8"/>
      <c r="H1472" s="8"/>
      <c r="I1472" s="10"/>
      <c r="J1472" s="8"/>
    </row>
    <row r="1473" spans="1:10" x14ac:dyDescent="0.15">
      <c r="A1473" s="7"/>
      <c r="B1473" s="8"/>
      <c r="C1473" s="8"/>
      <c r="D1473" s="9"/>
      <c r="E1473" s="8"/>
      <c r="F1473" s="8"/>
      <c r="G1473" s="8"/>
      <c r="H1473" s="8"/>
      <c r="I1473" s="10"/>
      <c r="J1473" s="8"/>
    </row>
    <row r="1474" spans="1:10" x14ac:dyDescent="0.15">
      <c r="A1474" s="7"/>
      <c r="B1474" s="8"/>
      <c r="C1474" s="8"/>
      <c r="D1474" s="9"/>
      <c r="E1474" s="8"/>
      <c r="F1474" s="8"/>
      <c r="G1474" s="8"/>
      <c r="H1474" s="8"/>
      <c r="I1474" s="10"/>
      <c r="J1474" s="8"/>
    </row>
    <row r="1475" spans="1:10" x14ac:dyDescent="0.15">
      <c r="A1475" s="7"/>
      <c r="B1475" s="8"/>
      <c r="C1475" s="8"/>
      <c r="D1475" s="9"/>
      <c r="E1475" s="8"/>
      <c r="F1475" s="8"/>
      <c r="G1475" s="8"/>
      <c r="H1475" s="8"/>
      <c r="I1475" s="10"/>
      <c r="J1475" s="8"/>
    </row>
    <row r="1476" spans="1:10" x14ac:dyDescent="0.15">
      <c r="A1476" s="7"/>
      <c r="B1476" s="8"/>
      <c r="C1476" s="8"/>
      <c r="D1476" s="9"/>
      <c r="E1476" s="8"/>
      <c r="F1476" s="8"/>
      <c r="G1476" s="8"/>
      <c r="H1476" s="8"/>
      <c r="I1476" s="10"/>
      <c r="J1476" s="8"/>
    </row>
    <row r="1477" spans="1:10" x14ac:dyDescent="0.15">
      <c r="A1477" s="7"/>
      <c r="B1477" s="8"/>
      <c r="C1477" s="8"/>
      <c r="D1477" s="9"/>
      <c r="E1477" s="8"/>
      <c r="F1477" s="8"/>
      <c r="G1477" s="8"/>
      <c r="H1477" s="8"/>
      <c r="I1477" s="10"/>
      <c r="J1477" s="8"/>
    </row>
    <row r="1478" spans="1:10" x14ac:dyDescent="0.15">
      <c r="A1478" s="7"/>
      <c r="B1478" s="8"/>
      <c r="C1478" s="8"/>
      <c r="D1478" s="9"/>
      <c r="E1478" s="8"/>
      <c r="F1478" s="8"/>
      <c r="G1478" s="8"/>
      <c r="H1478" s="8"/>
      <c r="I1478" s="10"/>
      <c r="J1478" s="8"/>
    </row>
    <row r="1479" spans="1:10" x14ac:dyDescent="0.15">
      <c r="A1479" s="7"/>
      <c r="B1479" s="8"/>
      <c r="C1479" s="8"/>
      <c r="D1479" s="9"/>
      <c r="E1479" s="8"/>
      <c r="F1479" s="8"/>
      <c r="G1479" s="8"/>
      <c r="H1479" s="8"/>
      <c r="I1479" s="10"/>
      <c r="J1479" s="8"/>
    </row>
    <row r="1480" spans="1:10" x14ac:dyDescent="0.15">
      <c r="A1480" s="7"/>
      <c r="B1480" s="8"/>
      <c r="C1480" s="8"/>
      <c r="D1480" s="9"/>
      <c r="E1480" s="8"/>
      <c r="F1480" s="8"/>
      <c r="G1480" s="8"/>
      <c r="H1480" s="8"/>
      <c r="I1480" s="10"/>
      <c r="J1480" s="8"/>
    </row>
    <row r="1481" spans="1:10" x14ac:dyDescent="0.15">
      <c r="A1481" s="7"/>
      <c r="B1481" s="8"/>
      <c r="C1481" s="8"/>
      <c r="D1481" s="9"/>
      <c r="E1481" s="8"/>
      <c r="F1481" s="8"/>
      <c r="G1481" s="8"/>
      <c r="H1481" s="8"/>
      <c r="I1481" s="10"/>
      <c r="J1481" s="8"/>
    </row>
    <row r="1482" spans="1:10" x14ac:dyDescent="0.15">
      <c r="A1482" s="7"/>
      <c r="B1482" s="8"/>
      <c r="C1482" s="8"/>
      <c r="D1482" s="9"/>
      <c r="E1482" s="8"/>
      <c r="F1482" s="8"/>
      <c r="G1482" s="8"/>
      <c r="H1482" s="8"/>
      <c r="I1482" s="10"/>
      <c r="J1482" s="8"/>
    </row>
    <row r="1483" spans="1:10" x14ac:dyDescent="0.15">
      <c r="A1483" s="7"/>
      <c r="B1483" s="8"/>
      <c r="C1483" s="8"/>
      <c r="D1483" s="9"/>
      <c r="E1483" s="8"/>
      <c r="F1483" s="8"/>
      <c r="G1483" s="8"/>
      <c r="H1483" s="8"/>
      <c r="I1483" s="10"/>
      <c r="J1483" s="8"/>
    </row>
    <row r="1484" spans="1:10" x14ac:dyDescent="0.15">
      <c r="A1484" s="7"/>
      <c r="B1484" s="8"/>
      <c r="C1484" s="8"/>
      <c r="D1484" s="9"/>
      <c r="E1484" s="8"/>
      <c r="F1484" s="8"/>
      <c r="G1484" s="8"/>
      <c r="H1484" s="8"/>
      <c r="I1484" s="10"/>
      <c r="J1484" s="8"/>
    </row>
    <row r="1485" spans="1:10" x14ac:dyDescent="0.15">
      <c r="A1485" s="7"/>
      <c r="B1485" s="8"/>
      <c r="C1485" s="8"/>
      <c r="D1485" s="9"/>
      <c r="E1485" s="8"/>
      <c r="F1485" s="8"/>
      <c r="G1485" s="8"/>
      <c r="H1485" s="8"/>
      <c r="I1485" s="10"/>
      <c r="J1485" s="8"/>
    </row>
    <row r="1486" spans="1:10" x14ac:dyDescent="0.15">
      <c r="A1486" s="7"/>
      <c r="B1486" s="8"/>
      <c r="C1486" s="8"/>
      <c r="D1486" s="9"/>
      <c r="E1486" s="8"/>
      <c r="F1486" s="8"/>
      <c r="G1486" s="8"/>
      <c r="H1486" s="8"/>
      <c r="I1486" s="10"/>
      <c r="J1486" s="8"/>
    </row>
    <row r="1487" spans="1:10" x14ac:dyDescent="0.15">
      <c r="A1487" s="7"/>
      <c r="B1487" s="8"/>
      <c r="C1487" s="8"/>
      <c r="D1487" s="9"/>
      <c r="E1487" s="8"/>
      <c r="F1487" s="8"/>
      <c r="G1487" s="8"/>
      <c r="H1487" s="8"/>
      <c r="I1487" s="10"/>
      <c r="J1487" s="8"/>
    </row>
    <row r="1488" spans="1:10" x14ac:dyDescent="0.15">
      <c r="A1488" s="7"/>
      <c r="B1488" s="8"/>
      <c r="C1488" s="8"/>
      <c r="D1488" s="9"/>
      <c r="E1488" s="8"/>
      <c r="F1488" s="8"/>
      <c r="G1488" s="8"/>
      <c r="H1488" s="8"/>
      <c r="I1488" s="10"/>
      <c r="J1488" s="8"/>
    </row>
    <row r="1489" spans="1:10" x14ac:dyDescent="0.15">
      <c r="A1489" s="7"/>
      <c r="B1489" s="8"/>
      <c r="C1489" s="8"/>
      <c r="D1489" s="9"/>
      <c r="E1489" s="8"/>
      <c r="F1489" s="8"/>
      <c r="G1489" s="8"/>
      <c r="H1489" s="8"/>
      <c r="I1489" s="10"/>
      <c r="J1489" s="8"/>
    </row>
    <row r="1490" spans="1:10" x14ac:dyDescent="0.15">
      <c r="A1490" s="7"/>
      <c r="B1490" s="8"/>
      <c r="C1490" s="8"/>
      <c r="D1490" s="9"/>
      <c r="E1490" s="8"/>
      <c r="F1490" s="8"/>
      <c r="G1490" s="8"/>
      <c r="H1490" s="8"/>
      <c r="I1490" s="10"/>
      <c r="J1490" s="8"/>
    </row>
    <row r="1491" spans="1:10" x14ac:dyDescent="0.15">
      <c r="A1491" s="7"/>
      <c r="B1491" s="8"/>
      <c r="C1491" s="8"/>
      <c r="D1491" s="9"/>
      <c r="E1491" s="8"/>
      <c r="F1491" s="8"/>
      <c r="G1491" s="8"/>
      <c r="H1491" s="8"/>
      <c r="I1491" s="10"/>
      <c r="J1491" s="8"/>
    </row>
    <row r="1492" spans="1:10" x14ac:dyDescent="0.15">
      <c r="A1492" s="7"/>
      <c r="B1492" s="8"/>
      <c r="C1492" s="8"/>
      <c r="D1492" s="9"/>
      <c r="E1492" s="8"/>
      <c r="F1492" s="8"/>
      <c r="G1492" s="8"/>
      <c r="H1492" s="8"/>
      <c r="I1492" s="10"/>
      <c r="J1492" s="8"/>
    </row>
    <row r="1493" spans="1:10" x14ac:dyDescent="0.15">
      <c r="A1493" s="7"/>
      <c r="B1493" s="8"/>
      <c r="C1493" s="8"/>
      <c r="D1493" s="9"/>
      <c r="E1493" s="8"/>
      <c r="F1493" s="8"/>
      <c r="G1493" s="8"/>
      <c r="H1493" s="8"/>
      <c r="I1493" s="10"/>
      <c r="J1493" s="8"/>
    </row>
    <row r="1494" spans="1:10" x14ac:dyDescent="0.15">
      <c r="A1494" s="7"/>
      <c r="B1494" s="8"/>
      <c r="C1494" s="8"/>
      <c r="D1494" s="9"/>
      <c r="E1494" s="8"/>
      <c r="F1494" s="8"/>
      <c r="G1494" s="8"/>
      <c r="H1494" s="8"/>
      <c r="I1494" s="10"/>
      <c r="J1494" s="8"/>
    </row>
    <row r="1495" spans="1:10" x14ac:dyDescent="0.15">
      <c r="A1495" s="7"/>
      <c r="B1495" s="8"/>
      <c r="C1495" s="8"/>
      <c r="D1495" s="9"/>
      <c r="E1495" s="8"/>
      <c r="F1495" s="8"/>
      <c r="G1495" s="8"/>
      <c r="H1495" s="8"/>
      <c r="I1495" s="10"/>
      <c r="J1495" s="8"/>
    </row>
    <row r="1496" spans="1:10" x14ac:dyDescent="0.15">
      <c r="A1496" s="7"/>
      <c r="B1496" s="8"/>
      <c r="C1496" s="8"/>
      <c r="D1496" s="9"/>
      <c r="E1496" s="8"/>
      <c r="F1496" s="8"/>
      <c r="G1496" s="8"/>
      <c r="H1496" s="8"/>
      <c r="I1496" s="10"/>
      <c r="J1496" s="8"/>
    </row>
    <row r="1497" spans="1:10" x14ac:dyDescent="0.15">
      <c r="A1497" s="7"/>
      <c r="B1497" s="8"/>
      <c r="C1497" s="8"/>
      <c r="D1497" s="9"/>
      <c r="E1497" s="8"/>
      <c r="F1497" s="8"/>
      <c r="G1497" s="8"/>
      <c r="H1497" s="8"/>
      <c r="I1497" s="10"/>
      <c r="J1497" s="8"/>
    </row>
    <row r="1498" spans="1:10" x14ac:dyDescent="0.15">
      <c r="A1498" s="7"/>
      <c r="B1498" s="8"/>
      <c r="C1498" s="8"/>
      <c r="D1498" s="9"/>
      <c r="E1498" s="8"/>
      <c r="F1498" s="8"/>
      <c r="G1498" s="8"/>
      <c r="H1498" s="8"/>
      <c r="I1498" s="10"/>
      <c r="J1498" s="8"/>
    </row>
    <row r="1499" spans="1:10" x14ac:dyDescent="0.15">
      <c r="A1499" s="7"/>
      <c r="B1499" s="8"/>
      <c r="C1499" s="8"/>
      <c r="D1499" s="9"/>
      <c r="E1499" s="8"/>
      <c r="F1499" s="8"/>
      <c r="G1499" s="8"/>
      <c r="H1499" s="8"/>
      <c r="I1499" s="10"/>
      <c r="J1499" s="8"/>
    </row>
    <row r="1500" spans="1:10" x14ac:dyDescent="0.15">
      <c r="A1500" s="7"/>
      <c r="B1500" s="8"/>
      <c r="C1500" s="8"/>
      <c r="D1500" s="9"/>
      <c r="E1500" s="8"/>
      <c r="F1500" s="8"/>
      <c r="G1500" s="8"/>
      <c r="H1500" s="8"/>
      <c r="I1500" s="10"/>
      <c r="J1500" s="8"/>
    </row>
    <row r="1501" spans="1:10" x14ac:dyDescent="0.15">
      <c r="A1501" s="7"/>
      <c r="B1501" s="8"/>
      <c r="C1501" s="8"/>
      <c r="D1501" s="9"/>
      <c r="E1501" s="8"/>
      <c r="F1501" s="8"/>
      <c r="G1501" s="8"/>
      <c r="H1501" s="8"/>
      <c r="I1501" s="10"/>
      <c r="J1501" s="8"/>
    </row>
    <row r="1502" spans="1:10" x14ac:dyDescent="0.15">
      <c r="A1502" s="7"/>
      <c r="B1502" s="8"/>
      <c r="C1502" s="8"/>
      <c r="D1502" s="9"/>
      <c r="E1502" s="8"/>
      <c r="F1502" s="8"/>
      <c r="G1502" s="8"/>
      <c r="H1502" s="8"/>
      <c r="I1502" s="10"/>
      <c r="J1502" s="8"/>
    </row>
    <row r="1503" spans="1:10" x14ac:dyDescent="0.15">
      <c r="A1503" s="7"/>
      <c r="B1503" s="8"/>
      <c r="C1503" s="8"/>
      <c r="D1503" s="9"/>
      <c r="E1503" s="8"/>
      <c r="F1503" s="8"/>
      <c r="G1503" s="8"/>
      <c r="H1503" s="8"/>
      <c r="I1503" s="10"/>
      <c r="J1503" s="8"/>
    </row>
    <row r="1504" spans="1:10" x14ac:dyDescent="0.15">
      <c r="A1504" s="7"/>
      <c r="B1504" s="8"/>
      <c r="C1504" s="8"/>
      <c r="D1504" s="9"/>
      <c r="E1504" s="8"/>
      <c r="F1504" s="8"/>
      <c r="G1504" s="8"/>
      <c r="H1504" s="8"/>
      <c r="I1504" s="10"/>
      <c r="J1504" s="8"/>
    </row>
    <row r="1505" spans="1:10" x14ac:dyDescent="0.15">
      <c r="A1505" s="7"/>
      <c r="B1505" s="8"/>
      <c r="C1505" s="8"/>
      <c r="D1505" s="9"/>
      <c r="E1505" s="8"/>
      <c r="F1505" s="8"/>
      <c r="G1505" s="8"/>
      <c r="H1505" s="8"/>
      <c r="I1505" s="10"/>
      <c r="J1505" s="8"/>
    </row>
    <row r="1506" spans="1:10" x14ac:dyDescent="0.15">
      <c r="A1506" s="7"/>
      <c r="B1506" s="8"/>
      <c r="C1506" s="8"/>
      <c r="D1506" s="9"/>
      <c r="E1506" s="8"/>
      <c r="F1506" s="8"/>
      <c r="G1506" s="8"/>
      <c r="H1506" s="8"/>
      <c r="I1506" s="10"/>
      <c r="J1506" s="8"/>
    </row>
    <row r="1507" spans="1:10" x14ac:dyDescent="0.15">
      <c r="A1507" s="7"/>
      <c r="B1507" s="8"/>
      <c r="C1507" s="8"/>
      <c r="D1507" s="9"/>
      <c r="E1507" s="8"/>
      <c r="F1507" s="8"/>
      <c r="G1507" s="8"/>
      <c r="H1507" s="8"/>
      <c r="I1507" s="10"/>
      <c r="J1507" s="8"/>
    </row>
    <row r="1508" spans="1:10" x14ac:dyDescent="0.15">
      <c r="A1508" s="7"/>
      <c r="B1508" s="8"/>
      <c r="C1508" s="8"/>
      <c r="D1508" s="9"/>
      <c r="E1508" s="8"/>
      <c r="F1508" s="8"/>
      <c r="G1508" s="8"/>
      <c r="H1508" s="8"/>
      <c r="I1508" s="10"/>
      <c r="J1508" s="8"/>
    </row>
    <row r="1509" spans="1:10" x14ac:dyDescent="0.15">
      <c r="A1509" s="7"/>
      <c r="B1509" s="8"/>
      <c r="C1509" s="8"/>
      <c r="D1509" s="9"/>
      <c r="E1509" s="8"/>
      <c r="F1509" s="8"/>
      <c r="G1509" s="8"/>
      <c r="H1509" s="8"/>
      <c r="I1509" s="10"/>
      <c r="J1509" s="8"/>
    </row>
    <row r="1510" spans="1:10" x14ac:dyDescent="0.15">
      <c r="A1510" s="7"/>
      <c r="B1510" s="8"/>
      <c r="C1510" s="8"/>
      <c r="D1510" s="9"/>
      <c r="E1510" s="8"/>
      <c r="F1510" s="8"/>
      <c r="G1510" s="8"/>
      <c r="H1510" s="8"/>
      <c r="I1510" s="10"/>
      <c r="J1510" s="8"/>
    </row>
    <row r="1511" spans="1:10" x14ac:dyDescent="0.15">
      <c r="A1511" s="7"/>
      <c r="B1511" s="8"/>
      <c r="C1511" s="8"/>
      <c r="D1511" s="9"/>
      <c r="E1511" s="8"/>
      <c r="F1511" s="8"/>
      <c r="G1511" s="8"/>
      <c r="H1511" s="8"/>
      <c r="I1511" s="10"/>
      <c r="J1511" s="8"/>
    </row>
    <row r="1512" spans="1:10" x14ac:dyDescent="0.15">
      <c r="A1512" s="7"/>
      <c r="B1512" s="8"/>
      <c r="C1512" s="8"/>
      <c r="D1512" s="9"/>
      <c r="E1512" s="8"/>
      <c r="F1512" s="8"/>
      <c r="G1512" s="8"/>
      <c r="H1512" s="8"/>
      <c r="I1512" s="10"/>
      <c r="J1512" s="8"/>
    </row>
    <row r="1513" spans="1:10" x14ac:dyDescent="0.15">
      <c r="A1513" s="7"/>
      <c r="B1513" s="8"/>
      <c r="C1513" s="8"/>
      <c r="D1513" s="9"/>
      <c r="E1513" s="8"/>
      <c r="F1513" s="8"/>
      <c r="G1513" s="8"/>
      <c r="H1513" s="8"/>
      <c r="I1513" s="10"/>
      <c r="J1513" s="8"/>
    </row>
    <row r="1514" spans="1:10" x14ac:dyDescent="0.15">
      <c r="A1514" s="7"/>
      <c r="B1514" s="8"/>
      <c r="C1514" s="8"/>
      <c r="D1514" s="9"/>
      <c r="E1514" s="8"/>
      <c r="F1514" s="8"/>
      <c r="G1514" s="8"/>
      <c r="H1514" s="8"/>
      <c r="I1514" s="10"/>
      <c r="J1514" s="8"/>
    </row>
    <row r="1515" spans="1:10" x14ac:dyDescent="0.15">
      <c r="A1515" s="7"/>
      <c r="B1515" s="8"/>
      <c r="C1515" s="8"/>
      <c r="D1515" s="9"/>
      <c r="E1515" s="8"/>
      <c r="F1515" s="8"/>
      <c r="G1515" s="8"/>
      <c r="H1515" s="8"/>
      <c r="I1515" s="10"/>
      <c r="J1515" s="8"/>
    </row>
    <row r="1516" spans="1:10" x14ac:dyDescent="0.15">
      <c r="A1516" s="7"/>
      <c r="B1516" s="8"/>
      <c r="C1516" s="8"/>
      <c r="D1516" s="9"/>
      <c r="E1516" s="8"/>
      <c r="F1516" s="8"/>
      <c r="G1516" s="8"/>
      <c r="H1516" s="8"/>
      <c r="I1516" s="10"/>
      <c r="J1516" s="8"/>
    </row>
    <row r="1517" spans="1:10" x14ac:dyDescent="0.15">
      <c r="A1517" s="7"/>
      <c r="B1517" s="8"/>
      <c r="C1517" s="8"/>
      <c r="D1517" s="9"/>
      <c r="E1517" s="8"/>
      <c r="F1517" s="8"/>
      <c r="G1517" s="8"/>
      <c r="H1517" s="8"/>
      <c r="I1517" s="10"/>
      <c r="J1517" s="8"/>
    </row>
    <row r="1518" spans="1:10" x14ac:dyDescent="0.15">
      <c r="A1518" s="7"/>
      <c r="B1518" s="8"/>
      <c r="C1518" s="8"/>
      <c r="D1518" s="9"/>
      <c r="E1518" s="8"/>
      <c r="F1518" s="8"/>
      <c r="G1518" s="8"/>
      <c r="H1518" s="8"/>
      <c r="I1518" s="10"/>
      <c r="J1518" s="8"/>
    </row>
    <row r="1519" spans="1:10" x14ac:dyDescent="0.15">
      <c r="A1519" s="7"/>
      <c r="B1519" s="8"/>
      <c r="C1519" s="8"/>
      <c r="D1519" s="9"/>
      <c r="E1519" s="8"/>
      <c r="F1519" s="8"/>
      <c r="G1519" s="8"/>
      <c r="H1519" s="8"/>
      <c r="I1519" s="10"/>
      <c r="J1519" s="8"/>
    </row>
    <row r="1520" spans="1:10" x14ac:dyDescent="0.15">
      <c r="A1520" s="7"/>
      <c r="B1520" s="8"/>
      <c r="C1520" s="8"/>
      <c r="D1520" s="9"/>
      <c r="E1520" s="8"/>
      <c r="F1520" s="8"/>
      <c r="G1520" s="8"/>
      <c r="H1520" s="8"/>
      <c r="I1520" s="10"/>
      <c r="J1520" s="8"/>
    </row>
    <row r="1521" spans="1:10" x14ac:dyDescent="0.15">
      <c r="A1521" s="7"/>
      <c r="B1521" s="8"/>
      <c r="C1521" s="8"/>
      <c r="D1521" s="9"/>
      <c r="E1521" s="8"/>
      <c r="F1521" s="8"/>
      <c r="G1521" s="8"/>
      <c r="H1521" s="8"/>
      <c r="I1521" s="10"/>
      <c r="J1521" s="8"/>
    </row>
    <row r="1522" spans="1:10" x14ac:dyDescent="0.15">
      <c r="A1522" s="7"/>
      <c r="B1522" s="8"/>
      <c r="C1522" s="8"/>
      <c r="D1522" s="9"/>
      <c r="E1522" s="8"/>
      <c r="F1522" s="8"/>
      <c r="G1522" s="8"/>
      <c r="H1522" s="8"/>
      <c r="I1522" s="10"/>
      <c r="J1522" s="8"/>
    </row>
    <row r="1523" spans="1:10" x14ac:dyDescent="0.15">
      <c r="A1523" s="7"/>
      <c r="B1523" s="8"/>
      <c r="C1523" s="8"/>
      <c r="D1523" s="9"/>
      <c r="E1523" s="8"/>
      <c r="F1523" s="8"/>
      <c r="G1523" s="8"/>
      <c r="H1523" s="8"/>
      <c r="I1523" s="10"/>
      <c r="J1523" s="8"/>
    </row>
    <row r="1524" spans="1:10" x14ac:dyDescent="0.15">
      <c r="A1524" s="7"/>
      <c r="B1524" s="8"/>
      <c r="C1524" s="8"/>
      <c r="D1524" s="9"/>
      <c r="E1524" s="8"/>
      <c r="F1524" s="8"/>
      <c r="G1524" s="8"/>
      <c r="H1524" s="8"/>
      <c r="I1524" s="10"/>
      <c r="J1524" s="8"/>
    </row>
    <row r="1525" spans="1:10" x14ac:dyDescent="0.15">
      <c r="A1525" s="7"/>
      <c r="B1525" s="8"/>
      <c r="C1525" s="8"/>
      <c r="D1525" s="9"/>
      <c r="E1525" s="8"/>
      <c r="F1525" s="8"/>
      <c r="G1525" s="8"/>
      <c r="H1525" s="8"/>
      <c r="I1525" s="10"/>
      <c r="J1525" s="8"/>
    </row>
    <row r="1526" spans="1:10" x14ac:dyDescent="0.15">
      <c r="A1526" s="7"/>
      <c r="B1526" s="8"/>
      <c r="C1526" s="8"/>
      <c r="D1526" s="9"/>
      <c r="E1526" s="8"/>
      <c r="F1526" s="8"/>
      <c r="G1526" s="8"/>
      <c r="H1526" s="8"/>
      <c r="I1526" s="10"/>
      <c r="J1526" s="8"/>
    </row>
    <row r="1527" spans="1:10" x14ac:dyDescent="0.15">
      <c r="A1527" s="7"/>
      <c r="B1527" s="8"/>
      <c r="C1527" s="8"/>
      <c r="D1527" s="9"/>
      <c r="E1527" s="8"/>
      <c r="F1527" s="8"/>
      <c r="G1527" s="8"/>
      <c r="H1527" s="8"/>
      <c r="I1527" s="10"/>
      <c r="J1527" s="8"/>
    </row>
    <row r="1528" spans="1:10" x14ac:dyDescent="0.15">
      <c r="A1528" s="7"/>
      <c r="B1528" s="8"/>
      <c r="C1528" s="8"/>
      <c r="D1528" s="9"/>
      <c r="E1528" s="8"/>
      <c r="F1528" s="8"/>
      <c r="G1528" s="8"/>
      <c r="H1528" s="8"/>
      <c r="I1528" s="10"/>
      <c r="J1528" s="8"/>
    </row>
    <row r="1529" spans="1:10" x14ac:dyDescent="0.15">
      <c r="A1529" s="7"/>
      <c r="B1529" s="8"/>
      <c r="C1529" s="8"/>
      <c r="D1529" s="9"/>
      <c r="E1529" s="8"/>
      <c r="F1529" s="8"/>
      <c r="G1529" s="8"/>
      <c r="H1529" s="8"/>
      <c r="I1529" s="10"/>
      <c r="J1529" s="8"/>
    </row>
    <row r="1530" spans="1:10" x14ac:dyDescent="0.15">
      <c r="A1530" s="7"/>
      <c r="B1530" s="8"/>
      <c r="C1530" s="8"/>
      <c r="D1530" s="9"/>
      <c r="E1530" s="8"/>
      <c r="F1530" s="8"/>
      <c r="G1530" s="8"/>
      <c r="H1530" s="8"/>
      <c r="I1530" s="10"/>
      <c r="J1530" s="8"/>
    </row>
    <row r="1531" spans="1:10" x14ac:dyDescent="0.15">
      <c r="A1531" s="7"/>
      <c r="B1531" s="8"/>
      <c r="C1531" s="8"/>
      <c r="D1531" s="9"/>
      <c r="E1531" s="8"/>
      <c r="F1531" s="8"/>
      <c r="G1531" s="8"/>
      <c r="H1531" s="8"/>
      <c r="I1531" s="10"/>
      <c r="J1531" s="8"/>
    </row>
    <row r="1532" spans="1:10" x14ac:dyDescent="0.15">
      <c r="A1532" s="7"/>
      <c r="B1532" s="8"/>
      <c r="C1532" s="8"/>
      <c r="D1532" s="9"/>
      <c r="E1532" s="8"/>
      <c r="F1532" s="8"/>
      <c r="G1532" s="8"/>
      <c r="H1532" s="8"/>
      <c r="I1532" s="10"/>
      <c r="J1532" s="8"/>
    </row>
    <row r="1533" spans="1:10" x14ac:dyDescent="0.15">
      <c r="A1533" s="7"/>
      <c r="B1533" s="8"/>
      <c r="C1533" s="8"/>
      <c r="D1533" s="9"/>
      <c r="E1533" s="8"/>
      <c r="F1533" s="8"/>
      <c r="G1533" s="8"/>
      <c r="H1533" s="8"/>
      <c r="I1533" s="10"/>
      <c r="J1533" s="8"/>
    </row>
    <row r="1534" spans="1:10" x14ac:dyDescent="0.15">
      <c r="A1534" s="7"/>
      <c r="B1534" s="8"/>
      <c r="C1534" s="8"/>
      <c r="D1534" s="9"/>
      <c r="E1534" s="8"/>
      <c r="F1534" s="8"/>
      <c r="G1534" s="8"/>
      <c r="H1534" s="8"/>
      <c r="I1534" s="10"/>
      <c r="J1534" s="8"/>
    </row>
    <row r="1535" spans="1:10" x14ac:dyDescent="0.15">
      <c r="A1535" s="7"/>
      <c r="B1535" s="8"/>
      <c r="C1535" s="8"/>
      <c r="D1535" s="9"/>
      <c r="E1535" s="8"/>
      <c r="F1535" s="8"/>
      <c r="G1535" s="8"/>
      <c r="H1535" s="8"/>
      <c r="I1535" s="10"/>
      <c r="J1535" s="8"/>
    </row>
    <row r="1536" spans="1:10" x14ac:dyDescent="0.15">
      <c r="A1536" s="7"/>
      <c r="B1536" s="8"/>
      <c r="C1536" s="8"/>
      <c r="D1536" s="9"/>
      <c r="E1536" s="8"/>
      <c r="F1536" s="8"/>
      <c r="G1536" s="8"/>
      <c r="H1536" s="8"/>
      <c r="I1536" s="10"/>
      <c r="J1536" s="8"/>
    </row>
    <row r="1537" spans="1:10" x14ac:dyDescent="0.15">
      <c r="A1537" s="7"/>
      <c r="B1537" s="8"/>
      <c r="C1537" s="8"/>
      <c r="D1537" s="9"/>
      <c r="E1537" s="8"/>
      <c r="F1537" s="8"/>
      <c r="G1537" s="8"/>
      <c r="H1537" s="8"/>
      <c r="I1537" s="10"/>
      <c r="J1537" s="8"/>
    </row>
    <row r="1538" spans="1:10" x14ac:dyDescent="0.15">
      <c r="A1538" s="7"/>
      <c r="B1538" s="8"/>
      <c r="C1538" s="8"/>
      <c r="D1538" s="9"/>
      <c r="E1538" s="8"/>
      <c r="F1538" s="8"/>
      <c r="G1538" s="8"/>
      <c r="H1538" s="8"/>
      <c r="I1538" s="10"/>
      <c r="J1538" s="8"/>
    </row>
    <row r="1539" spans="1:10" x14ac:dyDescent="0.15">
      <c r="A1539" s="7"/>
      <c r="B1539" s="8"/>
      <c r="C1539" s="8"/>
      <c r="D1539" s="9"/>
      <c r="E1539" s="8"/>
      <c r="F1539" s="8"/>
      <c r="G1539" s="8"/>
      <c r="H1539" s="8"/>
      <c r="I1539" s="10"/>
      <c r="J1539" s="8"/>
    </row>
    <row r="1540" spans="1:10" x14ac:dyDescent="0.15">
      <c r="A1540" s="7"/>
      <c r="B1540" s="8"/>
      <c r="C1540" s="8"/>
      <c r="D1540" s="9"/>
      <c r="E1540" s="8"/>
      <c r="F1540" s="8"/>
      <c r="G1540" s="8"/>
      <c r="H1540" s="8"/>
      <c r="I1540" s="10"/>
      <c r="J1540" s="8"/>
    </row>
    <row r="1541" spans="1:10" x14ac:dyDescent="0.15">
      <c r="A1541" s="7"/>
      <c r="B1541" s="8"/>
      <c r="C1541" s="8"/>
      <c r="D1541" s="9"/>
      <c r="E1541" s="8"/>
      <c r="F1541" s="8"/>
      <c r="G1541" s="8"/>
      <c r="H1541" s="8"/>
      <c r="I1541" s="10"/>
      <c r="J1541" s="8"/>
    </row>
    <row r="1542" spans="1:10" x14ac:dyDescent="0.15">
      <c r="A1542" s="7"/>
      <c r="B1542" s="8"/>
      <c r="C1542" s="8"/>
      <c r="D1542" s="9"/>
      <c r="E1542" s="8"/>
      <c r="F1542" s="8"/>
      <c r="G1542" s="8"/>
      <c r="H1542" s="8"/>
      <c r="I1542" s="10"/>
      <c r="J1542" s="8"/>
    </row>
    <row r="1543" spans="1:10" x14ac:dyDescent="0.15">
      <c r="A1543" s="7"/>
      <c r="B1543" s="8"/>
      <c r="C1543" s="8"/>
      <c r="D1543" s="9"/>
      <c r="E1543" s="8"/>
      <c r="F1543" s="8"/>
      <c r="G1543" s="8"/>
      <c r="H1543" s="8"/>
      <c r="I1543" s="10"/>
      <c r="J1543" s="8"/>
    </row>
    <row r="1544" spans="1:10" x14ac:dyDescent="0.15">
      <c r="A1544" s="7"/>
      <c r="B1544" s="8"/>
      <c r="C1544" s="8"/>
      <c r="D1544" s="9"/>
      <c r="E1544" s="8"/>
      <c r="F1544" s="8"/>
      <c r="G1544" s="8"/>
      <c r="H1544" s="8"/>
      <c r="I1544" s="10"/>
      <c r="J1544" s="8"/>
    </row>
    <row r="1545" spans="1:10" x14ac:dyDescent="0.15">
      <c r="A1545" s="7"/>
      <c r="B1545" s="8"/>
      <c r="C1545" s="8"/>
      <c r="D1545" s="9"/>
      <c r="E1545" s="8"/>
      <c r="F1545" s="8"/>
      <c r="G1545" s="8"/>
      <c r="H1545" s="8"/>
      <c r="I1545" s="10"/>
      <c r="J1545" s="8"/>
    </row>
    <row r="1546" spans="1:10" x14ac:dyDescent="0.15">
      <c r="A1546" s="7"/>
      <c r="B1546" s="8"/>
      <c r="C1546" s="8"/>
      <c r="D1546" s="9"/>
      <c r="E1546" s="8"/>
      <c r="F1546" s="8"/>
      <c r="G1546" s="8"/>
      <c r="H1546" s="8"/>
      <c r="I1546" s="10"/>
      <c r="J1546" s="8"/>
    </row>
    <row r="1547" spans="1:10" x14ac:dyDescent="0.15">
      <c r="A1547" s="7"/>
      <c r="B1547" s="8"/>
      <c r="C1547" s="8"/>
      <c r="D1547" s="9"/>
      <c r="E1547" s="8"/>
      <c r="F1547" s="8"/>
      <c r="G1547" s="8"/>
      <c r="H1547" s="8"/>
      <c r="I1547" s="10"/>
      <c r="J1547" s="8"/>
    </row>
    <row r="1548" spans="1:10" x14ac:dyDescent="0.15">
      <c r="A1548" s="7"/>
      <c r="B1548" s="8"/>
      <c r="C1548" s="8"/>
      <c r="D1548" s="9"/>
      <c r="E1548" s="8"/>
      <c r="F1548" s="8"/>
      <c r="G1548" s="8"/>
      <c r="H1548" s="8"/>
      <c r="I1548" s="10"/>
      <c r="J1548" s="8"/>
    </row>
    <row r="1549" spans="1:10" x14ac:dyDescent="0.15">
      <c r="A1549" s="7"/>
      <c r="B1549" s="8"/>
      <c r="C1549" s="8"/>
      <c r="D1549" s="9"/>
      <c r="E1549" s="8"/>
      <c r="F1549" s="8"/>
      <c r="G1549" s="8"/>
      <c r="H1549" s="8"/>
      <c r="I1549" s="10"/>
      <c r="J1549" s="8"/>
    </row>
    <row r="1550" spans="1:10" x14ac:dyDescent="0.15">
      <c r="A1550" s="7"/>
      <c r="B1550" s="8"/>
      <c r="C1550" s="8"/>
      <c r="D1550" s="9"/>
      <c r="E1550" s="8"/>
      <c r="F1550" s="8"/>
      <c r="G1550" s="8"/>
      <c r="H1550" s="8"/>
      <c r="I1550" s="10"/>
      <c r="J1550" s="8"/>
    </row>
    <row r="1551" spans="1:10" x14ac:dyDescent="0.15">
      <c r="A1551" s="7"/>
      <c r="B1551" s="8"/>
      <c r="C1551" s="8"/>
      <c r="D1551" s="9"/>
      <c r="E1551" s="8"/>
      <c r="F1551" s="8"/>
      <c r="G1551" s="8"/>
      <c r="H1551" s="8"/>
      <c r="I1551" s="10"/>
      <c r="J1551" s="8"/>
    </row>
    <row r="1552" spans="1:10" x14ac:dyDescent="0.15">
      <c r="A1552" s="7"/>
      <c r="B1552" s="8"/>
      <c r="C1552" s="8"/>
      <c r="D1552" s="9"/>
      <c r="E1552" s="8"/>
      <c r="F1552" s="8"/>
      <c r="G1552" s="8"/>
      <c r="H1552" s="8"/>
      <c r="I1552" s="10"/>
      <c r="J1552" s="8"/>
    </row>
    <row r="1553" spans="1:10" x14ac:dyDescent="0.15">
      <c r="A1553" s="7"/>
      <c r="B1553" s="8"/>
      <c r="C1553" s="8"/>
      <c r="D1553" s="9"/>
      <c r="E1553" s="8"/>
      <c r="F1553" s="8"/>
      <c r="G1553" s="8"/>
      <c r="H1553" s="8"/>
      <c r="I1553" s="10"/>
      <c r="J1553" s="8"/>
    </row>
    <row r="1554" spans="1:10" x14ac:dyDescent="0.15">
      <c r="A1554" s="7"/>
      <c r="B1554" s="8"/>
      <c r="C1554" s="8"/>
      <c r="D1554" s="9"/>
      <c r="E1554" s="8"/>
      <c r="F1554" s="8"/>
      <c r="G1554" s="8"/>
      <c r="H1554" s="8"/>
      <c r="I1554" s="10"/>
      <c r="J1554" s="8"/>
    </row>
    <row r="1555" spans="1:10" x14ac:dyDescent="0.15">
      <c r="A1555" s="7"/>
      <c r="B1555" s="8"/>
      <c r="C1555" s="8"/>
      <c r="D1555" s="9"/>
      <c r="E1555" s="8"/>
      <c r="F1555" s="8"/>
      <c r="G1555" s="8"/>
      <c r="H1555" s="8"/>
      <c r="I1555" s="10"/>
      <c r="J1555" s="8"/>
    </row>
    <row r="1556" spans="1:10" x14ac:dyDescent="0.15">
      <c r="A1556" s="7"/>
      <c r="B1556" s="8"/>
      <c r="C1556" s="8"/>
      <c r="D1556" s="9"/>
      <c r="E1556" s="8"/>
      <c r="F1556" s="8"/>
      <c r="G1556" s="8"/>
      <c r="H1556" s="8"/>
      <c r="I1556" s="10"/>
      <c r="J1556" s="8"/>
    </row>
    <row r="1557" spans="1:10" x14ac:dyDescent="0.15">
      <c r="A1557" s="7"/>
      <c r="B1557" s="8"/>
      <c r="C1557" s="8"/>
      <c r="D1557" s="9"/>
      <c r="E1557" s="8"/>
      <c r="F1557" s="8"/>
      <c r="G1557" s="8"/>
      <c r="H1557" s="8"/>
      <c r="I1557" s="10"/>
      <c r="J1557" s="8"/>
    </row>
    <row r="1558" spans="1:10" x14ac:dyDescent="0.15">
      <c r="A1558" s="7"/>
      <c r="B1558" s="8"/>
      <c r="C1558" s="8"/>
      <c r="D1558" s="9"/>
      <c r="E1558" s="8"/>
      <c r="F1558" s="8"/>
      <c r="G1558" s="8"/>
      <c r="H1558" s="8"/>
      <c r="I1558" s="10"/>
      <c r="J1558" s="8"/>
    </row>
    <row r="1559" spans="1:10" x14ac:dyDescent="0.15">
      <c r="A1559" s="7"/>
      <c r="B1559" s="8"/>
      <c r="C1559" s="8"/>
      <c r="D1559" s="9"/>
      <c r="E1559" s="8"/>
      <c r="F1559" s="8"/>
      <c r="G1559" s="8"/>
      <c r="H1559" s="8"/>
      <c r="I1559" s="10"/>
      <c r="J1559" s="8"/>
    </row>
    <row r="1560" spans="1:10" x14ac:dyDescent="0.15">
      <c r="A1560" s="7"/>
      <c r="B1560" s="8"/>
      <c r="C1560" s="8"/>
      <c r="D1560" s="9"/>
      <c r="E1560" s="8"/>
      <c r="F1560" s="8"/>
      <c r="G1560" s="8"/>
      <c r="H1560" s="8"/>
      <c r="I1560" s="10"/>
      <c r="J1560" s="8"/>
    </row>
    <row r="1561" spans="1:10" x14ac:dyDescent="0.15">
      <c r="A1561" s="7"/>
      <c r="B1561" s="8"/>
      <c r="C1561" s="8"/>
      <c r="D1561" s="9"/>
      <c r="E1561" s="8"/>
      <c r="F1561" s="8"/>
      <c r="G1561" s="8"/>
      <c r="H1561" s="8"/>
      <c r="I1561" s="10"/>
      <c r="J1561" s="8"/>
    </row>
    <row r="1562" spans="1:10" x14ac:dyDescent="0.15">
      <c r="A1562" s="7"/>
      <c r="B1562" s="8"/>
      <c r="C1562" s="8"/>
      <c r="D1562" s="9"/>
      <c r="E1562" s="8"/>
      <c r="F1562" s="8"/>
      <c r="G1562" s="8"/>
      <c r="H1562" s="8"/>
      <c r="I1562" s="10"/>
      <c r="J1562" s="8"/>
    </row>
    <row r="1563" spans="1:10" x14ac:dyDescent="0.15">
      <c r="A1563" s="7"/>
      <c r="B1563" s="8"/>
      <c r="C1563" s="8"/>
      <c r="D1563" s="9"/>
      <c r="E1563" s="8"/>
      <c r="F1563" s="8"/>
      <c r="G1563" s="8"/>
      <c r="H1563" s="8"/>
      <c r="I1563" s="10"/>
      <c r="J1563" s="8"/>
    </row>
    <row r="1564" spans="1:10" x14ac:dyDescent="0.15">
      <c r="A1564" s="7"/>
      <c r="B1564" s="8"/>
      <c r="C1564" s="8"/>
      <c r="D1564" s="9"/>
      <c r="E1564" s="8"/>
      <c r="F1564" s="8"/>
      <c r="G1564" s="8"/>
      <c r="H1564" s="8"/>
      <c r="I1564" s="10"/>
      <c r="J1564" s="8"/>
    </row>
    <row r="1565" spans="1:10" x14ac:dyDescent="0.15">
      <c r="A1565" s="7"/>
      <c r="B1565" s="8"/>
      <c r="C1565" s="8"/>
      <c r="D1565" s="9"/>
      <c r="E1565" s="8"/>
      <c r="F1565" s="8"/>
      <c r="G1565" s="8"/>
      <c r="H1565" s="8"/>
      <c r="I1565" s="10"/>
      <c r="J1565" s="8"/>
    </row>
    <row r="1566" spans="1:10" x14ac:dyDescent="0.15">
      <c r="A1566" s="7"/>
      <c r="B1566" s="8"/>
      <c r="C1566" s="8"/>
      <c r="D1566" s="9"/>
      <c r="E1566" s="8"/>
      <c r="F1566" s="8"/>
      <c r="G1566" s="8"/>
      <c r="H1566" s="8"/>
      <c r="I1566" s="10"/>
      <c r="J1566" s="8"/>
    </row>
    <row r="1567" spans="1:10" x14ac:dyDescent="0.15">
      <c r="A1567" s="7"/>
      <c r="B1567" s="8"/>
      <c r="C1567" s="8"/>
      <c r="D1567" s="9"/>
      <c r="E1567" s="8"/>
      <c r="F1567" s="8"/>
      <c r="G1567" s="8"/>
      <c r="H1567" s="8"/>
      <c r="I1567" s="10"/>
      <c r="J1567" s="8"/>
    </row>
    <row r="1568" spans="1:10" x14ac:dyDescent="0.15">
      <c r="A1568" s="7"/>
      <c r="B1568" s="8"/>
      <c r="C1568" s="8"/>
      <c r="D1568" s="9"/>
      <c r="E1568" s="8"/>
      <c r="F1568" s="8"/>
      <c r="G1568" s="8"/>
      <c r="H1568" s="8"/>
      <c r="I1568" s="10"/>
      <c r="J1568" s="8"/>
    </row>
    <row r="1569" spans="1:10" x14ac:dyDescent="0.15">
      <c r="A1569" s="7"/>
      <c r="B1569" s="8"/>
      <c r="C1569" s="8"/>
      <c r="D1569" s="9"/>
      <c r="E1569" s="8"/>
      <c r="F1569" s="8"/>
      <c r="G1569" s="8"/>
      <c r="H1569" s="8"/>
      <c r="I1569" s="10"/>
      <c r="J1569" s="8"/>
    </row>
    <row r="1570" spans="1:10" x14ac:dyDescent="0.15">
      <c r="A1570" s="7"/>
      <c r="B1570" s="8"/>
      <c r="C1570" s="8"/>
      <c r="D1570" s="9"/>
      <c r="E1570" s="8"/>
      <c r="F1570" s="8"/>
      <c r="G1570" s="8"/>
      <c r="H1570" s="8"/>
      <c r="I1570" s="10"/>
      <c r="J1570" s="8"/>
    </row>
    <row r="1571" spans="1:10" x14ac:dyDescent="0.15">
      <c r="A1571" s="7"/>
      <c r="B1571" s="8"/>
      <c r="C1571" s="8"/>
      <c r="D1571" s="9"/>
      <c r="E1571" s="8"/>
      <c r="F1571" s="8"/>
      <c r="G1571" s="8"/>
      <c r="H1571" s="8"/>
      <c r="I1571" s="10"/>
      <c r="J1571" s="8"/>
    </row>
    <row r="1572" spans="1:10" x14ac:dyDescent="0.15">
      <c r="A1572" s="7"/>
      <c r="B1572" s="8"/>
      <c r="C1572" s="8"/>
      <c r="D1572" s="9"/>
      <c r="E1572" s="8"/>
      <c r="F1572" s="8"/>
      <c r="G1572" s="8"/>
      <c r="H1572" s="8"/>
      <c r="I1572" s="10"/>
      <c r="J1572" s="8"/>
    </row>
    <row r="1573" spans="1:10" x14ac:dyDescent="0.15">
      <c r="A1573" s="7"/>
      <c r="B1573" s="8"/>
      <c r="C1573" s="8"/>
      <c r="D1573" s="9"/>
      <c r="E1573" s="8"/>
      <c r="F1573" s="8"/>
      <c r="G1573" s="8"/>
      <c r="H1573" s="8"/>
      <c r="I1573" s="10"/>
      <c r="J1573" s="8"/>
    </row>
    <row r="1574" spans="1:10" x14ac:dyDescent="0.15">
      <c r="A1574" s="7"/>
      <c r="B1574" s="8"/>
      <c r="C1574" s="8"/>
      <c r="D1574" s="9"/>
      <c r="E1574" s="8"/>
      <c r="F1574" s="8"/>
      <c r="G1574" s="8"/>
      <c r="H1574" s="8"/>
      <c r="I1574" s="10"/>
      <c r="J1574" s="8"/>
    </row>
    <row r="1575" spans="1:10" x14ac:dyDescent="0.15">
      <c r="A1575" s="7"/>
      <c r="B1575" s="8"/>
      <c r="C1575" s="8"/>
      <c r="D1575" s="9"/>
      <c r="E1575" s="8"/>
      <c r="F1575" s="8"/>
      <c r="G1575" s="8"/>
      <c r="H1575" s="8"/>
      <c r="I1575" s="10"/>
      <c r="J1575" s="8"/>
    </row>
    <row r="1576" spans="1:10" x14ac:dyDescent="0.15">
      <c r="A1576" s="7"/>
      <c r="B1576" s="8"/>
      <c r="C1576" s="8"/>
      <c r="D1576" s="9"/>
      <c r="E1576" s="8"/>
      <c r="F1576" s="8"/>
      <c r="G1576" s="8"/>
      <c r="H1576" s="8"/>
      <c r="I1576" s="10"/>
      <c r="J1576" s="8"/>
    </row>
    <row r="1577" spans="1:10" x14ac:dyDescent="0.15">
      <c r="A1577" s="7"/>
      <c r="B1577" s="8"/>
      <c r="C1577" s="8"/>
      <c r="D1577" s="9"/>
      <c r="E1577" s="8"/>
      <c r="F1577" s="8"/>
      <c r="G1577" s="8"/>
      <c r="H1577" s="8"/>
      <c r="I1577" s="10"/>
      <c r="J1577" s="8"/>
    </row>
    <row r="1578" spans="1:10" x14ac:dyDescent="0.15">
      <c r="A1578" s="7"/>
      <c r="B1578" s="8"/>
      <c r="C1578" s="8"/>
      <c r="D1578" s="9"/>
      <c r="E1578" s="8"/>
      <c r="F1578" s="8"/>
      <c r="G1578" s="8"/>
      <c r="H1578" s="8"/>
      <c r="I1578" s="10"/>
      <c r="J1578" s="8"/>
    </row>
    <row r="1579" spans="1:10" x14ac:dyDescent="0.15">
      <c r="A1579" s="7"/>
      <c r="B1579" s="8"/>
      <c r="C1579" s="8"/>
      <c r="D1579" s="9"/>
      <c r="E1579" s="8"/>
      <c r="F1579" s="8"/>
      <c r="G1579" s="8"/>
      <c r="H1579" s="8"/>
      <c r="I1579" s="10"/>
      <c r="J1579" s="8"/>
    </row>
    <row r="1580" spans="1:10" x14ac:dyDescent="0.15">
      <c r="A1580" s="7"/>
      <c r="B1580" s="8"/>
      <c r="C1580" s="8"/>
      <c r="D1580" s="9"/>
      <c r="E1580" s="8"/>
      <c r="F1580" s="8"/>
      <c r="G1580" s="8"/>
      <c r="H1580" s="8"/>
      <c r="I1580" s="10"/>
      <c r="J1580" s="8"/>
    </row>
    <row r="1581" spans="1:10" x14ac:dyDescent="0.15">
      <c r="A1581" s="7"/>
      <c r="B1581" s="8"/>
      <c r="C1581" s="8"/>
      <c r="D1581" s="9"/>
      <c r="E1581" s="8"/>
      <c r="F1581" s="8"/>
      <c r="G1581" s="8"/>
      <c r="H1581" s="8"/>
      <c r="I1581" s="10"/>
      <c r="J1581" s="8"/>
    </row>
    <row r="1582" spans="1:10" x14ac:dyDescent="0.15">
      <c r="A1582" s="7"/>
      <c r="B1582" s="8"/>
      <c r="C1582" s="8"/>
      <c r="D1582" s="9"/>
      <c r="E1582" s="8"/>
      <c r="F1582" s="8"/>
      <c r="G1582" s="8"/>
      <c r="H1582" s="8"/>
      <c r="I1582" s="10"/>
      <c r="J1582" s="8"/>
    </row>
    <row r="1583" spans="1:10" x14ac:dyDescent="0.15">
      <c r="A1583" s="7"/>
      <c r="B1583" s="8"/>
      <c r="C1583" s="8"/>
      <c r="D1583" s="9"/>
      <c r="E1583" s="8"/>
      <c r="F1583" s="8"/>
      <c r="G1583" s="8"/>
      <c r="H1583" s="8"/>
      <c r="I1583" s="10"/>
      <c r="J1583" s="8"/>
    </row>
    <row r="1584" spans="1:10" x14ac:dyDescent="0.15">
      <c r="A1584" s="7"/>
      <c r="B1584" s="8"/>
      <c r="C1584" s="8"/>
      <c r="D1584" s="9"/>
      <c r="E1584" s="8"/>
      <c r="F1584" s="8"/>
      <c r="G1584" s="8"/>
      <c r="H1584" s="8"/>
      <c r="I1584" s="10"/>
      <c r="J1584" s="8"/>
    </row>
    <row r="1585" spans="1:10" x14ac:dyDescent="0.15">
      <c r="A1585" s="7"/>
      <c r="B1585" s="8"/>
      <c r="C1585" s="8"/>
      <c r="D1585" s="9"/>
      <c r="E1585" s="8"/>
      <c r="F1585" s="8"/>
      <c r="G1585" s="8"/>
      <c r="H1585" s="8"/>
      <c r="I1585" s="10"/>
      <c r="J1585" s="8"/>
    </row>
    <row r="1586" spans="1:10" x14ac:dyDescent="0.15">
      <c r="A1586" s="7"/>
      <c r="B1586" s="8"/>
      <c r="C1586" s="8"/>
      <c r="D1586" s="9"/>
      <c r="E1586" s="8"/>
      <c r="F1586" s="8"/>
      <c r="G1586" s="8"/>
      <c r="H1586" s="8"/>
      <c r="I1586" s="10"/>
      <c r="J1586" s="8"/>
    </row>
    <row r="1587" spans="1:10" x14ac:dyDescent="0.15">
      <c r="A1587" s="7"/>
      <c r="B1587" s="8"/>
      <c r="C1587" s="8"/>
      <c r="D1587" s="9"/>
      <c r="E1587" s="8"/>
      <c r="F1587" s="8"/>
      <c r="G1587" s="8"/>
      <c r="H1587" s="8"/>
      <c r="I1587" s="10"/>
      <c r="J1587" s="8"/>
    </row>
    <row r="1588" spans="1:10" x14ac:dyDescent="0.15">
      <c r="A1588" s="7"/>
      <c r="B1588" s="8"/>
      <c r="C1588" s="8"/>
      <c r="D1588" s="9"/>
      <c r="E1588" s="8"/>
      <c r="F1588" s="8"/>
      <c r="G1588" s="8"/>
      <c r="H1588" s="8"/>
      <c r="I1588" s="10"/>
      <c r="J1588" s="8"/>
    </row>
    <row r="1589" spans="1:10" x14ac:dyDescent="0.15">
      <c r="A1589" s="7"/>
      <c r="B1589" s="8"/>
      <c r="C1589" s="8"/>
      <c r="D1589" s="9"/>
      <c r="E1589" s="8"/>
      <c r="F1589" s="8"/>
      <c r="G1589" s="8"/>
      <c r="H1589" s="8"/>
      <c r="I1589" s="10"/>
      <c r="J1589" s="8"/>
    </row>
    <row r="1590" spans="1:10" x14ac:dyDescent="0.15">
      <c r="A1590" s="7"/>
      <c r="B1590" s="8"/>
      <c r="C1590" s="8"/>
      <c r="D1590" s="9"/>
      <c r="E1590" s="8"/>
      <c r="F1590" s="8"/>
      <c r="G1590" s="8"/>
      <c r="H1590" s="8"/>
      <c r="I1590" s="10"/>
      <c r="J1590" s="8"/>
    </row>
    <row r="1591" spans="1:10" x14ac:dyDescent="0.15">
      <c r="A1591" s="7"/>
      <c r="B1591" s="8"/>
      <c r="C1591" s="8"/>
      <c r="D1591" s="9"/>
      <c r="E1591" s="8"/>
      <c r="F1591" s="8"/>
      <c r="G1591" s="8"/>
      <c r="H1591" s="8"/>
      <c r="I1591" s="10"/>
      <c r="J1591" s="8"/>
    </row>
    <row r="1592" spans="1:10" x14ac:dyDescent="0.15">
      <c r="A1592" s="7"/>
      <c r="B1592" s="8"/>
      <c r="C1592" s="8"/>
      <c r="D1592" s="9"/>
      <c r="E1592" s="8"/>
      <c r="F1592" s="8"/>
      <c r="G1592" s="8"/>
      <c r="H1592" s="8"/>
      <c r="I1592" s="10"/>
      <c r="J1592" s="8"/>
    </row>
    <row r="1593" spans="1:10" x14ac:dyDescent="0.15">
      <c r="A1593" s="7"/>
      <c r="B1593" s="8"/>
      <c r="C1593" s="8"/>
      <c r="D1593" s="9"/>
      <c r="E1593" s="8"/>
      <c r="F1593" s="8"/>
      <c r="G1593" s="8"/>
      <c r="H1593" s="8"/>
      <c r="I1593" s="10"/>
      <c r="J1593" s="8"/>
    </row>
    <row r="1594" spans="1:10" x14ac:dyDescent="0.15">
      <c r="A1594" s="7"/>
      <c r="B1594" s="8"/>
      <c r="C1594" s="8"/>
      <c r="D1594" s="9"/>
      <c r="E1594" s="8"/>
      <c r="F1594" s="8"/>
      <c r="G1594" s="8"/>
      <c r="H1594" s="8"/>
      <c r="I1594" s="10"/>
      <c r="J1594" s="8"/>
    </row>
    <row r="1595" spans="1:10" x14ac:dyDescent="0.15">
      <c r="A1595" s="7"/>
      <c r="B1595" s="8"/>
      <c r="C1595" s="8"/>
      <c r="D1595" s="9"/>
      <c r="E1595" s="8"/>
      <c r="F1595" s="8"/>
      <c r="G1595" s="8"/>
      <c r="H1595" s="8"/>
      <c r="I1595" s="10"/>
      <c r="J1595" s="8"/>
    </row>
    <row r="1596" spans="1:10" x14ac:dyDescent="0.15">
      <c r="A1596" s="7"/>
      <c r="B1596" s="8"/>
      <c r="C1596" s="8"/>
      <c r="D1596" s="9"/>
      <c r="E1596" s="8"/>
      <c r="F1596" s="8"/>
      <c r="G1596" s="8"/>
      <c r="H1596" s="8"/>
      <c r="I1596" s="10"/>
      <c r="J1596" s="8"/>
    </row>
    <row r="1597" spans="1:10" x14ac:dyDescent="0.15">
      <c r="A1597" s="7"/>
      <c r="B1597" s="8"/>
      <c r="C1597" s="8"/>
      <c r="D1597" s="9"/>
      <c r="E1597" s="8"/>
      <c r="F1597" s="8"/>
      <c r="G1597" s="8"/>
      <c r="H1597" s="8"/>
      <c r="I1597" s="10"/>
      <c r="J1597" s="8"/>
    </row>
    <row r="1598" spans="1:10" x14ac:dyDescent="0.15">
      <c r="A1598" s="7"/>
      <c r="B1598" s="8"/>
      <c r="C1598" s="8"/>
      <c r="D1598" s="9"/>
      <c r="E1598" s="8"/>
      <c r="F1598" s="8"/>
      <c r="G1598" s="8"/>
      <c r="H1598" s="8"/>
      <c r="I1598" s="10"/>
      <c r="J1598" s="8"/>
    </row>
    <row r="1599" spans="1:10" x14ac:dyDescent="0.15">
      <c r="A1599" s="7"/>
      <c r="B1599" s="8"/>
      <c r="C1599" s="8"/>
      <c r="D1599" s="9"/>
      <c r="E1599" s="8"/>
      <c r="F1599" s="8"/>
      <c r="G1599" s="8"/>
      <c r="H1599" s="8"/>
      <c r="I1599" s="10"/>
      <c r="J1599" s="8"/>
    </row>
    <row r="1600" spans="1:10" x14ac:dyDescent="0.15">
      <c r="A1600" s="7"/>
      <c r="B1600" s="8"/>
      <c r="C1600" s="8"/>
      <c r="D1600" s="9"/>
      <c r="E1600" s="8"/>
      <c r="F1600" s="8"/>
      <c r="G1600" s="8"/>
      <c r="H1600" s="8"/>
      <c r="I1600" s="10"/>
      <c r="J1600" s="8"/>
    </row>
    <row r="1601" spans="1:10" x14ac:dyDescent="0.15">
      <c r="A1601" s="7"/>
      <c r="B1601" s="8"/>
      <c r="C1601" s="8"/>
      <c r="D1601" s="9"/>
      <c r="E1601" s="8"/>
      <c r="F1601" s="8"/>
      <c r="G1601" s="8"/>
      <c r="H1601" s="8"/>
      <c r="I1601" s="10"/>
      <c r="J1601" s="8"/>
    </row>
    <row r="1602" spans="1:10" x14ac:dyDescent="0.15">
      <c r="A1602" s="7"/>
      <c r="B1602" s="8"/>
      <c r="C1602" s="8"/>
      <c r="D1602" s="9"/>
      <c r="E1602" s="8"/>
      <c r="F1602" s="8"/>
      <c r="G1602" s="8"/>
      <c r="H1602" s="8"/>
      <c r="I1602" s="10"/>
      <c r="J1602" s="8"/>
    </row>
    <row r="1603" spans="1:10" x14ac:dyDescent="0.15">
      <c r="A1603" s="7"/>
      <c r="B1603" s="8"/>
      <c r="C1603" s="8"/>
      <c r="D1603" s="9"/>
      <c r="E1603" s="8"/>
      <c r="F1603" s="8"/>
      <c r="G1603" s="8"/>
      <c r="H1603" s="8"/>
      <c r="I1603" s="10"/>
      <c r="J1603" s="8"/>
    </row>
    <row r="1604" spans="1:10" x14ac:dyDescent="0.15">
      <c r="A1604" s="7"/>
      <c r="B1604" s="8"/>
      <c r="C1604" s="8"/>
      <c r="D1604" s="9"/>
      <c r="E1604" s="8"/>
      <c r="F1604" s="8"/>
      <c r="G1604" s="8"/>
      <c r="H1604" s="8"/>
      <c r="I1604" s="10"/>
      <c r="J1604" s="8"/>
    </row>
    <row r="1605" spans="1:10" x14ac:dyDescent="0.15">
      <c r="A1605" s="7"/>
      <c r="B1605" s="8"/>
      <c r="C1605" s="8"/>
      <c r="D1605" s="9"/>
      <c r="E1605" s="8"/>
      <c r="F1605" s="8"/>
      <c r="G1605" s="8"/>
      <c r="H1605" s="8"/>
      <c r="I1605" s="10"/>
      <c r="J1605" s="8"/>
    </row>
    <row r="1606" spans="1:10" x14ac:dyDescent="0.15">
      <c r="A1606" s="7"/>
      <c r="B1606" s="8"/>
      <c r="C1606" s="8"/>
      <c r="D1606" s="9"/>
      <c r="E1606" s="8"/>
      <c r="F1606" s="8"/>
      <c r="G1606" s="8"/>
      <c r="H1606" s="8"/>
      <c r="I1606" s="10"/>
      <c r="J1606" s="8"/>
    </row>
    <row r="1607" spans="1:10" x14ac:dyDescent="0.15">
      <c r="A1607" s="7"/>
      <c r="B1607" s="8"/>
      <c r="C1607" s="8"/>
      <c r="D1607" s="9"/>
      <c r="E1607" s="8"/>
      <c r="F1607" s="8"/>
      <c r="G1607" s="8"/>
      <c r="H1607" s="8"/>
      <c r="I1607" s="10"/>
      <c r="J1607" s="8"/>
    </row>
    <row r="1608" spans="1:10" x14ac:dyDescent="0.15">
      <c r="A1608" s="7"/>
      <c r="B1608" s="8"/>
      <c r="C1608" s="8"/>
      <c r="D1608" s="9"/>
      <c r="E1608" s="8"/>
      <c r="F1608" s="8"/>
      <c r="G1608" s="8"/>
      <c r="H1608" s="8"/>
      <c r="I1608" s="10"/>
      <c r="J1608" s="8"/>
    </row>
    <row r="1609" spans="1:10" x14ac:dyDescent="0.15">
      <c r="A1609" s="7"/>
      <c r="B1609" s="8"/>
      <c r="C1609" s="8"/>
      <c r="D1609" s="9"/>
      <c r="E1609" s="8"/>
      <c r="F1609" s="8"/>
      <c r="G1609" s="8"/>
      <c r="H1609" s="8"/>
      <c r="I1609" s="10"/>
      <c r="J1609" s="8"/>
    </row>
    <row r="1610" spans="1:10" x14ac:dyDescent="0.15">
      <c r="A1610" s="7"/>
      <c r="B1610" s="8"/>
      <c r="C1610" s="8"/>
      <c r="D1610" s="9"/>
      <c r="E1610" s="8"/>
      <c r="F1610" s="8"/>
      <c r="G1610" s="8"/>
      <c r="H1610" s="8"/>
      <c r="I1610" s="10"/>
      <c r="J1610" s="8"/>
    </row>
    <row r="1611" spans="1:10" x14ac:dyDescent="0.15">
      <c r="A1611" s="7"/>
      <c r="B1611" s="8"/>
      <c r="C1611" s="8"/>
      <c r="D1611" s="9"/>
      <c r="E1611" s="8"/>
      <c r="F1611" s="8"/>
      <c r="G1611" s="8"/>
      <c r="H1611" s="8"/>
      <c r="I1611" s="10"/>
      <c r="J1611" s="8"/>
    </row>
    <row r="1612" spans="1:10" x14ac:dyDescent="0.15">
      <c r="A1612" s="7"/>
      <c r="B1612" s="8"/>
      <c r="C1612" s="8"/>
      <c r="D1612" s="9"/>
      <c r="E1612" s="8"/>
      <c r="F1612" s="8"/>
      <c r="G1612" s="8"/>
      <c r="H1612" s="8"/>
      <c r="I1612" s="10"/>
      <c r="J1612" s="8"/>
    </row>
    <row r="1613" spans="1:10" x14ac:dyDescent="0.15">
      <c r="A1613" s="7"/>
      <c r="B1613" s="8"/>
      <c r="C1613" s="8"/>
      <c r="D1613" s="9"/>
      <c r="E1613" s="8"/>
      <c r="F1613" s="8"/>
      <c r="G1613" s="8"/>
      <c r="H1613" s="8"/>
      <c r="I1613" s="10"/>
      <c r="J1613" s="8"/>
    </row>
    <row r="1614" spans="1:10" x14ac:dyDescent="0.15">
      <c r="A1614" s="7"/>
      <c r="B1614" s="8"/>
      <c r="C1614" s="8"/>
      <c r="D1614" s="9"/>
      <c r="E1614" s="8"/>
      <c r="F1614" s="8"/>
      <c r="G1614" s="8"/>
      <c r="H1614" s="8"/>
      <c r="I1614" s="10"/>
      <c r="J1614" s="8"/>
    </row>
    <row r="1615" spans="1:10" x14ac:dyDescent="0.15">
      <c r="A1615" s="7"/>
      <c r="B1615" s="8"/>
      <c r="C1615" s="8"/>
      <c r="D1615" s="9"/>
      <c r="E1615" s="8"/>
      <c r="F1615" s="8"/>
      <c r="G1615" s="8"/>
      <c r="H1615" s="8"/>
      <c r="I1615" s="10"/>
      <c r="J1615" s="8"/>
    </row>
    <row r="1616" spans="1:10" x14ac:dyDescent="0.15">
      <c r="A1616" s="7"/>
      <c r="B1616" s="8"/>
      <c r="C1616" s="8"/>
      <c r="D1616" s="9"/>
      <c r="E1616" s="8"/>
      <c r="F1616" s="8"/>
      <c r="G1616" s="8"/>
      <c r="H1616" s="8"/>
      <c r="I1616" s="10"/>
      <c r="J1616" s="8"/>
    </row>
    <row r="1617" spans="1:10" x14ac:dyDescent="0.15">
      <c r="A1617" s="7"/>
      <c r="B1617" s="8"/>
      <c r="C1617" s="8"/>
      <c r="D1617" s="9"/>
      <c r="E1617" s="8"/>
      <c r="F1617" s="8"/>
      <c r="G1617" s="8"/>
      <c r="H1617" s="8"/>
      <c r="I1617" s="10"/>
      <c r="J1617" s="8"/>
    </row>
    <row r="1618" spans="1:10" x14ac:dyDescent="0.15">
      <c r="A1618" s="7"/>
      <c r="B1618" s="8"/>
      <c r="C1618" s="8"/>
      <c r="D1618" s="9"/>
      <c r="E1618" s="8"/>
      <c r="F1618" s="8"/>
      <c r="G1618" s="8"/>
      <c r="H1618" s="8"/>
      <c r="I1618" s="10"/>
      <c r="J1618" s="8"/>
    </row>
    <row r="1619" spans="1:10" x14ac:dyDescent="0.15">
      <c r="A1619" s="7"/>
      <c r="B1619" s="8"/>
      <c r="C1619" s="8"/>
      <c r="D1619" s="9"/>
      <c r="E1619" s="8"/>
      <c r="F1619" s="8"/>
      <c r="G1619" s="8"/>
      <c r="H1619" s="8"/>
      <c r="I1619" s="10"/>
      <c r="J1619" s="8"/>
    </row>
    <row r="1620" spans="1:10" x14ac:dyDescent="0.15">
      <c r="A1620" s="7"/>
      <c r="B1620" s="8"/>
      <c r="C1620" s="8"/>
      <c r="D1620" s="9"/>
      <c r="E1620" s="8"/>
      <c r="F1620" s="8"/>
      <c r="G1620" s="8"/>
      <c r="H1620" s="8"/>
      <c r="I1620" s="10"/>
      <c r="J1620" s="8"/>
    </row>
    <row r="1621" spans="1:10" x14ac:dyDescent="0.15">
      <c r="A1621" s="7"/>
      <c r="B1621" s="8"/>
      <c r="C1621" s="8"/>
      <c r="D1621" s="9"/>
      <c r="E1621" s="8"/>
      <c r="F1621" s="8"/>
      <c r="G1621" s="8"/>
      <c r="H1621" s="8"/>
      <c r="I1621" s="10"/>
      <c r="J1621" s="8"/>
    </row>
    <row r="1622" spans="1:10" x14ac:dyDescent="0.15">
      <c r="A1622" s="7"/>
      <c r="B1622" s="8"/>
      <c r="C1622" s="8"/>
      <c r="D1622" s="9"/>
      <c r="E1622" s="8"/>
      <c r="F1622" s="8"/>
      <c r="G1622" s="8"/>
      <c r="H1622" s="8"/>
      <c r="I1622" s="10"/>
      <c r="J1622" s="8"/>
    </row>
    <row r="1623" spans="1:10" x14ac:dyDescent="0.15">
      <c r="A1623" s="7"/>
      <c r="B1623" s="8"/>
      <c r="C1623" s="8"/>
      <c r="D1623" s="9"/>
      <c r="E1623" s="8"/>
      <c r="F1623" s="8"/>
      <c r="G1623" s="8"/>
      <c r="H1623" s="8"/>
      <c r="I1623" s="10"/>
      <c r="J1623" s="8"/>
    </row>
    <row r="1624" spans="1:10" x14ac:dyDescent="0.15">
      <c r="A1624" s="7"/>
      <c r="B1624" s="8"/>
      <c r="C1624" s="8"/>
      <c r="D1624" s="9"/>
      <c r="E1624" s="8"/>
      <c r="F1624" s="8"/>
      <c r="G1624" s="8"/>
      <c r="H1624" s="8"/>
      <c r="I1624" s="10"/>
      <c r="J1624" s="8"/>
    </row>
    <row r="1625" spans="1:10" x14ac:dyDescent="0.15">
      <c r="A1625" s="7"/>
      <c r="B1625" s="8"/>
      <c r="C1625" s="8"/>
      <c r="D1625" s="9"/>
      <c r="E1625" s="8"/>
      <c r="F1625" s="8"/>
      <c r="G1625" s="8"/>
      <c r="H1625" s="8"/>
      <c r="I1625" s="10"/>
      <c r="J1625" s="8"/>
    </row>
    <row r="1626" spans="1:10" x14ac:dyDescent="0.15">
      <c r="A1626" s="7"/>
      <c r="B1626" s="8"/>
      <c r="C1626" s="8"/>
      <c r="D1626" s="9"/>
      <c r="E1626" s="8"/>
      <c r="F1626" s="8"/>
      <c r="G1626" s="8"/>
      <c r="H1626" s="8"/>
      <c r="I1626" s="10"/>
      <c r="J1626" s="8"/>
    </row>
    <row r="1627" spans="1:10" x14ac:dyDescent="0.15">
      <c r="A1627" s="7"/>
      <c r="B1627" s="8"/>
      <c r="C1627" s="8"/>
      <c r="D1627" s="9"/>
      <c r="E1627" s="8"/>
      <c r="F1627" s="8"/>
      <c r="G1627" s="8"/>
      <c r="H1627" s="8"/>
      <c r="I1627" s="10"/>
      <c r="J1627" s="8"/>
    </row>
    <row r="1628" spans="1:10" x14ac:dyDescent="0.15">
      <c r="A1628" s="7"/>
      <c r="B1628" s="8"/>
      <c r="C1628" s="8"/>
      <c r="D1628" s="9"/>
      <c r="E1628" s="8"/>
      <c r="F1628" s="8"/>
      <c r="G1628" s="8"/>
      <c r="H1628" s="8"/>
      <c r="I1628" s="10"/>
      <c r="J1628" s="8"/>
    </row>
    <row r="1629" spans="1:10" x14ac:dyDescent="0.15">
      <c r="A1629" s="7"/>
      <c r="B1629" s="8"/>
      <c r="C1629" s="8"/>
      <c r="D1629" s="9"/>
      <c r="E1629" s="8"/>
      <c r="F1629" s="8"/>
      <c r="G1629" s="8"/>
      <c r="H1629" s="8"/>
      <c r="I1629" s="10"/>
      <c r="J1629" s="8"/>
    </row>
    <row r="1630" spans="1:10" x14ac:dyDescent="0.15">
      <c r="A1630" s="7"/>
      <c r="B1630" s="8"/>
      <c r="C1630" s="8"/>
      <c r="D1630" s="9"/>
      <c r="E1630" s="8"/>
      <c r="F1630" s="8"/>
      <c r="G1630" s="8"/>
      <c r="H1630" s="8"/>
      <c r="I1630" s="10"/>
      <c r="J1630" s="8"/>
    </row>
    <row r="1631" spans="1:10" x14ac:dyDescent="0.15">
      <c r="A1631" s="7"/>
      <c r="B1631" s="8"/>
      <c r="C1631" s="8"/>
      <c r="D1631" s="9"/>
      <c r="E1631" s="8"/>
      <c r="F1631" s="8"/>
      <c r="G1631" s="8"/>
      <c r="H1631" s="8"/>
      <c r="I1631" s="10"/>
      <c r="J1631" s="8"/>
    </row>
    <row r="1632" spans="1:10" x14ac:dyDescent="0.15">
      <c r="A1632" s="7"/>
      <c r="B1632" s="8"/>
      <c r="C1632" s="8"/>
      <c r="D1632" s="9"/>
      <c r="E1632" s="8"/>
      <c r="F1632" s="8"/>
      <c r="G1632" s="8"/>
      <c r="H1632" s="8"/>
      <c r="I1632" s="10"/>
      <c r="J1632" s="8"/>
    </row>
    <row r="1633" spans="1:10" x14ac:dyDescent="0.15">
      <c r="A1633" s="7"/>
      <c r="B1633" s="8"/>
      <c r="C1633" s="8"/>
      <c r="D1633" s="9"/>
      <c r="E1633" s="8"/>
      <c r="F1633" s="8"/>
      <c r="G1633" s="8"/>
      <c r="H1633" s="8"/>
      <c r="I1633" s="10"/>
      <c r="J1633" s="8"/>
    </row>
    <row r="1634" spans="1:10" x14ac:dyDescent="0.15">
      <c r="A1634" s="7"/>
      <c r="B1634" s="8"/>
      <c r="C1634" s="8"/>
      <c r="D1634" s="9"/>
      <c r="E1634" s="8"/>
      <c r="F1634" s="8"/>
      <c r="G1634" s="8"/>
      <c r="H1634" s="8"/>
      <c r="I1634" s="10"/>
      <c r="J1634" s="8"/>
    </row>
    <row r="1635" spans="1:10" x14ac:dyDescent="0.15">
      <c r="A1635" s="7"/>
      <c r="B1635" s="8"/>
      <c r="C1635" s="8"/>
      <c r="D1635" s="9"/>
      <c r="E1635" s="8"/>
      <c r="F1635" s="8"/>
      <c r="G1635" s="8"/>
      <c r="H1635" s="8"/>
      <c r="I1635" s="10"/>
      <c r="J1635" s="8"/>
    </row>
    <row r="1636" spans="1:10" x14ac:dyDescent="0.15">
      <c r="A1636" s="7"/>
      <c r="B1636" s="8"/>
      <c r="C1636" s="8"/>
      <c r="D1636" s="9"/>
      <c r="E1636" s="8"/>
      <c r="F1636" s="8"/>
      <c r="G1636" s="8"/>
      <c r="H1636" s="8"/>
      <c r="I1636" s="10"/>
      <c r="J1636" s="8"/>
    </row>
    <row r="1637" spans="1:10" x14ac:dyDescent="0.15">
      <c r="A1637" s="7"/>
      <c r="B1637" s="8"/>
      <c r="C1637" s="8"/>
      <c r="D1637" s="9"/>
      <c r="E1637" s="8"/>
      <c r="F1637" s="8"/>
      <c r="G1637" s="8"/>
      <c r="H1637" s="8"/>
      <c r="I1637" s="10"/>
      <c r="J1637" s="8"/>
    </row>
    <row r="1638" spans="1:10" x14ac:dyDescent="0.15">
      <c r="A1638" s="7"/>
      <c r="B1638" s="8"/>
      <c r="C1638" s="8"/>
      <c r="D1638" s="9"/>
      <c r="E1638" s="8"/>
      <c r="F1638" s="8"/>
      <c r="G1638" s="8"/>
      <c r="H1638" s="8"/>
      <c r="I1638" s="10"/>
      <c r="J1638" s="8"/>
    </row>
    <row r="1639" spans="1:10" x14ac:dyDescent="0.15">
      <c r="A1639" s="7"/>
      <c r="B1639" s="8"/>
      <c r="C1639" s="8"/>
      <c r="D1639" s="9"/>
      <c r="E1639" s="8"/>
      <c r="F1639" s="8"/>
      <c r="G1639" s="8"/>
      <c r="H1639" s="8"/>
      <c r="I1639" s="10"/>
      <c r="J1639" s="8"/>
    </row>
    <row r="1640" spans="1:10" x14ac:dyDescent="0.15">
      <c r="A1640" s="7"/>
      <c r="B1640" s="8"/>
      <c r="C1640" s="8"/>
      <c r="D1640" s="9"/>
      <c r="E1640" s="8"/>
      <c r="F1640" s="8"/>
      <c r="G1640" s="8"/>
      <c r="H1640" s="8"/>
      <c r="I1640" s="10"/>
      <c r="J1640" s="8"/>
    </row>
    <row r="1641" spans="1:10" x14ac:dyDescent="0.15">
      <c r="A1641" s="7"/>
      <c r="B1641" s="8"/>
      <c r="C1641" s="8"/>
      <c r="D1641" s="9"/>
      <c r="E1641" s="8"/>
      <c r="F1641" s="8"/>
      <c r="G1641" s="8"/>
      <c r="H1641" s="8"/>
      <c r="I1641" s="10"/>
      <c r="J1641" s="8"/>
    </row>
    <row r="1642" spans="1:10" x14ac:dyDescent="0.15">
      <c r="A1642" s="7"/>
      <c r="B1642" s="8"/>
      <c r="C1642" s="8"/>
      <c r="D1642" s="9"/>
      <c r="E1642" s="8"/>
      <c r="F1642" s="8"/>
      <c r="G1642" s="8"/>
      <c r="H1642" s="8"/>
      <c r="I1642" s="10"/>
      <c r="J1642" s="8"/>
    </row>
    <row r="1643" spans="1:10" x14ac:dyDescent="0.15">
      <c r="A1643" s="7"/>
      <c r="B1643" s="8"/>
      <c r="C1643" s="8"/>
      <c r="D1643" s="9"/>
      <c r="E1643" s="8"/>
      <c r="F1643" s="8"/>
      <c r="G1643" s="8"/>
      <c r="H1643" s="8"/>
      <c r="I1643" s="10"/>
      <c r="J1643" s="8"/>
    </row>
    <row r="1644" spans="1:10" x14ac:dyDescent="0.15">
      <c r="A1644" s="7"/>
      <c r="B1644" s="8"/>
      <c r="C1644" s="8"/>
      <c r="D1644" s="9"/>
      <c r="E1644" s="8"/>
      <c r="F1644" s="8"/>
      <c r="G1644" s="8"/>
      <c r="H1644" s="8"/>
      <c r="I1644" s="10"/>
      <c r="J1644" s="8"/>
    </row>
    <row r="1645" spans="1:10" x14ac:dyDescent="0.15">
      <c r="A1645" s="7"/>
      <c r="B1645" s="8"/>
      <c r="C1645" s="8"/>
      <c r="D1645" s="9"/>
      <c r="E1645" s="8"/>
      <c r="F1645" s="8"/>
      <c r="G1645" s="8"/>
      <c r="H1645" s="8"/>
      <c r="I1645" s="10"/>
      <c r="J1645" s="8"/>
    </row>
    <row r="1646" spans="1:10" x14ac:dyDescent="0.15">
      <c r="A1646" s="7"/>
      <c r="B1646" s="8"/>
      <c r="C1646" s="8"/>
      <c r="D1646" s="9"/>
      <c r="E1646" s="8"/>
      <c r="F1646" s="8"/>
      <c r="G1646" s="8"/>
      <c r="H1646" s="8"/>
      <c r="I1646" s="10"/>
      <c r="J1646" s="8"/>
    </row>
    <row r="1647" spans="1:10" x14ac:dyDescent="0.15">
      <c r="A1647" s="7"/>
      <c r="B1647" s="8"/>
      <c r="C1647" s="8"/>
      <c r="D1647" s="9"/>
      <c r="E1647" s="8"/>
      <c r="F1647" s="8"/>
      <c r="G1647" s="8"/>
      <c r="H1647" s="8"/>
      <c r="I1647" s="10"/>
      <c r="J1647" s="8"/>
    </row>
    <row r="1648" spans="1:10" x14ac:dyDescent="0.15">
      <c r="A1648" s="7"/>
      <c r="B1648" s="8"/>
      <c r="C1648" s="8"/>
      <c r="D1648" s="9"/>
      <c r="E1648" s="8"/>
      <c r="F1648" s="8"/>
      <c r="G1648" s="8"/>
      <c r="H1648" s="8"/>
      <c r="I1648" s="10"/>
      <c r="J1648" s="8"/>
    </row>
    <row r="1649" spans="1:10" x14ac:dyDescent="0.15">
      <c r="A1649" s="7"/>
      <c r="B1649" s="8"/>
      <c r="C1649" s="8"/>
      <c r="D1649" s="9"/>
      <c r="E1649" s="8"/>
      <c r="F1649" s="8"/>
      <c r="G1649" s="8"/>
      <c r="H1649" s="8"/>
      <c r="I1649" s="10"/>
      <c r="J1649" s="8"/>
    </row>
    <row r="1650" spans="1:10" x14ac:dyDescent="0.15">
      <c r="A1650" s="7"/>
      <c r="B1650" s="8"/>
      <c r="C1650" s="8"/>
      <c r="D1650" s="9"/>
      <c r="E1650" s="8"/>
      <c r="F1650" s="8"/>
      <c r="G1650" s="8"/>
      <c r="H1650" s="8"/>
      <c r="I1650" s="10"/>
      <c r="J1650" s="8"/>
    </row>
    <row r="1651" spans="1:10" x14ac:dyDescent="0.15">
      <c r="A1651" s="7"/>
      <c r="B1651" s="8"/>
      <c r="C1651" s="8"/>
      <c r="D1651" s="9"/>
      <c r="E1651" s="8"/>
      <c r="F1651" s="8"/>
      <c r="G1651" s="8"/>
      <c r="H1651" s="8"/>
      <c r="I1651" s="10"/>
      <c r="J1651" s="8"/>
    </row>
    <row r="1652" spans="1:10" x14ac:dyDescent="0.15">
      <c r="A1652" s="7"/>
      <c r="B1652" s="8"/>
      <c r="C1652" s="8"/>
      <c r="D1652" s="9"/>
      <c r="E1652" s="8"/>
      <c r="F1652" s="8"/>
      <c r="G1652" s="8"/>
      <c r="H1652" s="8"/>
      <c r="I1652" s="10"/>
      <c r="J1652" s="8"/>
    </row>
    <row r="1653" spans="1:10" x14ac:dyDescent="0.15">
      <c r="A1653" s="7"/>
      <c r="B1653" s="8"/>
      <c r="C1653" s="8"/>
      <c r="D1653" s="9"/>
      <c r="E1653" s="8"/>
      <c r="F1653" s="8"/>
      <c r="G1653" s="8"/>
      <c r="H1653" s="8"/>
      <c r="I1653" s="10"/>
      <c r="J1653" s="8"/>
    </row>
    <row r="1654" spans="1:10" x14ac:dyDescent="0.15">
      <c r="A1654" s="7"/>
      <c r="B1654" s="8"/>
      <c r="C1654" s="8"/>
      <c r="D1654" s="9"/>
      <c r="E1654" s="8"/>
      <c r="F1654" s="8"/>
      <c r="G1654" s="8"/>
      <c r="H1654" s="8"/>
      <c r="I1654" s="10"/>
      <c r="J1654" s="8"/>
    </row>
    <row r="1655" spans="1:10" x14ac:dyDescent="0.15">
      <c r="A1655" s="7"/>
      <c r="B1655" s="8"/>
      <c r="C1655" s="8"/>
      <c r="D1655" s="9"/>
      <c r="E1655" s="8"/>
      <c r="F1655" s="8"/>
      <c r="G1655" s="8"/>
      <c r="H1655" s="8"/>
      <c r="I1655" s="10"/>
      <c r="J1655" s="8"/>
    </row>
    <row r="1656" spans="1:10" x14ac:dyDescent="0.15">
      <c r="A1656" s="7"/>
      <c r="B1656" s="8"/>
      <c r="C1656" s="8"/>
      <c r="D1656" s="9"/>
      <c r="E1656" s="8"/>
      <c r="F1656" s="8"/>
      <c r="G1656" s="8"/>
      <c r="H1656" s="8"/>
      <c r="I1656" s="10"/>
      <c r="J1656" s="8"/>
    </row>
    <row r="1657" spans="1:10" x14ac:dyDescent="0.15">
      <c r="A1657" s="7"/>
      <c r="B1657" s="8"/>
      <c r="C1657" s="8"/>
      <c r="D1657" s="9"/>
      <c r="E1657" s="8"/>
      <c r="F1657" s="8"/>
      <c r="G1657" s="8"/>
      <c r="H1657" s="8"/>
      <c r="I1657" s="10"/>
      <c r="J1657" s="8"/>
    </row>
    <row r="1658" spans="1:10" x14ac:dyDescent="0.15">
      <c r="A1658" s="7"/>
      <c r="B1658" s="8"/>
      <c r="C1658" s="8"/>
      <c r="D1658" s="9"/>
      <c r="E1658" s="8"/>
      <c r="F1658" s="8"/>
      <c r="G1658" s="8"/>
      <c r="H1658" s="8"/>
      <c r="I1658" s="10"/>
      <c r="J1658" s="8"/>
    </row>
    <row r="1659" spans="1:10" x14ac:dyDescent="0.15">
      <c r="A1659" s="7"/>
      <c r="B1659" s="8"/>
      <c r="C1659" s="8"/>
      <c r="D1659" s="9"/>
      <c r="E1659" s="8"/>
      <c r="F1659" s="8"/>
      <c r="G1659" s="8"/>
      <c r="H1659" s="8"/>
      <c r="I1659" s="10"/>
      <c r="J1659" s="8"/>
    </row>
    <row r="1660" spans="1:10" x14ac:dyDescent="0.15">
      <c r="A1660" s="7"/>
      <c r="B1660" s="8"/>
      <c r="C1660" s="8"/>
      <c r="D1660" s="9"/>
      <c r="E1660" s="8"/>
      <c r="F1660" s="8"/>
      <c r="G1660" s="8"/>
      <c r="H1660" s="8"/>
      <c r="I1660" s="10"/>
      <c r="J1660" s="8"/>
    </row>
    <row r="1661" spans="1:10" x14ac:dyDescent="0.15">
      <c r="A1661" s="7"/>
      <c r="B1661" s="8"/>
      <c r="C1661" s="8"/>
      <c r="D1661" s="9"/>
      <c r="E1661" s="8"/>
      <c r="F1661" s="8"/>
      <c r="G1661" s="8"/>
      <c r="H1661" s="8"/>
      <c r="I1661" s="10"/>
      <c r="J1661" s="8"/>
    </row>
    <row r="1662" spans="1:10" x14ac:dyDescent="0.15">
      <c r="A1662" s="7"/>
      <c r="B1662" s="8"/>
      <c r="C1662" s="8"/>
      <c r="D1662" s="9"/>
      <c r="E1662" s="8"/>
      <c r="F1662" s="8"/>
      <c r="G1662" s="8"/>
      <c r="H1662" s="8"/>
      <c r="I1662" s="10"/>
      <c r="J1662" s="8"/>
    </row>
    <row r="1663" spans="1:10" x14ac:dyDescent="0.15">
      <c r="A1663" s="7"/>
      <c r="B1663" s="8"/>
      <c r="C1663" s="8"/>
      <c r="D1663" s="9"/>
      <c r="E1663" s="8"/>
      <c r="F1663" s="8"/>
      <c r="G1663" s="8"/>
      <c r="H1663" s="8"/>
      <c r="I1663" s="10"/>
      <c r="J1663" s="8"/>
    </row>
    <row r="1664" spans="1:10" x14ac:dyDescent="0.15">
      <c r="A1664" s="7"/>
      <c r="B1664" s="8"/>
      <c r="C1664" s="8"/>
      <c r="D1664" s="9"/>
      <c r="E1664" s="8"/>
      <c r="F1664" s="8"/>
      <c r="G1664" s="8"/>
      <c r="H1664" s="8"/>
      <c r="I1664" s="10"/>
      <c r="J1664" s="8"/>
    </row>
    <row r="1665" spans="1:10" x14ac:dyDescent="0.15">
      <c r="A1665" s="7"/>
      <c r="B1665" s="8"/>
      <c r="C1665" s="8"/>
      <c r="D1665" s="9"/>
      <c r="E1665" s="8"/>
      <c r="F1665" s="8"/>
      <c r="G1665" s="8"/>
      <c r="H1665" s="8"/>
      <c r="I1665" s="10"/>
      <c r="J1665" s="8"/>
    </row>
    <row r="1666" spans="1:10" x14ac:dyDescent="0.15">
      <c r="A1666" s="7"/>
      <c r="B1666" s="8"/>
      <c r="C1666" s="8"/>
      <c r="D1666" s="9"/>
      <c r="E1666" s="8"/>
      <c r="F1666" s="8"/>
      <c r="G1666" s="8"/>
      <c r="H1666" s="8"/>
      <c r="I1666" s="10"/>
      <c r="J1666" s="8"/>
    </row>
    <row r="1667" spans="1:10" x14ac:dyDescent="0.15">
      <c r="A1667" s="7"/>
      <c r="B1667" s="8"/>
      <c r="C1667" s="8"/>
      <c r="D1667" s="9"/>
      <c r="E1667" s="8"/>
      <c r="F1667" s="8"/>
      <c r="G1667" s="8"/>
      <c r="H1667" s="8"/>
      <c r="I1667" s="10"/>
      <c r="J1667" s="8"/>
    </row>
    <row r="1668" spans="1:10" x14ac:dyDescent="0.15">
      <c r="A1668" s="7"/>
      <c r="B1668" s="8"/>
      <c r="C1668" s="8"/>
      <c r="D1668" s="9"/>
      <c r="E1668" s="8"/>
      <c r="F1668" s="8"/>
      <c r="G1668" s="8"/>
      <c r="H1668" s="8"/>
      <c r="I1668" s="10"/>
      <c r="J1668" s="8"/>
    </row>
    <row r="1669" spans="1:10" x14ac:dyDescent="0.15">
      <c r="A1669" s="7"/>
      <c r="B1669" s="8"/>
      <c r="C1669" s="8"/>
      <c r="D1669" s="9"/>
      <c r="E1669" s="8"/>
      <c r="F1669" s="8"/>
      <c r="G1669" s="8"/>
      <c r="H1669" s="8"/>
      <c r="I1669" s="10"/>
      <c r="J1669" s="8"/>
    </row>
    <row r="1670" spans="1:10" x14ac:dyDescent="0.15">
      <c r="A1670" s="7"/>
      <c r="B1670" s="8"/>
      <c r="C1670" s="8"/>
      <c r="D1670" s="9"/>
      <c r="E1670" s="8"/>
      <c r="F1670" s="8"/>
      <c r="G1670" s="8"/>
      <c r="H1670" s="8"/>
      <c r="I1670" s="10"/>
      <c r="J1670" s="8"/>
    </row>
    <row r="1671" spans="1:10" x14ac:dyDescent="0.15">
      <c r="A1671" s="7"/>
      <c r="B1671" s="8"/>
      <c r="C1671" s="8"/>
      <c r="D1671" s="9"/>
      <c r="E1671" s="8"/>
      <c r="F1671" s="8"/>
      <c r="G1671" s="8"/>
      <c r="H1671" s="8"/>
      <c r="I1671" s="10"/>
      <c r="J1671" s="8"/>
    </row>
    <row r="1672" spans="1:10" x14ac:dyDescent="0.15">
      <c r="A1672" s="7"/>
      <c r="B1672" s="8"/>
      <c r="C1672" s="8"/>
      <c r="D1672" s="9"/>
      <c r="E1672" s="8"/>
      <c r="F1672" s="8"/>
      <c r="G1672" s="8"/>
      <c r="H1672" s="8"/>
      <c r="I1672" s="10"/>
      <c r="J1672" s="8"/>
    </row>
    <row r="1673" spans="1:10" x14ac:dyDescent="0.15">
      <c r="A1673" s="7"/>
      <c r="B1673" s="8"/>
      <c r="C1673" s="8"/>
      <c r="D1673" s="9"/>
      <c r="E1673" s="8"/>
      <c r="F1673" s="8"/>
      <c r="G1673" s="8"/>
      <c r="H1673" s="8"/>
      <c r="I1673" s="10"/>
      <c r="J1673" s="8"/>
    </row>
    <row r="1674" spans="1:10" x14ac:dyDescent="0.15">
      <c r="A1674" s="7"/>
      <c r="B1674" s="8"/>
      <c r="C1674" s="8"/>
      <c r="D1674" s="9"/>
      <c r="E1674" s="8"/>
      <c r="F1674" s="8"/>
      <c r="G1674" s="8"/>
      <c r="H1674" s="8"/>
      <c r="I1674" s="10"/>
      <c r="J1674" s="8"/>
    </row>
    <row r="1675" spans="1:10" x14ac:dyDescent="0.15">
      <c r="A1675" s="7"/>
      <c r="B1675" s="8"/>
      <c r="C1675" s="8"/>
      <c r="D1675" s="9"/>
      <c r="E1675" s="8"/>
      <c r="F1675" s="8"/>
      <c r="G1675" s="8"/>
      <c r="H1675" s="8"/>
      <c r="I1675" s="10"/>
      <c r="J1675" s="8"/>
    </row>
    <row r="1676" spans="1:10" x14ac:dyDescent="0.15">
      <c r="A1676" s="7"/>
      <c r="B1676" s="8"/>
      <c r="C1676" s="8"/>
      <c r="D1676" s="9"/>
      <c r="E1676" s="8"/>
      <c r="F1676" s="8"/>
      <c r="G1676" s="8"/>
      <c r="H1676" s="8"/>
      <c r="I1676" s="10"/>
      <c r="J1676" s="8"/>
    </row>
    <row r="1677" spans="1:10" x14ac:dyDescent="0.15">
      <c r="A1677" s="7"/>
      <c r="B1677" s="8"/>
      <c r="C1677" s="8"/>
      <c r="D1677" s="9"/>
      <c r="E1677" s="8"/>
      <c r="F1677" s="8"/>
      <c r="G1677" s="8"/>
      <c r="H1677" s="8"/>
      <c r="I1677" s="10"/>
      <c r="J1677" s="8"/>
    </row>
    <row r="1678" spans="1:10" x14ac:dyDescent="0.15">
      <c r="A1678" s="7"/>
      <c r="B1678" s="8"/>
      <c r="C1678" s="8"/>
      <c r="D1678" s="9"/>
      <c r="E1678" s="8"/>
      <c r="F1678" s="8"/>
      <c r="G1678" s="8"/>
      <c r="H1678" s="8"/>
      <c r="I1678" s="10"/>
      <c r="J1678" s="8"/>
    </row>
    <row r="1679" spans="1:10" x14ac:dyDescent="0.15">
      <c r="A1679" s="7"/>
      <c r="B1679" s="8"/>
      <c r="C1679" s="8"/>
      <c r="D1679" s="9"/>
      <c r="E1679" s="8"/>
      <c r="F1679" s="8"/>
      <c r="G1679" s="8"/>
      <c r="H1679" s="8"/>
      <c r="I1679" s="10"/>
      <c r="J1679" s="8"/>
    </row>
    <row r="1680" spans="1:10" x14ac:dyDescent="0.15">
      <c r="A1680" s="7"/>
      <c r="B1680" s="8"/>
      <c r="C1680" s="8"/>
      <c r="D1680" s="9"/>
      <c r="E1680" s="8"/>
      <c r="F1680" s="8"/>
      <c r="G1680" s="8"/>
      <c r="H1680" s="8"/>
      <c r="I1680" s="10"/>
      <c r="J1680" s="8"/>
    </row>
    <row r="1681" spans="1:10" x14ac:dyDescent="0.15">
      <c r="A1681" s="7"/>
      <c r="B1681" s="8"/>
      <c r="C1681" s="8"/>
      <c r="D1681" s="9"/>
      <c r="E1681" s="8"/>
      <c r="F1681" s="8"/>
      <c r="G1681" s="8"/>
      <c r="H1681" s="8"/>
      <c r="I1681" s="10"/>
      <c r="J1681" s="8"/>
    </row>
    <row r="1682" spans="1:10" x14ac:dyDescent="0.15">
      <c r="A1682" s="7"/>
      <c r="B1682" s="8"/>
      <c r="C1682" s="8"/>
      <c r="D1682" s="9"/>
      <c r="E1682" s="8"/>
      <c r="F1682" s="8"/>
      <c r="G1682" s="8"/>
      <c r="H1682" s="8"/>
      <c r="I1682" s="10"/>
      <c r="J1682" s="8"/>
    </row>
    <row r="1683" spans="1:10" x14ac:dyDescent="0.15">
      <c r="A1683" s="7"/>
      <c r="B1683" s="8"/>
      <c r="C1683" s="8"/>
      <c r="D1683" s="9"/>
      <c r="E1683" s="8"/>
      <c r="F1683" s="8"/>
      <c r="G1683" s="8"/>
      <c r="H1683" s="8"/>
      <c r="I1683" s="10"/>
      <c r="J1683" s="8"/>
    </row>
    <row r="1684" spans="1:10" x14ac:dyDescent="0.15">
      <c r="A1684" s="7"/>
      <c r="B1684" s="8"/>
      <c r="C1684" s="8"/>
      <c r="D1684" s="9"/>
      <c r="E1684" s="8"/>
      <c r="F1684" s="8"/>
      <c r="G1684" s="8"/>
      <c r="H1684" s="8"/>
      <c r="I1684" s="10"/>
      <c r="J1684" s="8"/>
    </row>
    <row r="1685" spans="1:10" x14ac:dyDescent="0.15">
      <c r="A1685" s="7"/>
      <c r="B1685" s="8"/>
      <c r="C1685" s="8"/>
      <c r="D1685" s="9"/>
      <c r="E1685" s="8"/>
      <c r="F1685" s="8"/>
      <c r="G1685" s="8"/>
      <c r="H1685" s="8"/>
      <c r="I1685" s="10"/>
      <c r="J1685" s="8"/>
    </row>
    <row r="1686" spans="1:10" x14ac:dyDescent="0.15">
      <c r="A1686" s="7"/>
      <c r="B1686" s="8"/>
      <c r="C1686" s="8"/>
      <c r="D1686" s="9"/>
      <c r="E1686" s="8"/>
      <c r="F1686" s="8"/>
      <c r="G1686" s="8"/>
      <c r="H1686" s="8"/>
      <c r="I1686" s="10"/>
      <c r="J1686" s="8"/>
    </row>
    <row r="1687" spans="1:10" x14ac:dyDescent="0.15">
      <c r="A1687" s="7"/>
      <c r="B1687" s="8"/>
      <c r="C1687" s="8"/>
      <c r="D1687" s="9"/>
      <c r="E1687" s="8"/>
      <c r="F1687" s="8"/>
      <c r="G1687" s="8"/>
      <c r="H1687" s="8"/>
      <c r="I1687" s="10"/>
      <c r="J1687" s="8"/>
    </row>
    <row r="1688" spans="1:10" x14ac:dyDescent="0.15">
      <c r="A1688" s="7"/>
      <c r="B1688" s="8"/>
      <c r="C1688" s="8"/>
      <c r="D1688" s="9"/>
      <c r="E1688" s="8"/>
      <c r="F1688" s="8"/>
      <c r="G1688" s="8"/>
      <c r="H1688" s="8"/>
      <c r="I1688" s="10"/>
      <c r="J1688" s="8"/>
    </row>
    <row r="1689" spans="1:10" x14ac:dyDescent="0.15">
      <c r="A1689" s="7"/>
      <c r="B1689" s="8"/>
      <c r="C1689" s="8"/>
      <c r="D1689" s="9"/>
      <c r="E1689" s="8"/>
      <c r="F1689" s="8"/>
      <c r="G1689" s="8"/>
      <c r="H1689" s="8"/>
      <c r="I1689" s="10"/>
      <c r="J1689" s="8"/>
    </row>
    <row r="1690" spans="1:10" x14ac:dyDescent="0.15">
      <c r="A1690" s="7"/>
      <c r="B1690" s="8"/>
      <c r="C1690" s="8"/>
      <c r="D1690" s="9"/>
      <c r="E1690" s="8"/>
      <c r="F1690" s="8"/>
      <c r="G1690" s="8"/>
      <c r="H1690" s="8"/>
      <c r="I1690" s="10"/>
      <c r="J1690" s="8"/>
    </row>
    <row r="1691" spans="1:10" x14ac:dyDescent="0.15">
      <c r="A1691" s="7"/>
      <c r="B1691" s="8"/>
      <c r="C1691" s="8"/>
      <c r="D1691" s="9"/>
      <c r="E1691" s="8"/>
      <c r="F1691" s="8"/>
      <c r="G1691" s="8"/>
      <c r="H1691" s="8"/>
      <c r="I1691" s="10"/>
      <c r="J1691" s="8"/>
    </row>
    <row r="1692" spans="1:10" x14ac:dyDescent="0.15">
      <c r="A1692" s="7"/>
      <c r="B1692" s="8"/>
      <c r="C1692" s="8"/>
      <c r="D1692" s="9"/>
      <c r="E1692" s="8"/>
      <c r="F1692" s="8"/>
      <c r="G1692" s="8"/>
      <c r="H1692" s="8"/>
      <c r="I1692" s="10"/>
      <c r="J1692" s="8"/>
    </row>
    <row r="1693" spans="1:10" x14ac:dyDescent="0.15">
      <c r="A1693" s="7"/>
      <c r="B1693" s="8"/>
      <c r="C1693" s="8"/>
      <c r="D1693" s="9"/>
      <c r="E1693" s="8"/>
      <c r="F1693" s="8"/>
      <c r="G1693" s="8"/>
      <c r="H1693" s="8"/>
      <c r="I1693" s="10"/>
      <c r="J1693" s="8"/>
    </row>
    <row r="1694" spans="1:10" x14ac:dyDescent="0.15">
      <c r="A1694" s="7"/>
      <c r="B1694" s="8"/>
      <c r="C1694" s="8"/>
      <c r="D1694" s="9"/>
      <c r="E1694" s="8"/>
      <c r="F1694" s="8"/>
      <c r="G1694" s="8"/>
      <c r="H1694" s="8"/>
      <c r="I1694" s="10"/>
      <c r="J1694" s="8"/>
    </row>
    <row r="1695" spans="1:10" x14ac:dyDescent="0.15">
      <c r="A1695" s="7"/>
      <c r="B1695" s="8"/>
      <c r="C1695" s="8"/>
      <c r="D1695" s="9"/>
      <c r="E1695" s="8"/>
      <c r="F1695" s="8"/>
      <c r="G1695" s="8"/>
      <c r="H1695" s="8"/>
      <c r="I1695" s="10"/>
      <c r="J1695" s="8"/>
    </row>
    <row r="1696" spans="1:10" x14ac:dyDescent="0.15">
      <c r="A1696" s="7"/>
      <c r="B1696" s="8"/>
      <c r="C1696" s="8"/>
      <c r="D1696" s="9"/>
      <c r="E1696" s="8"/>
      <c r="F1696" s="8"/>
      <c r="G1696" s="8"/>
      <c r="H1696" s="8"/>
      <c r="I1696" s="10"/>
      <c r="J1696" s="8"/>
    </row>
    <row r="1697" spans="1:10" x14ac:dyDescent="0.15">
      <c r="A1697" s="7"/>
      <c r="B1697" s="8"/>
      <c r="C1697" s="8"/>
      <c r="D1697" s="9"/>
      <c r="E1697" s="8"/>
      <c r="F1697" s="8"/>
      <c r="G1697" s="8"/>
      <c r="H1697" s="8"/>
      <c r="I1697" s="10"/>
      <c r="J1697" s="8"/>
    </row>
    <row r="1698" spans="1:10" x14ac:dyDescent="0.15">
      <c r="A1698" s="7"/>
      <c r="B1698" s="8"/>
      <c r="C1698" s="8"/>
      <c r="D1698" s="9"/>
      <c r="E1698" s="8"/>
      <c r="F1698" s="8"/>
      <c r="G1698" s="8"/>
      <c r="H1698" s="8"/>
      <c r="I1698" s="10"/>
      <c r="J1698" s="8"/>
    </row>
    <row r="1699" spans="1:10" x14ac:dyDescent="0.15">
      <c r="A1699" s="7"/>
      <c r="B1699" s="8"/>
      <c r="C1699" s="8"/>
      <c r="D1699" s="9"/>
      <c r="E1699" s="8"/>
      <c r="F1699" s="8"/>
      <c r="G1699" s="8"/>
      <c r="H1699" s="8"/>
      <c r="I1699" s="10"/>
      <c r="J1699" s="8"/>
    </row>
    <row r="1700" spans="1:10" x14ac:dyDescent="0.15">
      <c r="A1700" s="7"/>
      <c r="B1700" s="8"/>
      <c r="C1700" s="8"/>
      <c r="D1700" s="9"/>
      <c r="E1700" s="8"/>
      <c r="F1700" s="8"/>
      <c r="G1700" s="8"/>
      <c r="H1700" s="8"/>
      <c r="I1700" s="10"/>
      <c r="J1700" s="8"/>
    </row>
    <row r="1701" spans="1:10" x14ac:dyDescent="0.15">
      <c r="A1701" s="7"/>
      <c r="B1701" s="8"/>
      <c r="C1701" s="8"/>
      <c r="D1701" s="9"/>
      <c r="E1701" s="8"/>
      <c r="F1701" s="8"/>
      <c r="G1701" s="8"/>
      <c r="H1701" s="8"/>
      <c r="I1701" s="10"/>
      <c r="J1701" s="8"/>
    </row>
    <row r="1702" spans="1:10" x14ac:dyDescent="0.15">
      <c r="A1702" s="7"/>
      <c r="B1702" s="8"/>
      <c r="C1702" s="8"/>
      <c r="D1702" s="9"/>
      <c r="E1702" s="8"/>
      <c r="F1702" s="8"/>
      <c r="G1702" s="8"/>
      <c r="H1702" s="8"/>
      <c r="I1702" s="10"/>
      <c r="J1702" s="8"/>
    </row>
    <row r="1703" spans="1:10" x14ac:dyDescent="0.15">
      <c r="A1703" s="7"/>
      <c r="B1703" s="8"/>
      <c r="C1703" s="8"/>
      <c r="D1703" s="9"/>
      <c r="E1703" s="8"/>
      <c r="F1703" s="8"/>
      <c r="G1703" s="8"/>
      <c r="H1703" s="8"/>
      <c r="I1703" s="10"/>
      <c r="J1703" s="8"/>
    </row>
    <row r="1704" spans="1:10" x14ac:dyDescent="0.15">
      <c r="A1704" s="7"/>
      <c r="B1704" s="8"/>
      <c r="C1704" s="8"/>
      <c r="D1704" s="9"/>
      <c r="E1704" s="8"/>
      <c r="F1704" s="8"/>
      <c r="G1704" s="8"/>
      <c r="H1704" s="8"/>
      <c r="I1704" s="10"/>
      <c r="J1704" s="8"/>
    </row>
    <row r="1705" spans="1:10" x14ac:dyDescent="0.15">
      <c r="A1705" s="7"/>
      <c r="B1705" s="8"/>
      <c r="C1705" s="8"/>
      <c r="D1705" s="9"/>
      <c r="E1705" s="8"/>
      <c r="F1705" s="8"/>
      <c r="G1705" s="8"/>
      <c r="H1705" s="8"/>
      <c r="I1705" s="10"/>
      <c r="J1705" s="8"/>
    </row>
    <row r="1706" spans="1:10" x14ac:dyDescent="0.15">
      <c r="A1706" s="7"/>
      <c r="B1706" s="8"/>
      <c r="C1706" s="8"/>
      <c r="D1706" s="9"/>
      <c r="E1706" s="8"/>
      <c r="F1706" s="8"/>
      <c r="G1706" s="8"/>
      <c r="H1706" s="8"/>
      <c r="I1706" s="10"/>
      <c r="J1706" s="8"/>
    </row>
    <row r="1707" spans="1:10" x14ac:dyDescent="0.15">
      <c r="A1707" s="7"/>
      <c r="B1707" s="8"/>
      <c r="C1707" s="8"/>
      <c r="D1707" s="9"/>
      <c r="E1707" s="8"/>
      <c r="F1707" s="8"/>
      <c r="G1707" s="8"/>
      <c r="H1707" s="8"/>
      <c r="I1707" s="10"/>
      <c r="J1707" s="8"/>
    </row>
    <row r="1708" spans="1:10" x14ac:dyDescent="0.15">
      <c r="A1708" s="7"/>
      <c r="B1708" s="8"/>
      <c r="C1708" s="8"/>
      <c r="D1708" s="9"/>
      <c r="E1708" s="8"/>
      <c r="F1708" s="8"/>
      <c r="G1708" s="8"/>
      <c r="H1708" s="8"/>
      <c r="I1708" s="10"/>
      <c r="J1708" s="8"/>
    </row>
    <row r="1709" spans="1:10" x14ac:dyDescent="0.15">
      <c r="A1709" s="7"/>
      <c r="B1709" s="8"/>
      <c r="C1709" s="8"/>
      <c r="D1709" s="9"/>
      <c r="E1709" s="8"/>
      <c r="F1709" s="8"/>
      <c r="G1709" s="8"/>
      <c r="H1709" s="8"/>
      <c r="I1709" s="10"/>
      <c r="J1709" s="8"/>
    </row>
    <row r="1710" spans="1:10" x14ac:dyDescent="0.15">
      <c r="A1710" s="7"/>
      <c r="B1710" s="8"/>
      <c r="C1710" s="8"/>
      <c r="D1710" s="9"/>
      <c r="E1710" s="8"/>
      <c r="F1710" s="8"/>
      <c r="G1710" s="8"/>
      <c r="H1710" s="8"/>
      <c r="I1710" s="10"/>
      <c r="J1710" s="8"/>
    </row>
    <row r="1711" spans="1:10" x14ac:dyDescent="0.15">
      <c r="A1711" s="7"/>
      <c r="B1711" s="8"/>
      <c r="C1711" s="8"/>
      <c r="D1711" s="9"/>
      <c r="E1711" s="8"/>
      <c r="F1711" s="8"/>
      <c r="G1711" s="8"/>
      <c r="H1711" s="8"/>
      <c r="I1711" s="10"/>
      <c r="J1711" s="8"/>
    </row>
    <row r="1712" spans="1:10" x14ac:dyDescent="0.15">
      <c r="A1712" s="7"/>
      <c r="B1712" s="8"/>
      <c r="C1712" s="8"/>
      <c r="D1712" s="9"/>
      <c r="E1712" s="8"/>
      <c r="F1712" s="8"/>
      <c r="G1712" s="8"/>
      <c r="H1712" s="8"/>
      <c r="I1712" s="10"/>
      <c r="J1712" s="8"/>
    </row>
    <row r="1713" spans="1:10" x14ac:dyDescent="0.15">
      <c r="A1713" s="7"/>
      <c r="B1713" s="8"/>
      <c r="C1713" s="8"/>
      <c r="D1713" s="9"/>
      <c r="E1713" s="8"/>
      <c r="F1713" s="8"/>
      <c r="G1713" s="8"/>
      <c r="H1713" s="8"/>
      <c r="I1713" s="10"/>
      <c r="J1713" s="8"/>
    </row>
    <row r="1714" spans="1:10" x14ac:dyDescent="0.15">
      <c r="A1714" s="7"/>
      <c r="B1714" s="8"/>
      <c r="C1714" s="8"/>
      <c r="D1714" s="9"/>
      <c r="E1714" s="8"/>
      <c r="F1714" s="8"/>
      <c r="G1714" s="8"/>
      <c r="H1714" s="8"/>
      <c r="I1714" s="10"/>
      <c r="J1714" s="8"/>
    </row>
    <row r="1715" spans="1:10" x14ac:dyDescent="0.15">
      <c r="A1715" s="7"/>
      <c r="B1715" s="8"/>
      <c r="C1715" s="8"/>
      <c r="D1715" s="9"/>
      <c r="E1715" s="8"/>
      <c r="F1715" s="8"/>
      <c r="G1715" s="8"/>
      <c r="H1715" s="8"/>
      <c r="I1715" s="10"/>
      <c r="J1715" s="8"/>
    </row>
    <row r="1716" spans="1:10" x14ac:dyDescent="0.15">
      <c r="A1716" s="7"/>
      <c r="B1716" s="8"/>
      <c r="C1716" s="8"/>
      <c r="D1716" s="9"/>
      <c r="E1716" s="8"/>
      <c r="F1716" s="8"/>
      <c r="G1716" s="8"/>
      <c r="H1716" s="8"/>
      <c r="I1716" s="10"/>
      <c r="J1716" s="8"/>
    </row>
    <row r="1717" spans="1:10" x14ac:dyDescent="0.15">
      <c r="A1717" s="7"/>
      <c r="B1717" s="8"/>
      <c r="C1717" s="8"/>
      <c r="D1717" s="9"/>
      <c r="E1717" s="8"/>
      <c r="F1717" s="8"/>
      <c r="G1717" s="8"/>
      <c r="H1717" s="8"/>
      <c r="I1717" s="10"/>
      <c r="J1717" s="8"/>
    </row>
    <row r="1718" spans="1:10" x14ac:dyDescent="0.15">
      <c r="A1718" s="7"/>
      <c r="B1718" s="8"/>
      <c r="C1718" s="8"/>
      <c r="D1718" s="9"/>
      <c r="E1718" s="8"/>
      <c r="F1718" s="8"/>
      <c r="G1718" s="8"/>
      <c r="H1718" s="8"/>
      <c r="I1718" s="10"/>
      <c r="J1718" s="8"/>
    </row>
    <row r="1719" spans="1:10" x14ac:dyDescent="0.15">
      <c r="A1719" s="7"/>
      <c r="B1719" s="8"/>
      <c r="C1719" s="8"/>
      <c r="D1719" s="9"/>
      <c r="E1719" s="8"/>
      <c r="F1719" s="8"/>
      <c r="G1719" s="8"/>
      <c r="H1719" s="8"/>
      <c r="I1719" s="10"/>
      <c r="J1719" s="8"/>
    </row>
    <row r="1720" spans="1:10" x14ac:dyDescent="0.15">
      <c r="A1720" s="7"/>
      <c r="B1720" s="8"/>
      <c r="C1720" s="8"/>
      <c r="D1720" s="9"/>
      <c r="E1720" s="8"/>
      <c r="F1720" s="8"/>
      <c r="G1720" s="8"/>
      <c r="H1720" s="8"/>
      <c r="I1720" s="10"/>
      <c r="J1720" s="8"/>
    </row>
    <row r="1721" spans="1:10" x14ac:dyDescent="0.15">
      <c r="A1721" s="7"/>
      <c r="B1721" s="8"/>
      <c r="C1721" s="8"/>
      <c r="D1721" s="9"/>
      <c r="E1721" s="8"/>
      <c r="F1721" s="8"/>
      <c r="G1721" s="8"/>
      <c r="H1721" s="8"/>
      <c r="I1721" s="10"/>
      <c r="J1721" s="8"/>
    </row>
    <row r="1722" spans="1:10" x14ac:dyDescent="0.15">
      <c r="A1722" s="7"/>
      <c r="B1722" s="8"/>
      <c r="C1722" s="8"/>
      <c r="D1722" s="9"/>
      <c r="E1722" s="8"/>
      <c r="F1722" s="8"/>
      <c r="G1722" s="8"/>
      <c r="H1722" s="8"/>
      <c r="I1722" s="10"/>
      <c r="J1722" s="8"/>
    </row>
    <row r="1723" spans="1:10" x14ac:dyDescent="0.15">
      <c r="A1723" s="7"/>
      <c r="B1723" s="8"/>
      <c r="C1723" s="8"/>
      <c r="D1723" s="9"/>
      <c r="E1723" s="8"/>
      <c r="F1723" s="8"/>
      <c r="G1723" s="8"/>
      <c r="H1723" s="8"/>
      <c r="I1723" s="10"/>
      <c r="J1723" s="8"/>
    </row>
    <row r="1724" spans="1:10" x14ac:dyDescent="0.15">
      <c r="A1724" s="7"/>
      <c r="B1724" s="8"/>
      <c r="C1724" s="8"/>
      <c r="D1724" s="9"/>
      <c r="E1724" s="8"/>
      <c r="F1724" s="8"/>
      <c r="G1724" s="8"/>
      <c r="H1724" s="8"/>
      <c r="I1724" s="10"/>
      <c r="J1724" s="8"/>
    </row>
    <row r="1725" spans="1:10" x14ac:dyDescent="0.15">
      <c r="A1725" s="7"/>
      <c r="B1725" s="8"/>
      <c r="C1725" s="8"/>
      <c r="D1725" s="9"/>
      <c r="E1725" s="8"/>
      <c r="F1725" s="8"/>
      <c r="G1725" s="8"/>
      <c r="H1725" s="8"/>
      <c r="I1725" s="10"/>
      <c r="J1725" s="8"/>
    </row>
    <row r="1726" spans="1:10" x14ac:dyDescent="0.15">
      <c r="A1726" s="7"/>
      <c r="B1726" s="8"/>
      <c r="C1726" s="8"/>
      <c r="D1726" s="9"/>
      <c r="E1726" s="8"/>
      <c r="F1726" s="8"/>
      <c r="G1726" s="8"/>
      <c r="H1726" s="8"/>
      <c r="I1726" s="10"/>
      <c r="J1726" s="8"/>
    </row>
    <row r="1727" spans="1:10" x14ac:dyDescent="0.15">
      <c r="A1727" s="7"/>
      <c r="B1727" s="8"/>
      <c r="C1727" s="8"/>
      <c r="D1727" s="9"/>
      <c r="E1727" s="8"/>
      <c r="F1727" s="8"/>
      <c r="G1727" s="8"/>
      <c r="H1727" s="8"/>
      <c r="I1727" s="10"/>
      <c r="J1727" s="8"/>
    </row>
    <row r="1728" spans="1:10" x14ac:dyDescent="0.15">
      <c r="A1728" s="7"/>
      <c r="B1728" s="8"/>
      <c r="C1728" s="8"/>
      <c r="D1728" s="9"/>
      <c r="E1728" s="8"/>
      <c r="F1728" s="8"/>
      <c r="G1728" s="8"/>
      <c r="H1728" s="8"/>
      <c r="I1728" s="10"/>
      <c r="J1728" s="8"/>
    </row>
    <row r="1729" spans="1:10" x14ac:dyDescent="0.15">
      <c r="A1729" s="7"/>
      <c r="B1729" s="8"/>
      <c r="C1729" s="8"/>
      <c r="D1729" s="9"/>
      <c r="E1729" s="8"/>
      <c r="F1729" s="8"/>
      <c r="G1729" s="8"/>
      <c r="H1729" s="8"/>
      <c r="I1729" s="10"/>
      <c r="J1729" s="8"/>
    </row>
    <row r="1730" spans="1:10" x14ac:dyDescent="0.15">
      <c r="A1730" s="7"/>
      <c r="B1730" s="8"/>
      <c r="C1730" s="8"/>
      <c r="D1730" s="9"/>
      <c r="E1730" s="8"/>
      <c r="F1730" s="8"/>
      <c r="G1730" s="8"/>
      <c r="H1730" s="8"/>
      <c r="I1730" s="10"/>
      <c r="J1730" s="8"/>
    </row>
    <row r="1731" spans="1:10" x14ac:dyDescent="0.15">
      <c r="A1731" s="7"/>
      <c r="B1731" s="8"/>
      <c r="C1731" s="8"/>
      <c r="D1731" s="9"/>
      <c r="E1731" s="8"/>
      <c r="F1731" s="8"/>
      <c r="G1731" s="8"/>
      <c r="H1731" s="8"/>
      <c r="I1731" s="10"/>
      <c r="J1731" s="8"/>
    </row>
    <row r="1732" spans="1:10" x14ac:dyDescent="0.15">
      <c r="A1732" s="7"/>
      <c r="B1732" s="8"/>
      <c r="C1732" s="8"/>
      <c r="D1732" s="9"/>
      <c r="E1732" s="8"/>
      <c r="F1732" s="8"/>
      <c r="G1732" s="8"/>
      <c r="H1732" s="8"/>
      <c r="I1732" s="10"/>
      <c r="J1732" s="8"/>
    </row>
    <row r="1733" spans="1:10" x14ac:dyDescent="0.15">
      <c r="A1733" s="7"/>
      <c r="B1733" s="8"/>
      <c r="C1733" s="8"/>
      <c r="D1733" s="9"/>
      <c r="E1733" s="8"/>
      <c r="F1733" s="8"/>
      <c r="G1733" s="8"/>
      <c r="H1733" s="8"/>
      <c r="I1733" s="10"/>
      <c r="J1733" s="8"/>
    </row>
    <row r="1734" spans="1:10" x14ac:dyDescent="0.15">
      <c r="A1734" s="7"/>
      <c r="B1734" s="8"/>
      <c r="C1734" s="8"/>
      <c r="D1734" s="9"/>
      <c r="E1734" s="8"/>
      <c r="F1734" s="8"/>
      <c r="G1734" s="8"/>
      <c r="H1734" s="8"/>
      <c r="I1734" s="10"/>
      <c r="J1734" s="8"/>
    </row>
    <row r="1735" spans="1:10" x14ac:dyDescent="0.15">
      <c r="A1735" s="7"/>
      <c r="B1735" s="8"/>
      <c r="C1735" s="8"/>
      <c r="D1735" s="9"/>
      <c r="E1735" s="8"/>
      <c r="F1735" s="8"/>
      <c r="G1735" s="8"/>
      <c r="H1735" s="8"/>
      <c r="I1735" s="10"/>
      <c r="J1735" s="8"/>
    </row>
    <row r="1736" spans="1:10" x14ac:dyDescent="0.15">
      <c r="A1736" s="7"/>
      <c r="B1736" s="8"/>
      <c r="C1736" s="8"/>
      <c r="D1736" s="9"/>
      <c r="E1736" s="8"/>
      <c r="F1736" s="8"/>
      <c r="G1736" s="8"/>
      <c r="H1736" s="8"/>
      <c r="I1736" s="10"/>
      <c r="J1736" s="8"/>
    </row>
    <row r="1737" spans="1:10" x14ac:dyDescent="0.15">
      <c r="A1737" s="7"/>
      <c r="B1737" s="8"/>
      <c r="C1737" s="8"/>
      <c r="D1737" s="9"/>
      <c r="E1737" s="8"/>
      <c r="F1737" s="8"/>
      <c r="G1737" s="8"/>
      <c r="H1737" s="8"/>
      <c r="I1737" s="10"/>
      <c r="J1737" s="8"/>
    </row>
    <row r="1738" spans="1:10" x14ac:dyDescent="0.15">
      <c r="A1738" s="7"/>
      <c r="B1738" s="8"/>
      <c r="C1738" s="8"/>
      <c r="D1738" s="9"/>
      <c r="E1738" s="8"/>
      <c r="F1738" s="8"/>
      <c r="G1738" s="8"/>
      <c r="H1738" s="8"/>
      <c r="I1738" s="10"/>
      <c r="J1738" s="8"/>
    </row>
    <row r="1739" spans="1:10" x14ac:dyDescent="0.15">
      <c r="A1739" s="7"/>
      <c r="B1739" s="8"/>
      <c r="C1739" s="8"/>
      <c r="D1739" s="9"/>
      <c r="E1739" s="8"/>
      <c r="F1739" s="8"/>
      <c r="G1739" s="8"/>
      <c r="H1739" s="8"/>
      <c r="I1739" s="10"/>
      <c r="J1739" s="8"/>
    </row>
    <row r="1740" spans="1:10" x14ac:dyDescent="0.15">
      <c r="A1740" s="7"/>
      <c r="B1740" s="8"/>
      <c r="C1740" s="8"/>
      <c r="D1740" s="9"/>
      <c r="E1740" s="8"/>
      <c r="F1740" s="8"/>
      <c r="G1740" s="8"/>
      <c r="H1740" s="8"/>
      <c r="I1740" s="10"/>
      <c r="J1740" s="8"/>
    </row>
    <row r="1741" spans="1:10" x14ac:dyDescent="0.15">
      <c r="A1741" s="7"/>
      <c r="B1741" s="8"/>
      <c r="C1741" s="8"/>
      <c r="D1741" s="9"/>
      <c r="E1741" s="8"/>
      <c r="F1741" s="8"/>
      <c r="G1741" s="8"/>
      <c r="H1741" s="8"/>
      <c r="I1741" s="10"/>
      <c r="J1741" s="8"/>
    </row>
    <row r="1742" spans="1:10" x14ac:dyDescent="0.15">
      <c r="A1742" s="7"/>
      <c r="B1742" s="8"/>
      <c r="C1742" s="8"/>
      <c r="D1742" s="9"/>
      <c r="E1742" s="8"/>
      <c r="F1742" s="8"/>
      <c r="G1742" s="8"/>
      <c r="H1742" s="8"/>
      <c r="I1742" s="10"/>
      <c r="J1742" s="8"/>
    </row>
    <row r="1743" spans="1:10" x14ac:dyDescent="0.15">
      <c r="A1743" s="7"/>
      <c r="B1743" s="8"/>
      <c r="C1743" s="8"/>
      <c r="D1743" s="9"/>
      <c r="E1743" s="8"/>
      <c r="F1743" s="8"/>
      <c r="G1743" s="8"/>
      <c r="H1743" s="8"/>
      <c r="I1743" s="10"/>
      <c r="J1743" s="8"/>
    </row>
    <row r="1744" spans="1:10" x14ac:dyDescent="0.15">
      <c r="A1744" s="7"/>
      <c r="B1744" s="8"/>
      <c r="C1744" s="8"/>
      <c r="D1744" s="9"/>
      <c r="E1744" s="8"/>
      <c r="F1744" s="8"/>
      <c r="G1744" s="8"/>
      <c r="H1744" s="8"/>
      <c r="I1744" s="10"/>
      <c r="J1744" s="8"/>
    </row>
    <row r="1745" spans="1:10" x14ac:dyDescent="0.15">
      <c r="A1745" s="7"/>
      <c r="B1745" s="8"/>
      <c r="C1745" s="8"/>
      <c r="D1745" s="9"/>
      <c r="E1745" s="8"/>
      <c r="F1745" s="8"/>
      <c r="G1745" s="8"/>
      <c r="H1745" s="8"/>
      <c r="I1745" s="10"/>
      <c r="J1745" s="8"/>
    </row>
    <row r="1746" spans="1:10" x14ac:dyDescent="0.15">
      <c r="A1746" s="7"/>
      <c r="B1746" s="8"/>
      <c r="C1746" s="8"/>
      <c r="D1746" s="9"/>
      <c r="E1746" s="8"/>
      <c r="F1746" s="8"/>
      <c r="G1746" s="8"/>
      <c r="H1746" s="8"/>
      <c r="I1746" s="10"/>
      <c r="J1746" s="8"/>
    </row>
    <row r="1747" spans="1:10" x14ac:dyDescent="0.15">
      <c r="A1747" s="7"/>
      <c r="B1747" s="8"/>
      <c r="C1747" s="8"/>
      <c r="D1747" s="9"/>
      <c r="E1747" s="8"/>
      <c r="F1747" s="8"/>
      <c r="G1747" s="8"/>
      <c r="H1747" s="8"/>
      <c r="I1747" s="10"/>
      <c r="J1747" s="8"/>
    </row>
    <row r="1748" spans="1:10" x14ac:dyDescent="0.15">
      <c r="A1748" s="7"/>
      <c r="B1748" s="8"/>
      <c r="C1748" s="8"/>
      <c r="D1748" s="9"/>
      <c r="E1748" s="8"/>
      <c r="F1748" s="8"/>
      <c r="G1748" s="8"/>
      <c r="H1748" s="8"/>
      <c r="I1748" s="10"/>
      <c r="J1748" s="8"/>
    </row>
    <row r="1749" spans="1:10" x14ac:dyDescent="0.15">
      <c r="A1749" s="7"/>
      <c r="B1749" s="8"/>
      <c r="C1749" s="8"/>
      <c r="D1749" s="9"/>
      <c r="E1749" s="8"/>
      <c r="F1749" s="8"/>
      <c r="G1749" s="8"/>
      <c r="H1749" s="8"/>
      <c r="I1749" s="10"/>
      <c r="J1749" s="8"/>
    </row>
    <row r="1750" spans="1:10" x14ac:dyDescent="0.15">
      <c r="A1750" s="7"/>
      <c r="B1750" s="8"/>
      <c r="C1750" s="8"/>
      <c r="D1750" s="9"/>
      <c r="E1750" s="8"/>
      <c r="F1750" s="8"/>
      <c r="G1750" s="8"/>
      <c r="H1750" s="8"/>
      <c r="I1750" s="10"/>
      <c r="J1750" s="8"/>
    </row>
    <row r="1751" spans="1:10" x14ac:dyDescent="0.15">
      <c r="A1751" s="7"/>
      <c r="B1751" s="8"/>
      <c r="C1751" s="8"/>
      <c r="D1751" s="9"/>
      <c r="E1751" s="8"/>
      <c r="F1751" s="8"/>
      <c r="G1751" s="8"/>
      <c r="H1751" s="8"/>
      <c r="I1751" s="10"/>
      <c r="J1751" s="8"/>
    </row>
    <row r="1752" spans="1:10" x14ac:dyDescent="0.15">
      <c r="A1752" s="7"/>
      <c r="B1752" s="8"/>
      <c r="C1752" s="8"/>
      <c r="D1752" s="9"/>
      <c r="E1752" s="8"/>
      <c r="F1752" s="8"/>
      <c r="G1752" s="8"/>
      <c r="H1752" s="8"/>
      <c r="I1752" s="10"/>
      <c r="J1752" s="8"/>
    </row>
    <row r="1753" spans="1:10" x14ac:dyDescent="0.15">
      <c r="A1753" s="7"/>
      <c r="B1753" s="8"/>
      <c r="C1753" s="8"/>
      <c r="D1753" s="9"/>
      <c r="E1753" s="8"/>
      <c r="F1753" s="8"/>
      <c r="G1753" s="8"/>
      <c r="H1753" s="8"/>
      <c r="I1753" s="10"/>
      <c r="J1753" s="8"/>
    </row>
    <row r="1754" spans="1:10" x14ac:dyDescent="0.15">
      <c r="A1754" s="7"/>
      <c r="B1754" s="8"/>
      <c r="C1754" s="8"/>
      <c r="D1754" s="9"/>
      <c r="E1754" s="8"/>
      <c r="F1754" s="8"/>
      <c r="G1754" s="8"/>
      <c r="H1754" s="8"/>
      <c r="I1754" s="10"/>
      <c r="J1754" s="8"/>
    </row>
    <row r="1755" spans="1:10" x14ac:dyDescent="0.15">
      <c r="A1755" s="7"/>
      <c r="B1755" s="8"/>
      <c r="C1755" s="8"/>
      <c r="D1755" s="9"/>
      <c r="E1755" s="8"/>
      <c r="F1755" s="8"/>
      <c r="G1755" s="8"/>
      <c r="H1755" s="8"/>
      <c r="I1755" s="10"/>
      <c r="J1755" s="8"/>
    </row>
    <row r="1756" spans="1:10" x14ac:dyDescent="0.15">
      <c r="A1756" s="7"/>
      <c r="B1756" s="8"/>
      <c r="C1756" s="8"/>
      <c r="D1756" s="9"/>
      <c r="E1756" s="8"/>
      <c r="F1756" s="8"/>
      <c r="G1756" s="8"/>
      <c r="H1756" s="8"/>
      <c r="I1756" s="10"/>
      <c r="J1756" s="8"/>
    </row>
    <row r="1757" spans="1:10" x14ac:dyDescent="0.15">
      <c r="A1757" s="7"/>
      <c r="B1757" s="8"/>
      <c r="C1757" s="8"/>
      <c r="D1757" s="9"/>
      <c r="E1757" s="8"/>
      <c r="F1757" s="8"/>
      <c r="G1757" s="8"/>
      <c r="H1757" s="8"/>
      <c r="I1757" s="10"/>
      <c r="J1757" s="8"/>
    </row>
    <row r="1758" spans="1:10" x14ac:dyDescent="0.15">
      <c r="A1758" s="7"/>
      <c r="B1758" s="8"/>
      <c r="C1758" s="8"/>
      <c r="D1758" s="9"/>
      <c r="E1758" s="8"/>
      <c r="F1758" s="8"/>
      <c r="G1758" s="8"/>
      <c r="H1758" s="8"/>
      <c r="I1758" s="10"/>
      <c r="J1758" s="8"/>
    </row>
    <row r="1759" spans="1:10" x14ac:dyDescent="0.15">
      <c r="A1759" s="7"/>
      <c r="B1759" s="8"/>
      <c r="C1759" s="8"/>
      <c r="D1759" s="9"/>
      <c r="E1759" s="8"/>
      <c r="F1759" s="8"/>
      <c r="G1759" s="8"/>
      <c r="H1759" s="8"/>
      <c r="I1759" s="10"/>
      <c r="J1759" s="8"/>
    </row>
    <row r="1760" spans="1:10" x14ac:dyDescent="0.15">
      <c r="A1760" s="7"/>
      <c r="B1760" s="8"/>
      <c r="C1760" s="8"/>
      <c r="D1760" s="9"/>
      <c r="E1760" s="8"/>
      <c r="F1760" s="8"/>
      <c r="G1760" s="8"/>
      <c r="H1760" s="8"/>
      <c r="I1760" s="10"/>
      <c r="J1760" s="8"/>
    </row>
    <row r="1761" spans="1:10" x14ac:dyDescent="0.15">
      <c r="A1761" s="7"/>
      <c r="B1761" s="8"/>
      <c r="C1761" s="8"/>
      <c r="D1761" s="9"/>
      <c r="E1761" s="8"/>
      <c r="F1761" s="8"/>
      <c r="G1761" s="8"/>
      <c r="H1761" s="8"/>
      <c r="I1761" s="10"/>
      <c r="J1761" s="8"/>
    </row>
    <row r="1762" spans="1:10" x14ac:dyDescent="0.15">
      <c r="A1762" s="7"/>
      <c r="B1762" s="8"/>
      <c r="C1762" s="8"/>
      <c r="D1762" s="9"/>
      <c r="E1762" s="8"/>
      <c r="F1762" s="8"/>
      <c r="G1762" s="8"/>
      <c r="H1762" s="8"/>
      <c r="I1762" s="10"/>
      <c r="J1762" s="8"/>
    </row>
    <row r="1763" spans="1:10" x14ac:dyDescent="0.15">
      <c r="A1763" s="7"/>
      <c r="B1763" s="8"/>
      <c r="C1763" s="8"/>
      <c r="D1763" s="9"/>
      <c r="E1763" s="8"/>
      <c r="F1763" s="8"/>
      <c r="G1763" s="8"/>
      <c r="H1763" s="8"/>
      <c r="I1763" s="10"/>
      <c r="J1763" s="8"/>
    </row>
    <row r="1764" spans="1:10" x14ac:dyDescent="0.15">
      <c r="A1764" s="7"/>
      <c r="B1764" s="8"/>
      <c r="C1764" s="8"/>
      <c r="D1764" s="9"/>
      <c r="E1764" s="8"/>
      <c r="F1764" s="8"/>
      <c r="G1764" s="8"/>
      <c r="H1764" s="8"/>
      <c r="I1764" s="10"/>
      <c r="J1764" s="8"/>
    </row>
    <row r="1765" spans="1:10" x14ac:dyDescent="0.15">
      <c r="A1765" s="7"/>
      <c r="B1765" s="8"/>
      <c r="C1765" s="8"/>
      <c r="D1765" s="9"/>
      <c r="E1765" s="8"/>
      <c r="F1765" s="8"/>
      <c r="G1765" s="8"/>
      <c r="H1765" s="8"/>
      <c r="I1765" s="10"/>
      <c r="J1765" s="8"/>
    </row>
    <row r="1766" spans="1:10" x14ac:dyDescent="0.15">
      <c r="A1766" s="7"/>
      <c r="B1766" s="8"/>
      <c r="C1766" s="8"/>
      <c r="D1766" s="9"/>
      <c r="E1766" s="8"/>
      <c r="F1766" s="8"/>
      <c r="G1766" s="8"/>
      <c r="H1766" s="8"/>
      <c r="I1766" s="10"/>
      <c r="J1766" s="8"/>
    </row>
    <row r="1767" spans="1:10" x14ac:dyDescent="0.15">
      <c r="A1767" s="7"/>
      <c r="B1767" s="8"/>
      <c r="C1767" s="8"/>
      <c r="D1767" s="9"/>
      <c r="E1767" s="8"/>
      <c r="F1767" s="8"/>
      <c r="G1767" s="8"/>
      <c r="H1767" s="8"/>
      <c r="I1767" s="10"/>
      <c r="J1767" s="8"/>
    </row>
    <row r="1768" spans="1:10" x14ac:dyDescent="0.15">
      <c r="A1768" s="7"/>
      <c r="B1768" s="8"/>
      <c r="C1768" s="8"/>
      <c r="D1768" s="9"/>
      <c r="E1768" s="8"/>
      <c r="F1768" s="8"/>
      <c r="G1768" s="8"/>
      <c r="H1768" s="8"/>
      <c r="I1768" s="10"/>
      <c r="J1768" s="8"/>
    </row>
    <row r="1769" spans="1:10" x14ac:dyDescent="0.15">
      <c r="A1769" s="7"/>
      <c r="B1769" s="8"/>
      <c r="C1769" s="8"/>
      <c r="D1769" s="9"/>
      <c r="E1769" s="8"/>
      <c r="F1769" s="8"/>
      <c r="G1769" s="8"/>
      <c r="H1769" s="8"/>
      <c r="I1769" s="10"/>
      <c r="J1769" s="8"/>
    </row>
    <row r="1770" spans="1:10" x14ac:dyDescent="0.15">
      <c r="A1770" s="7"/>
      <c r="B1770" s="8"/>
      <c r="C1770" s="8"/>
      <c r="D1770" s="9"/>
      <c r="E1770" s="8"/>
      <c r="F1770" s="8"/>
      <c r="G1770" s="8"/>
      <c r="H1770" s="8"/>
      <c r="I1770" s="10"/>
      <c r="J1770" s="8"/>
    </row>
    <row r="1771" spans="1:10" x14ac:dyDescent="0.15">
      <c r="A1771" s="7"/>
      <c r="B1771" s="8"/>
      <c r="C1771" s="8"/>
      <c r="D1771" s="9"/>
      <c r="E1771" s="8"/>
      <c r="F1771" s="8"/>
      <c r="G1771" s="8"/>
      <c r="H1771" s="8"/>
      <c r="I1771" s="10"/>
      <c r="J1771" s="8"/>
    </row>
    <row r="1772" spans="1:10" x14ac:dyDescent="0.15">
      <c r="A1772" s="7"/>
      <c r="B1772" s="8"/>
      <c r="C1772" s="8"/>
      <c r="D1772" s="9"/>
      <c r="E1772" s="8"/>
      <c r="F1772" s="8"/>
      <c r="G1772" s="8"/>
      <c r="H1772" s="8"/>
      <c r="I1772" s="10"/>
      <c r="J1772" s="8"/>
    </row>
    <row r="1773" spans="1:10" x14ac:dyDescent="0.15">
      <c r="A1773" s="7"/>
      <c r="B1773" s="8"/>
      <c r="C1773" s="8"/>
      <c r="D1773" s="9"/>
      <c r="E1773" s="8"/>
      <c r="F1773" s="8"/>
      <c r="G1773" s="8"/>
      <c r="H1773" s="8"/>
      <c r="I1773" s="10"/>
      <c r="J1773" s="8"/>
    </row>
    <row r="1774" spans="1:10" x14ac:dyDescent="0.15">
      <c r="A1774" s="7"/>
      <c r="B1774" s="8"/>
      <c r="C1774" s="8"/>
      <c r="D1774" s="9"/>
      <c r="E1774" s="8"/>
      <c r="F1774" s="8"/>
      <c r="G1774" s="8"/>
      <c r="H1774" s="8"/>
      <c r="I1774" s="10"/>
      <c r="J1774" s="8"/>
    </row>
    <row r="1775" spans="1:10" x14ac:dyDescent="0.15">
      <c r="A1775" s="7"/>
      <c r="B1775" s="8"/>
      <c r="C1775" s="8"/>
      <c r="D1775" s="9"/>
      <c r="E1775" s="8"/>
      <c r="F1775" s="8"/>
      <c r="G1775" s="8"/>
      <c r="H1775" s="8"/>
      <c r="I1775" s="10"/>
      <c r="J1775" s="8"/>
    </row>
    <row r="1776" spans="1:10" x14ac:dyDescent="0.15">
      <c r="A1776" s="7"/>
      <c r="B1776" s="8"/>
      <c r="C1776" s="8"/>
      <c r="D1776" s="9"/>
      <c r="E1776" s="8"/>
      <c r="F1776" s="8"/>
      <c r="G1776" s="8"/>
      <c r="H1776" s="8"/>
      <c r="I1776" s="10"/>
      <c r="J1776" s="8"/>
    </row>
    <row r="1777" spans="1:10" x14ac:dyDescent="0.15">
      <c r="A1777" s="7"/>
      <c r="B1777" s="8"/>
      <c r="C1777" s="8"/>
      <c r="D1777" s="9"/>
      <c r="E1777" s="8"/>
      <c r="F1777" s="8"/>
      <c r="G1777" s="8"/>
      <c r="H1777" s="8"/>
      <c r="I1777" s="10"/>
      <c r="J1777" s="8"/>
    </row>
    <row r="1778" spans="1:10" x14ac:dyDescent="0.15">
      <c r="A1778" s="7"/>
      <c r="B1778" s="8"/>
      <c r="C1778" s="8"/>
      <c r="D1778" s="9"/>
      <c r="E1778" s="8"/>
      <c r="F1778" s="8"/>
      <c r="G1778" s="8"/>
      <c r="H1778" s="8"/>
      <c r="I1778" s="10"/>
      <c r="J1778" s="8"/>
    </row>
    <row r="1779" spans="1:10" x14ac:dyDescent="0.15">
      <c r="A1779" s="7"/>
      <c r="B1779" s="8"/>
      <c r="C1779" s="8"/>
      <c r="D1779" s="9"/>
      <c r="E1779" s="8"/>
      <c r="F1779" s="8"/>
      <c r="G1779" s="8"/>
      <c r="H1779" s="8"/>
      <c r="I1779" s="10"/>
      <c r="J1779" s="8"/>
    </row>
    <row r="1780" spans="1:10" x14ac:dyDescent="0.15">
      <c r="A1780" s="7"/>
      <c r="B1780" s="8"/>
      <c r="C1780" s="8"/>
      <c r="D1780" s="9"/>
      <c r="E1780" s="8"/>
      <c r="F1780" s="8"/>
      <c r="G1780" s="8"/>
      <c r="H1780" s="8"/>
      <c r="I1780" s="10"/>
      <c r="J1780" s="8"/>
    </row>
    <row r="1781" spans="1:10" x14ac:dyDescent="0.15">
      <c r="A1781" s="7"/>
      <c r="B1781" s="8"/>
      <c r="C1781" s="8"/>
      <c r="D1781" s="9"/>
      <c r="E1781" s="8"/>
      <c r="F1781" s="8"/>
      <c r="G1781" s="8"/>
      <c r="H1781" s="8"/>
      <c r="I1781" s="10"/>
      <c r="J1781" s="8"/>
    </row>
    <row r="1782" spans="1:10" x14ac:dyDescent="0.15">
      <c r="A1782" s="7"/>
      <c r="B1782" s="8"/>
      <c r="C1782" s="8"/>
      <c r="D1782" s="9"/>
      <c r="E1782" s="8"/>
      <c r="F1782" s="8"/>
      <c r="G1782" s="8"/>
      <c r="H1782" s="8"/>
      <c r="I1782" s="10"/>
      <c r="J1782" s="8"/>
    </row>
    <row r="1783" spans="1:10" x14ac:dyDescent="0.15">
      <c r="A1783" s="7"/>
      <c r="B1783" s="8"/>
      <c r="C1783" s="8"/>
      <c r="D1783" s="9"/>
      <c r="E1783" s="8"/>
      <c r="F1783" s="8"/>
      <c r="G1783" s="8"/>
      <c r="H1783" s="8"/>
      <c r="I1783" s="10"/>
      <c r="J1783" s="8"/>
    </row>
    <row r="1784" spans="1:10" x14ac:dyDescent="0.15">
      <c r="A1784" s="7"/>
      <c r="B1784" s="8"/>
      <c r="C1784" s="8"/>
      <c r="D1784" s="9"/>
      <c r="E1784" s="8"/>
      <c r="F1784" s="8"/>
      <c r="G1784" s="8"/>
      <c r="H1784" s="8"/>
      <c r="I1784" s="10"/>
      <c r="J1784" s="8"/>
    </row>
    <row r="1785" spans="1:10" x14ac:dyDescent="0.15">
      <c r="A1785" s="7"/>
      <c r="B1785" s="8"/>
      <c r="C1785" s="8"/>
      <c r="D1785" s="9"/>
      <c r="E1785" s="8"/>
      <c r="F1785" s="8"/>
      <c r="G1785" s="8"/>
      <c r="H1785" s="8"/>
      <c r="I1785" s="10"/>
      <c r="J1785" s="8"/>
    </row>
    <row r="1786" spans="1:10" x14ac:dyDescent="0.15">
      <c r="A1786" s="7"/>
      <c r="B1786" s="8"/>
      <c r="C1786" s="8"/>
      <c r="D1786" s="9"/>
      <c r="E1786" s="8"/>
      <c r="F1786" s="8"/>
      <c r="G1786" s="8"/>
      <c r="H1786" s="8"/>
      <c r="I1786" s="10"/>
      <c r="J1786" s="8"/>
    </row>
    <row r="1787" spans="1:10" x14ac:dyDescent="0.15">
      <c r="A1787" s="7"/>
      <c r="B1787" s="8"/>
      <c r="C1787" s="8"/>
      <c r="D1787" s="9"/>
      <c r="E1787" s="8"/>
      <c r="F1787" s="8"/>
      <c r="G1787" s="8"/>
      <c r="H1787" s="8"/>
      <c r="I1787" s="10"/>
      <c r="J1787" s="8"/>
    </row>
    <row r="1788" spans="1:10" x14ac:dyDescent="0.15">
      <c r="A1788" s="7"/>
      <c r="B1788" s="8"/>
      <c r="C1788" s="8"/>
      <c r="D1788" s="9"/>
      <c r="E1788" s="8"/>
      <c r="F1788" s="8"/>
      <c r="G1788" s="8"/>
      <c r="H1788" s="8"/>
      <c r="I1788" s="10"/>
      <c r="J1788" s="8"/>
    </row>
    <row r="1789" spans="1:10" x14ac:dyDescent="0.15">
      <c r="A1789" s="7"/>
      <c r="B1789" s="8"/>
      <c r="C1789" s="8"/>
      <c r="D1789" s="9"/>
      <c r="E1789" s="8"/>
      <c r="F1789" s="8"/>
      <c r="G1789" s="8"/>
      <c r="H1789" s="8"/>
      <c r="I1789" s="10"/>
      <c r="J1789" s="8"/>
    </row>
    <row r="1790" spans="1:10" x14ac:dyDescent="0.15">
      <c r="A1790" s="7"/>
      <c r="B1790" s="8"/>
      <c r="C1790" s="8"/>
      <c r="D1790" s="9"/>
      <c r="E1790" s="8"/>
      <c r="F1790" s="8"/>
      <c r="G1790" s="8"/>
      <c r="H1790" s="8"/>
      <c r="I1790" s="10"/>
      <c r="J1790" s="8"/>
    </row>
    <row r="1791" spans="1:10" x14ac:dyDescent="0.15">
      <c r="A1791" s="7"/>
      <c r="B1791" s="8"/>
      <c r="C1791" s="8"/>
      <c r="D1791" s="9"/>
      <c r="E1791" s="8"/>
      <c r="F1791" s="8"/>
      <c r="G1791" s="8"/>
      <c r="H1791" s="8"/>
      <c r="I1791" s="10"/>
      <c r="J1791" s="8"/>
    </row>
    <row r="1792" spans="1:10" x14ac:dyDescent="0.15">
      <c r="A1792" s="7"/>
      <c r="B1792" s="8"/>
      <c r="C1792" s="8"/>
      <c r="D1792" s="9"/>
      <c r="E1792" s="8"/>
      <c r="F1792" s="8"/>
      <c r="G1792" s="8"/>
      <c r="H1792" s="8"/>
      <c r="I1792" s="10"/>
      <c r="J1792" s="8"/>
    </row>
    <row r="1793" spans="1:10" x14ac:dyDescent="0.15">
      <c r="A1793" s="7"/>
      <c r="B1793" s="8"/>
      <c r="C1793" s="8"/>
      <c r="D1793" s="9"/>
      <c r="E1793" s="8"/>
      <c r="F1793" s="8"/>
      <c r="G1793" s="8"/>
      <c r="H1793" s="8"/>
      <c r="I1793" s="10"/>
      <c r="J1793" s="8"/>
    </row>
    <row r="1794" spans="1:10" x14ac:dyDescent="0.15">
      <c r="A1794" s="7"/>
      <c r="B1794" s="8"/>
      <c r="C1794" s="8"/>
      <c r="D1794" s="9"/>
      <c r="E1794" s="8"/>
      <c r="F1794" s="8"/>
      <c r="G1794" s="8"/>
      <c r="H1794" s="8"/>
      <c r="I1794" s="10"/>
      <c r="J1794" s="8"/>
    </row>
    <row r="1795" spans="1:10" x14ac:dyDescent="0.15">
      <c r="A1795" s="7"/>
      <c r="B1795" s="8"/>
      <c r="C1795" s="8"/>
      <c r="D1795" s="9"/>
      <c r="E1795" s="8"/>
      <c r="F1795" s="8"/>
      <c r="G1795" s="8"/>
      <c r="H1795" s="8"/>
      <c r="I1795" s="10"/>
      <c r="J1795" s="8"/>
    </row>
    <row r="1796" spans="1:10" x14ac:dyDescent="0.15">
      <c r="A1796" s="7"/>
      <c r="B1796" s="8"/>
      <c r="C1796" s="8"/>
      <c r="D1796" s="9"/>
      <c r="E1796" s="8"/>
      <c r="F1796" s="8"/>
      <c r="G1796" s="8"/>
      <c r="H1796" s="8"/>
      <c r="I1796" s="10"/>
      <c r="J1796" s="8"/>
    </row>
    <row r="1797" spans="1:10" x14ac:dyDescent="0.15">
      <c r="A1797" s="7"/>
      <c r="B1797" s="8"/>
      <c r="C1797" s="8"/>
      <c r="D1797" s="9"/>
      <c r="E1797" s="8"/>
      <c r="F1797" s="8"/>
      <c r="G1797" s="8"/>
      <c r="H1797" s="8"/>
      <c r="I1797" s="10"/>
      <c r="J1797" s="8"/>
    </row>
    <row r="1798" spans="1:10" x14ac:dyDescent="0.15">
      <c r="A1798" s="7"/>
      <c r="B1798" s="8"/>
      <c r="C1798" s="8"/>
      <c r="D1798" s="9"/>
      <c r="E1798" s="8"/>
      <c r="F1798" s="8"/>
      <c r="G1798" s="8"/>
      <c r="H1798" s="8"/>
      <c r="I1798" s="10"/>
      <c r="J1798" s="8"/>
    </row>
    <row r="1799" spans="1:10" x14ac:dyDescent="0.15">
      <c r="A1799" s="7"/>
      <c r="B1799" s="8"/>
      <c r="C1799" s="8"/>
      <c r="D1799" s="9"/>
      <c r="E1799" s="8"/>
      <c r="F1799" s="8"/>
      <c r="G1799" s="8"/>
      <c r="H1799" s="8"/>
      <c r="I1799" s="10"/>
      <c r="J1799" s="8"/>
    </row>
    <row r="1800" spans="1:10" x14ac:dyDescent="0.15">
      <c r="A1800" s="7"/>
      <c r="B1800" s="8"/>
      <c r="C1800" s="8"/>
      <c r="D1800" s="9"/>
      <c r="E1800" s="8"/>
      <c r="F1800" s="8"/>
      <c r="G1800" s="8"/>
      <c r="H1800" s="8"/>
      <c r="I1800" s="10"/>
      <c r="J1800" s="8"/>
    </row>
    <row r="1801" spans="1:10" x14ac:dyDescent="0.15">
      <c r="A1801" s="7"/>
      <c r="B1801" s="8"/>
      <c r="C1801" s="8"/>
      <c r="D1801" s="9"/>
      <c r="E1801" s="8"/>
      <c r="F1801" s="8"/>
      <c r="G1801" s="8"/>
      <c r="H1801" s="8"/>
      <c r="I1801" s="10"/>
      <c r="J1801" s="8"/>
    </row>
    <row r="1802" spans="1:10" x14ac:dyDescent="0.15">
      <c r="A1802" s="7"/>
      <c r="B1802" s="8"/>
      <c r="C1802" s="8"/>
      <c r="D1802" s="9"/>
      <c r="E1802" s="8"/>
      <c r="F1802" s="8"/>
      <c r="G1802" s="8"/>
      <c r="H1802" s="8"/>
      <c r="I1802" s="10"/>
      <c r="J1802" s="8"/>
    </row>
    <row r="1803" spans="1:10" x14ac:dyDescent="0.15">
      <c r="A1803" s="7"/>
      <c r="B1803" s="8"/>
      <c r="C1803" s="8"/>
      <c r="D1803" s="9"/>
      <c r="E1803" s="8"/>
      <c r="F1803" s="8"/>
      <c r="G1803" s="8"/>
      <c r="H1803" s="8"/>
      <c r="I1803" s="10"/>
      <c r="J1803" s="8"/>
    </row>
    <row r="1804" spans="1:10" x14ac:dyDescent="0.15">
      <c r="A1804" s="7"/>
      <c r="B1804" s="8"/>
      <c r="C1804" s="8"/>
      <c r="D1804" s="9"/>
      <c r="E1804" s="8"/>
      <c r="F1804" s="8"/>
      <c r="G1804" s="8"/>
      <c r="H1804" s="8"/>
      <c r="I1804" s="10"/>
      <c r="J1804" s="8"/>
    </row>
    <row r="1805" spans="1:10" x14ac:dyDescent="0.15">
      <c r="A1805" s="7"/>
      <c r="B1805" s="8"/>
      <c r="C1805" s="8"/>
      <c r="D1805" s="9"/>
      <c r="E1805" s="8"/>
      <c r="F1805" s="8"/>
      <c r="G1805" s="8"/>
      <c r="H1805" s="8"/>
      <c r="I1805" s="10"/>
      <c r="J1805" s="8"/>
    </row>
    <row r="1806" spans="1:10" x14ac:dyDescent="0.15">
      <c r="A1806" s="7"/>
      <c r="B1806" s="8"/>
      <c r="C1806" s="8"/>
      <c r="D1806" s="9"/>
      <c r="E1806" s="8"/>
      <c r="F1806" s="8"/>
      <c r="G1806" s="8"/>
      <c r="H1806" s="8"/>
      <c r="I1806" s="10"/>
      <c r="J1806" s="8"/>
    </row>
    <row r="1807" spans="1:10" x14ac:dyDescent="0.15">
      <c r="A1807" s="7"/>
      <c r="B1807" s="8"/>
      <c r="C1807" s="8"/>
      <c r="D1807" s="9"/>
      <c r="E1807" s="8"/>
      <c r="F1807" s="8"/>
      <c r="G1807" s="8"/>
      <c r="H1807" s="8"/>
      <c r="I1807" s="10"/>
      <c r="J1807" s="8"/>
    </row>
    <row r="1808" spans="1:10" x14ac:dyDescent="0.15">
      <c r="A1808" s="7"/>
      <c r="B1808" s="8"/>
      <c r="C1808" s="8"/>
      <c r="D1808" s="9"/>
      <c r="E1808" s="8"/>
      <c r="F1808" s="8"/>
      <c r="G1808" s="8"/>
      <c r="H1808" s="8"/>
      <c r="I1808" s="10"/>
      <c r="J1808" s="8"/>
    </row>
    <row r="1809" spans="1:10" x14ac:dyDescent="0.15">
      <c r="A1809" s="7"/>
      <c r="B1809" s="8"/>
      <c r="C1809" s="8"/>
      <c r="D1809" s="9"/>
      <c r="E1809" s="8"/>
      <c r="F1809" s="8"/>
      <c r="G1809" s="8"/>
      <c r="H1809" s="8"/>
      <c r="I1809" s="10"/>
      <c r="J1809" s="8"/>
    </row>
    <row r="1810" spans="1:10" x14ac:dyDescent="0.15">
      <c r="A1810" s="7"/>
      <c r="B1810" s="8"/>
      <c r="C1810" s="8"/>
      <c r="D1810" s="9"/>
      <c r="E1810" s="8"/>
      <c r="F1810" s="8"/>
      <c r="G1810" s="8"/>
      <c r="H1810" s="8"/>
      <c r="I1810" s="10"/>
      <c r="J1810" s="8"/>
    </row>
    <row r="1811" spans="1:10" x14ac:dyDescent="0.15">
      <c r="A1811" s="7"/>
      <c r="B1811" s="8"/>
      <c r="C1811" s="8"/>
      <c r="D1811" s="9"/>
      <c r="E1811" s="8"/>
      <c r="F1811" s="8"/>
      <c r="G1811" s="8"/>
      <c r="H1811" s="8"/>
      <c r="I1811" s="10"/>
      <c r="J1811" s="8"/>
    </row>
    <row r="1812" spans="1:10" x14ac:dyDescent="0.15">
      <c r="A1812" s="7"/>
      <c r="B1812" s="8"/>
      <c r="C1812" s="8"/>
      <c r="D1812" s="9"/>
      <c r="E1812" s="8"/>
      <c r="F1812" s="8"/>
      <c r="G1812" s="8"/>
      <c r="H1812" s="8"/>
      <c r="I1812" s="10"/>
      <c r="J1812" s="8"/>
    </row>
    <row r="1813" spans="1:10" x14ac:dyDescent="0.15">
      <c r="A1813" s="7"/>
      <c r="B1813" s="8"/>
      <c r="C1813" s="8"/>
      <c r="D1813" s="9"/>
      <c r="E1813" s="8"/>
      <c r="F1813" s="8"/>
      <c r="G1813" s="8"/>
      <c r="H1813" s="8"/>
      <c r="I1813" s="10"/>
      <c r="J1813" s="8"/>
    </row>
    <row r="1814" spans="1:10" x14ac:dyDescent="0.15">
      <c r="A1814" s="7"/>
      <c r="B1814" s="8"/>
      <c r="C1814" s="8"/>
      <c r="D1814" s="9"/>
      <c r="E1814" s="8"/>
      <c r="F1814" s="8"/>
      <c r="G1814" s="8"/>
      <c r="H1814" s="8"/>
      <c r="I1814" s="10"/>
      <c r="J1814" s="8"/>
    </row>
    <row r="1815" spans="1:10" x14ac:dyDescent="0.15">
      <c r="A1815" s="7"/>
      <c r="B1815" s="8"/>
      <c r="C1815" s="8"/>
      <c r="D1815" s="9"/>
      <c r="E1815" s="8"/>
      <c r="F1815" s="8"/>
      <c r="G1815" s="8"/>
      <c r="H1815" s="8"/>
      <c r="I1815" s="10"/>
      <c r="J1815" s="8"/>
    </row>
    <row r="1816" spans="1:10" x14ac:dyDescent="0.15">
      <c r="A1816" s="7"/>
      <c r="B1816" s="8"/>
      <c r="C1816" s="8"/>
      <c r="D1816" s="9"/>
      <c r="E1816" s="8"/>
      <c r="F1816" s="8"/>
      <c r="G1816" s="8"/>
      <c r="H1816" s="8"/>
      <c r="I1816" s="10"/>
      <c r="J1816" s="8"/>
    </row>
    <row r="1817" spans="1:10" x14ac:dyDescent="0.15">
      <c r="A1817" s="7"/>
      <c r="B1817" s="8"/>
      <c r="C1817" s="8"/>
      <c r="D1817" s="9"/>
      <c r="E1817" s="8"/>
      <c r="F1817" s="8"/>
      <c r="G1817" s="8"/>
      <c r="H1817" s="8"/>
      <c r="I1817" s="10"/>
      <c r="J1817" s="8"/>
    </row>
    <row r="1818" spans="1:10" x14ac:dyDescent="0.15">
      <c r="A1818" s="7"/>
      <c r="B1818" s="8"/>
      <c r="C1818" s="8"/>
      <c r="D1818" s="9"/>
      <c r="E1818" s="8"/>
      <c r="F1818" s="8"/>
      <c r="G1818" s="8"/>
      <c r="H1818" s="8"/>
      <c r="I1818" s="10"/>
      <c r="J1818" s="8"/>
    </row>
    <row r="1819" spans="1:10" x14ac:dyDescent="0.15">
      <c r="A1819" s="7"/>
      <c r="B1819" s="8"/>
      <c r="C1819" s="8"/>
      <c r="D1819" s="9"/>
      <c r="E1819" s="8"/>
      <c r="F1819" s="8"/>
      <c r="G1819" s="8"/>
      <c r="H1819" s="8"/>
      <c r="I1819" s="10"/>
      <c r="J1819" s="8"/>
    </row>
    <row r="1820" spans="1:10" x14ac:dyDescent="0.15">
      <c r="A1820" s="7"/>
      <c r="B1820" s="8"/>
      <c r="C1820" s="8"/>
      <c r="D1820" s="9"/>
      <c r="E1820" s="8"/>
      <c r="F1820" s="8"/>
      <c r="G1820" s="8"/>
      <c r="H1820" s="8"/>
      <c r="I1820" s="10"/>
      <c r="J1820" s="8"/>
    </row>
    <row r="1821" spans="1:10" x14ac:dyDescent="0.15">
      <c r="A1821" s="7"/>
      <c r="B1821" s="8"/>
      <c r="C1821" s="8"/>
      <c r="D1821" s="9"/>
      <c r="E1821" s="8"/>
      <c r="F1821" s="8"/>
      <c r="G1821" s="8"/>
      <c r="H1821" s="8"/>
      <c r="I1821" s="10"/>
      <c r="J1821" s="8"/>
    </row>
    <row r="1822" spans="1:10" x14ac:dyDescent="0.15">
      <c r="A1822" s="7"/>
      <c r="B1822" s="8"/>
      <c r="C1822" s="8"/>
      <c r="D1822" s="9"/>
      <c r="E1822" s="8"/>
      <c r="F1822" s="8"/>
      <c r="G1822" s="8"/>
      <c r="H1822" s="8"/>
      <c r="I1822" s="10"/>
      <c r="J1822" s="8"/>
    </row>
    <row r="1823" spans="1:10" x14ac:dyDescent="0.15">
      <c r="A1823" s="7"/>
      <c r="B1823" s="8"/>
      <c r="C1823" s="8"/>
      <c r="D1823" s="9"/>
      <c r="E1823" s="8"/>
      <c r="F1823" s="8"/>
      <c r="G1823" s="8"/>
      <c r="H1823" s="8"/>
      <c r="I1823" s="10"/>
      <c r="J1823" s="8"/>
    </row>
    <row r="1824" spans="1:10" x14ac:dyDescent="0.15">
      <c r="A1824" s="7"/>
      <c r="B1824" s="8"/>
      <c r="C1824" s="8"/>
      <c r="D1824" s="9"/>
      <c r="E1824" s="8"/>
      <c r="F1824" s="8"/>
      <c r="G1824" s="8"/>
      <c r="H1824" s="8"/>
      <c r="I1824" s="10"/>
      <c r="J1824" s="8"/>
    </row>
    <row r="1825" spans="1:10" x14ac:dyDescent="0.15">
      <c r="A1825" s="7"/>
      <c r="B1825" s="8"/>
      <c r="C1825" s="8"/>
      <c r="D1825" s="9"/>
      <c r="E1825" s="8"/>
      <c r="F1825" s="8"/>
      <c r="G1825" s="8"/>
      <c r="H1825" s="8"/>
      <c r="I1825" s="10"/>
      <c r="J1825" s="8"/>
    </row>
    <row r="1826" spans="1:10" x14ac:dyDescent="0.15">
      <c r="A1826" s="7"/>
      <c r="B1826" s="8"/>
      <c r="C1826" s="8"/>
      <c r="D1826" s="9"/>
      <c r="E1826" s="8"/>
      <c r="F1826" s="8"/>
      <c r="G1826" s="8"/>
      <c r="H1826" s="8"/>
      <c r="I1826" s="10"/>
      <c r="J1826" s="8"/>
    </row>
    <row r="1827" spans="1:10" x14ac:dyDescent="0.15">
      <c r="A1827" s="7"/>
      <c r="B1827" s="8"/>
      <c r="C1827" s="8"/>
      <c r="D1827" s="9"/>
      <c r="E1827" s="8"/>
      <c r="F1827" s="8"/>
      <c r="G1827" s="8"/>
      <c r="H1827" s="8"/>
      <c r="I1827" s="10"/>
      <c r="J1827" s="8"/>
    </row>
    <row r="1828" spans="1:10" x14ac:dyDescent="0.15">
      <c r="A1828" s="7"/>
      <c r="B1828" s="8"/>
      <c r="C1828" s="8"/>
      <c r="D1828" s="9"/>
      <c r="E1828" s="8"/>
      <c r="F1828" s="8"/>
      <c r="G1828" s="8"/>
      <c r="H1828" s="8"/>
      <c r="I1828" s="10"/>
      <c r="J1828" s="8"/>
    </row>
    <row r="1829" spans="1:10" x14ac:dyDescent="0.15">
      <c r="A1829" s="7"/>
      <c r="B1829" s="8"/>
      <c r="C1829" s="8"/>
      <c r="D1829" s="9"/>
      <c r="E1829" s="8"/>
      <c r="F1829" s="8"/>
      <c r="G1829" s="8"/>
      <c r="H1829" s="8"/>
      <c r="I1829" s="10"/>
      <c r="J1829" s="8"/>
    </row>
    <row r="1830" spans="1:10" x14ac:dyDescent="0.15">
      <c r="A1830" s="7"/>
      <c r="B1830" s="8"/>
      <c r="C1830" s="8"/>
      <c r="D1830" s="9"/>
      <c r="E1830" s="8"/>
      <c r="F1830" s="8"/>
      <c r="G1830" s="8"/>
      <c r="H1830" s="8"/>
      <c r="I1830" s="10"/>
      <c r="J1830" s="8"/>
    </row>
    <row r="1831" spans="1:10" x14ac:dyDescent="0.15">
      <c r="A1831" s="7"/>
      <c r="B1831" s="8"/>
      <c r="C1831" s="8"/>
      <c r="D1831" s="9"/>
      <c r="E1831" s="8"/>
      <c r="F1831" s="8"/>
      <c r="G1831" s="8"/>
      <c r="H1831" s="8"/>
      <c r="I1831" s="10"/>
      <c r="J1831" s="8"/>
    </row>
    <row r="1832" spans="1:10" x14ac:dyDescent="0.15">
      <c r="A1832" s="7"/>
      <c r="B1832" s="8"/>
      <c r="C1832" s="8"/>
      <c r="D1832" s="9"/>
      <c r="E1832" s="8"/>
      <c r="F1832" s="8"/>
      <c r="G1832" s="8"/>
      <c r="H1832" s="8"/>
      <c r="I1832" s="10"/>
      <c r="J1832" s="8"/>
    </row>
    <row r="1833" spans="1:10" x14ac:dyDescent="0.15">
      <c r="A1833" s="7"/>
      <c r="B1833" s="8"/>
      <c r="C1833" s="8"/>
      <c r="D1833" s="9"/>
      <c r="E1833" s="8"/>
      <c r="F1833" s="8"/>
      <c r="G1833" s="8"/>
      <c r="H1833" s="8"/>
      <c r="I1833" s="10"/>
      <c r="J1833" s="8"/>
    </row>
    <row r="1834" spans="1:10" x14ac:dyDescent="0.15">
      <c r="A1834" s="7"/>
      <c r="B1834" s="8"/>
      <c r="C1834" s="8"/>
      <c r="D1834" s="9"/>
      <c r="E1834" s="8"/>
      <c r="F1834" s="8"/>
      <c r="G1834" s="8"/>
      <c r="H1834" s="8"/>
      <c r="I1834" s="10"/>
      <c r="J1834" s="8"/>
    </row>
    <row r="1835" spans="1:10" x14ac:dyDescent="0.15">
      <c r="A1835" s="7"/>
      <c r="B1835" s="8"/>
      <c r="C1835" s="8"/>
      <c r="D1835" s="9"/>
      <c r="E1835" s="8"/>
      <c r="F1835" s="8"/>
      <c r="G1835" s="8"/>
      <c r="H1835" s="8"/>
      <c r="I1835" s="10"/>
      <c r="J1835" s="8"/>
    </row>
    <row r="1836" spans="1:10" x14ac:dyDescent="0.15">
      <c r="A1836" s="7"/>
      <c r="B1836" s="8"/>
      <c r="C1836" s="8"/>
      <c r="D1836" s="9"/>
      <c r="E1836" s="8"/>
      <c r="F1836" s="8"/>
      <c r="G1836" s="8"/>
      <c r="H1836" s="8"/>
      <c r="I1836" s="10"/>
      <c r="J1836" s="8"/>
    </row>
    <row r="1837" spans="1:10" x14ac:dyDescent="0.15">
      <c r="A1837" s="7"/>
      <c r="B1837" s="8"/>
      <c r="C1837" s="8"/>
      <c r="D1837" s="9"/>
      <c r="E1837" s="8"/>
      <c r="F1837" s="8"/>
      <c r="G1837" s="8"/>
      <c r="H1837" s="8"/>
      <c r="I1837" s="10"/>
      <c r="J1837" s="8"/>
    </row>
    <row r="1838" spans="1:10" x14ac:dyDescent="0.15">
      <c r="A1838" s="7"/>
      <c r="B1838" s="8"/>
      <c r="C1838" s="8"/>
      <c r="D1838" s="9"/>
      <c r="E1838" s="8"/>
      <c r="F1838" s="8"/>
      <c r="G1838" s="8"/>
      <c r="H1838" s="8"/>
      <c r="I1838" s="10"/>
      <c r="J1838" s="8"/>
    </row>
    <row r="1839" spans="1:10" x14ac:dyDescent="0.15">
      <c r="A1839" s="7"/>
      <c r="B1839" s="8"/>
      <c r="C1839" s="8"/>
      <c r="D1839" s="9"/>
      <c r="E1839" s="8"/>
      <c r="F1839" s="8"/>
      <c r="G1839" s="8"/>
      <c r="H1839" s="8"/>
      <c r="I1839" s="10"/>
      <c r="J1839" s="8"/>
    </row>
    <row r="1840" spans="1:10" x14ac:dyDescent="0.15">
      <c r="A1840" s="7"/>
      <c r="B1840" s="8"/>
      <c r="C1840" s="8"/>
      <c r="D1840" s="9"/>
      <c r="E1840" s="8"/>
      <c r="F1840" s="8"/>
      <c r="G1840" s="8"/>
      <c r="H1840" s="8"/>
      <c r="I1840" s="10"/>
      <c r="J1840" s="8"/>
    </row>
    <row r="1841" spans="1:10" x14ac:dyDescent="0.15">
      <c r="A1841" s="7"/>
      <c r="B1841" s="8"/>
      <c r="C1841" s="8"/>
      <c r="D1841" s="9"/>
      <c r="E1841" s="8"/>
      <c r="F1841" s="8"/>
      <c r="G1841" s="8"/>
      <c r="H1841" s="8"/>
      <c r="I1841" s="10"/>
      <c r="J1841" s="8"/>
    </row>
    <row r="1842" spans="1:10" x14ac:dyDescent="0.15">
      <c r="A1842" s="7"/>
      <c r="B1842" s="8"/>
      <c r="C1842" s="8"/>
      <c r="D1842" s="9"/>
      <c r="E1842" s="8"/>
      <c r="F1842" s="8"/>
      <c r="G1842" s="8"/>
      <c r="H1842" s="8"/>
      <c r="I1842" s="10"/>
      <c r="J1842" s="8"/>
    </row>
    <row r="1843" spans="1:10" x14ac:dyDescent="0.15">
      <c r="A1843" s="7"/>
      <c r="B1843" s="8"/>
      <c r="C1843" s="8"/>
      <c r="D1843" s="9"/>
      <c r="E1843" s="8"/>
      <c r="F1843" s="8"/>
      <c r="G1843" s="8"/>
      <c r="H1843" s="8"/>
      <c r="I1843" s="10"/>
      <c r="J1843" s="8"/>
    </row>
    <row r="1844" spans="1:10" x14ac:dyDescent="0.15">
      <c r="A1844" s="7"/>
      <c r="B1844" s="8"/>
      <c r="C1844" s="8"/>
      <c r="D1844" s="9"/>
      <c r="E1844" s="8"/>
      <c r="F1844" s="8"/>
      <c r="G1844" s="8"/>
      <c r="H1844" s="8"/>
      <c r="I1844" s="10"/>
      <c r="J1844" s="8"/>
    </row>
    <row r="1845" spans="1:10" x14ac:dyDescent="0.15">
      <c r="A1845" s="7"/>
      <c r="B1845" s="8"/>
      <c r="C1845" s="8"/>
      <c r="D1845" s="9"/>
      <c r="E1845" s="8"/>
      <c r="F1845" s="8"/>
      <c r="G1845" s="8"/>
      <c r="H1845" s="8"/>
      <c r="I1845" s="10"/>
      <c r="J1845" s="8"/>
    </row>
    <row r="1846" spans="1:10" x14ac:dyDescent="0.15">
      <c r="A1846" s="7"/>
      <c r="B1846" s="8"/>
      <c r="C1846" s="8"/>
      <c r="D1846" s="9"/>
      <c r="E1846" s="8"/>
      <c r="F1846" s="8"/>
      <c r="G1846" s="8"/>
      <c r="H1846" s="8"/>
      <c r="I1846" s="10"/>
      <c r="J1846" s="8"/>
    </row>
    <row r="1847" spans="1:10" x14ac:dyDescent="0.15">
      <c r="A1847" s="7"/>
      <c r="B1847" s="8"/>
      <c r="C1847" s="8"/>
      <c r="D1847" s="9"/>
      <c r="E1847" s="8"/>
      <c r="F1847" s="8"/>
      <c r="G1847" s="8"/>
      <c r="H1847" s="8"/>
      <c r="I1847" s="10"/>
      <c r="J1847" s="8"/>
    </row>
    <row r="1848" spans="1:10" x14ac:dyDescent="0.15">
      <c r="A1848" s="7"/>
      <c r="B1848" s="8"/>
      <c r="C1848" s="8"/>
      <c r="D1848" s="9"/>
      <c r="E1848" s="8"/>
      <c r="F1848" s="8"/>
      <c r="G1848" s="8"/>
      <c r="H1848" s="8"/>
      <c r="I1848" s="10"/>
      <c r="J1848" s="8"/>
    </row>
    <row r="1849" spans="1:10" x14ac:dyDescent="0.15">
      <c r="A1849" s="7"/>
      <c r="B1849" s="8"/>
      <c r="C1849" s="8"/>
      <c r="D1849" s="9"/>
      <c r="E1849" s="8"/>
      <c r="F1849" s="8"/>
      <c r="G1849" s="8"/>
      <c r="H1849" s="8"/>
      <c r="I1849" s="10"/>
      <c r="J1849" s="8"/>
    </row>
    <row r="1850" spans="1:10" x14ac:dyDescent="0.15">
      <c r="A1850" s="7"/>
      <c r="B1850" s="8"/>
      <c r="C1850" s="8"/>
      <c r="D1850" s="9"/>
      <c r="E1850" s="8"/>
      <c r="F1850" s="8"/>
      <c r="G1850" s="8"/>
      <c r="H1850" s="8"/>
      <c r="I1850" s="10"/>
      <c r="J1850" s="8"/>
    </row>
    <row r="1851" spans="1:10" x14ac:dyDescent="0.15">
      <c r="A1851" s="7"/>
      <c r="B1851" s="8"/>
      <c r="C1851" s="8"/>
      <c r="D1851" s="9"/>
      <c r="E1851" s="8"/>
      <c r="F1851" s="8"/>
      <c r="G1851" s="8"/>
      <c r="H1851" s="8"/>
      <c r="I1851" s="10"/>
      <c r="J1851" s="8"/>
    </row>
    <row r="1852" spans="1:10" x14ac:dyDescent="0.15">
      <c r="A1852" s="7"/>
      <c r="B1852" s="8"/>
      <c r="C1852" s="8"/>
      <c r="D1852" s="9"/>
      <c r="E1852" s="8"/>
      <c r="F1852" s="8"/>
      <c r="G1852" s="8"/>
      <c r="H1852" s="8"/>
      <c r="I1852" s="10"/>
      <c r="J1852" s="8"/>
    </row>
    <row r="1853" spans="1:10" x14ac:dyDescent="0.15">
      <c r="A1853" s="7"/>
      <c r="B1853" s="8"/>
      <c r="C1853" s="8"/>
      <c r="D1853" s="9"/>
      <c r="E1853" s="8"/>
      <c r="F1853" s="8"/>
      <c r="G1853" s="8"/>
      <c r="H1853" s="8"/>
      <c r="I1853" s="10"/>
      <c r="J1853" s="8"/>
    </row>
    <row r="1854" spans="1:10" x14ac:dyDescent="0.15">
      <c r="A1854" s="7"/>
      <c r="B1854" s="8"/>
      <c r="C1854" s="8"/>
      <c r="D1854" s="9"/>
      <c r="E1854" s="8"/>
      <c r="F1854" s="8"/>
      <c r="G1854" s="8"/>
      <c r="H1854" s="8"/>
      <c r="I1854" s="10"/>
      <c r="J1854" s="8"/>
    </row>
    <row r="1855" spans="1:10" x14ac:dyDescent="0.15">
      <c r="A1855" s="7"/>
      <c r="B1855" s="8"/>
      <c r="C1855" s="8"/>
      <c r="D1855" s="9"/>
      <c r="E1855" s="8"/>
      <c r="F1855" s="8"/>
      <c r="G1855" s="8"/>
      <c r="H1855" s="8"/>
      <c r="I1855" s="10"/>
      <c r="J1855" s="8"/>
    </row>
    <row r="1856" spans="1:10" x14ac:dyDescent="0.15">
      <c r="A1856" s="7"/>
      <c r="B1856" s="8"/>
      <c r="C1856" s="8"/>
      <c r="D1856" s="9"/>
      <c r="E1856" s="8"/>
      <c r="F1856" s="8"/>
      <c r="G1856" s="8"/>
      <c r="H1856" s="8"/>
      <c r="I1856" s="10"/>
      <c r="J1856" s="8"/>
    </row>
    <row r="1857" spans="1:10" x14ac:dyDescent="0.15">
      <c r="A1857" s="7"/>
      <c r="B1857" s="8"/>
      <c r="C1857" s="8"/>
      <c r="D1857" s="9"/>
      <c r="E1857" s="8"/>
      <c r="F1857" s="8"/>
      <c r="G1857" s="8"/>
      <c r="H1857" s="8"/>
      <c r="I1857" s="10"/>
      <c r="J1857" s="8"/>
    </row>
    <row r="1858" spans="1:10" x14ac:dyDescent="0.15">
      <c r="A1858" s="7"/>
      <c r="B1858" s="8"/>
      <c r="C1858" s="8"/>
      <c r="D1858" s="9"/>
      <c r="E1858" s="8"/>
      <c r="F1858" s="8"/>
      <c r="G1858" s="8"/>
      <c r="H1858" s="8"/>
      <c r="I1858" s="10"/>
      <c r="J1858" s="8"/>
    </row>
    <row r="1859" spans="1:10" x14ac:dyDescent="0.15">
      <c r="A1859" s="7"/>
      <c r="B1859" s="8"/>
      <c r="C1859" s="8"/>
      <c r="D1859" s="9"/>
      <c r="E1859" s="8"/>
      <c r="F1859" s="8"/>
      <c r="G1859" s="8"/>
      <c r="H1859" s="8"/>
      <c r="I1859" s="10"/>
      <c r="J1859" s="8"/>
    </row>
    <row r="1860" spans="1:10" x14ac:dyDescent="0.15">
      <c r="A1860" s="7"/>
      <c r="B1860" s="8"/>
      <c r="C1860" s="8"/>
      <c r="D1860" s="9"/>
      <c r="E1860" s="8"/>
      <c r="F1860" s="8"/>
      <c r="G1860" s="8"/>
      <c r="H1860" s="8"/>
      <c r="I1860" s="10"/>
      <c r="J1860" s="8"/>
    </row>
    <row r="1861" spans="1:10" x14ac:dyDescent="0.15">
      <c r="A1861" s="7"/>
      <c r="B1861" s="8"/>
      <c r="C1861" s="8"/>
      <c r="D1861" s="9"/>
      <c r="E1861" s="8"/>
      <c r="F1861" s="8"/>
      <c r="G1861" s="8"/>
      <c r="H1861" s="8"/>
      <c r="I1861" s="10"/>
      <c r="J1861" s="8"/>
    </row>
    <row r="1862" spans="1:10" x14ac:dyDescent="0.15">
      <c r="A1862" s="7"/>
      <c r="B1862" s="8"/>
      <c r="C1862" s="8"/>
      <c r="D1862" s="9"/>
      <c r="E1862" s="8"/>
      <c r="F1862" s="8"/>
      <c r="G1862" s="8"/>
      <c r="H1862" s="8"/>
      <c r="I1862" s="10"/>
      <c r="J1862" s="8"/>
    </row>
    <row r="1863" spans="1:10" x14ac:dyDescent="0.15">
      <c r="A1863" s="7"/>
      <c r="B1863" s="8"/>
      <c r="C1863" s="8"/>
      <c r="D1863" s="9"/>
      <c r="E1863" s="8"/>
      <c r="F1863" s="8"/>
      <c r="G1863" s="8"/>
      <c r="H1863" s="8"/>
      <c r="I1863" s="10"/>
      <c r="J1863" s="8"/>
    </row>
    <row r="1864" spans="1:10" x14ac:dyDescent="0.15">
      <c r="A1864" s="7"/>
      <c r="B1864" s="8"/>
      <c r="C1864" s="8"/>
      <c r="D1864" s="9"/>
      <c r="E1864" s="8"/>
      <c r="F1864" s="8"/>
      <c r="G1864" s="8"/>
      <c r="H1864" s="8"/>
      <c r="I1864" s="10"/>
      <c r="J1864" s="8"/>
    </row>
  </sheetData>
  <autoFilter ref="A2:J2" xr:uid="{00000000-0009-0000-0000-000000000000}"/>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2023-10-03T00:22:07Z</dcterms:modified>
</cp:coreProperties>
</file>