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3FB59C9E-1A3E-40B9-9319-5917C4EB43D1}" xr6:coauthVersionLast="47" xr6:coauthVersionMax="47" xr10:uidLastSave="{00000000-0000-0000-0000-000000000000}"/>
  <bookViews>
    <workbookView xWindow="-120" yWindow="-120" windowWidth="29040" windowHeight="15840" xr2:uid="{00000000-000D-0000-FFFF-FFFF00000000}"/>
  </bookViews>
  <sheets>
    <sheet name="Sheet1" sheetId="4" r:id="rId1"/>
  </sheets>
  <definedNames>
    <definedName name="_xlnm._FilterDatabase" localSheetId="0" hidden="1">Sheet1!$A$2:$J$2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3" i="4" l="1"/>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236" i="4"/>
  <c r="D235" i="4"/>
  <c r="D234" i="4"/>
  <c r="D233" i="4"/>
  <c r="D232"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289" i="4"/>
  <c r="D288" i="4"/>
  <c r="D287" i="4"/>
  <c r="D286" i="4"/>
  <c r="D285" i="4"/>
  <c r="D284" i="4"/>
  <c r="D283" i="4"/>
  <c r="D282" i="4"/>
  <c r="D281" i="4"/>
  <c r="D280" i="4"/>
  <c r="D279" i="4"/>
  <c r="D278" i="4"/>
  <c r="D277" i="4"/>
  <c r="D276" i="4"/>
  <c r="D275" i="4"/>
  <c r="D274" i="4"/>
  <c r="D273" i="4"/>
  <c r="D272" i="4"/>
  <c r="D271" i="4"/>
  <c r="D270" i="4"/>
  <c r="D269" i="4"/>
  <c r="D268" i="4"/>
  <c r="D267" i="4"/>
  <c r="D266" i="4"/>
  <c r="D265" i="4"/>
  <c r="D264" i="4"/>
  <c r="D263" i="4"/>
  <c r="D262" i="4"/>
  <c r="D261" i="4"/>
  <c r="D260" i="4"/>
  <c r="D259" i="4"/>
  <c r="D258" i="4"/>
  <c r="D257" i="4"/>
  <c r="D256" i="4"/>
  <c r="D255" i="4"/>
  <c r="D254" i="4"/>
  <c r="D253" i="4"/>
  <c r="D252" i="4"/>
  <c r="D251" i="4"/>
  <c r="D250" i="4"/>
  <c r="D249" i="4"/>
  <c r="D248" i="4"/>
  <c r="D247" i="4"/>
  <c r="D246" i="4"/>
  <c r="D245" i="4"/>
  <c r="D244" i="4"/>
  <c r="D243" i="4"/>
  <c r="D242" i="4"/>
  <c r="D241" i="4"/>
  <c r="D240" i="4"/>
  <c r="D239" i="4"/>
  <c r="D238" i="4"/>
  <c r="D237" i="4"/>
  <c r="D488" i="4"/>
  <c r="D487" i="4"/>
  <c r="D422" i="4"/>
  <c r="D421" i="4"/>
  <c r="D420" i="4"/>
  <c r="D419" i="4"/>
  <c r="D418" i="4"/>
  <c r="D417" i="4"/>
  <c r="D416" i="4"/>
  <c r="D415" i="4"/>
  <c r="D414" i="4"/>
  <c r="D413" i="4"/>
  <c r="D412" i="4"/>
  <c r="D411" i="4"/>
  <c r="D410" i="4"/>
  <c r="D409" i="4"/>
  <c r="D408" i="4"/>
  <c r="D407" i="4"/>
  <c r="D406" i="4"/>
  <c r="D405" i="4"/>
  <c r="D404" i="4"/>
  <c r="D403" i="4"/>
  <c r="D402" i="4"/>
  <c r="D401" i="4"/>
  <c r="D400" i="4"/>
  <c r="D399" i="4"/>
  <c r="D398" i="4"/>
  <c r="D397" i="4"/>
  <c r="D396" i="4"/>
  <c r="D395" i="4"/>
  <c r="D394" i="4"/>
  <c r="D393" i="4"/>
  <c r="D392" i="4"/>
  <c r="D391" i="4"/>
  <c r="D390" i="4"/>
  <c r="D389" i="4"/>
  <c r="D388" i="4"/>
  <c r="D387" i="4"/>
  <c r="D386" i="4"/>
  <c r="D385" i="4"/>
  <c r="D384" i="4"/>
  <c r="D383" i="4"/>
  <c r="D382" i="4"/>
  <c r="D381" i="4"/>
  <c r="D380" i="4"/>
  <c r="D379" i="4"/>
  <c r="D378" i="4"/>
  <c r="D377" i="4"/>
  <c r="D376" i="4"/>
  <c r="D375" i="4"/>
  <c r="D374" i="4"/>
  <c r="D373" i="4"/>
  <c r="D372" i="4"/>
  <c r="D371" i="4"/>
  <c r="D370" i="4"/>
  <c r="D369" i="4"/>
  <c r="D368" i="4"/>
  <c r="D367" i="4"/>
  <c r="D366" i="4"/>
  <c r="D365" i="4"/>
  <c r="D364" i="4"/>
  <c r="D363" i="4"/>
  <c r="D362" i="4"/>
  <c r="D361" i="4"/>
  <c r="D360" i="4"/>
  <c r="D359" i="4"/>
  <c r="D358" i="4"/>
  <c r="D357" i="4"/>
  <c r="D356" i="4"/>
  <c r="D355" i="4"/>
  <c r="D354" i="4"/>
  <c r="D353" i="4"/>
  <c r="D352" i="4"/>
  <c r="D351" i="4"/>
  <c r="D350" i="4"/>
  <c r="D349" i="4"/>
  <c r="D348" i="4"/>
  <c r="D347" i="4"/>
  <c r="D346" i="4"/>
  <c r="D345" i="4"/>
  <c r="D344" i="4"/>
  <c r="D343" i="4"/>
  <c r="D342" i="4"/>
  <c r="D341" i="4"/>
  <c r="D340" i="4"/>
  <c r="D339" i="4"/>
  <c r="D338" i="4"/>
  <c r="D337" i="4"/>
  <c r="D336" i="4"/>
  <c r="D335" i="4"/>
  <c r="D334" i="4"/>
  <c r="D333" i="4"/>
  <c r="D332" i="4"/>
  <c r="D331" i="4"/>
  <c r="D330" i="4"/>
  <c r="D329" i="4"/>
  <c r="D328" i="4"/>
  <c r="D327" i="4"/>
  <c r="D326" i="4"/>
  <c r="D325" i="4"/>
  <c r="D324" i="4"/>
  <c r="D323" i="4"/>
  <c r="D322" i="4"/>
  <c r="D321" i="4"/>
  <c r="D320" i="4"/>
  <c r="D319" i="4"/>
  <c r="D318" i="4"/>
  <c r="D317" i="4"/>
  <c r="D316" i="4"/>
  <c r="D315" i="4"/>
  <c r="D314" i="4"/>
  <c r="D313" i="4"/>
  <c r="D312" i="4"/>
  <c r="D311" i="4"/>
  <c r="D310" i="4"/>
  <c r="D309" i="4"/>
  <c r="D308" i="4"/>
  <c r="D307" i="4"/>
  <c r="D306" i="4"/>
  <c r="D305" i="4"/>
  <c r="D304" i="4"/>
  <c r="D303" i="4"/>
  <c r="D302" i="4"/>
  <c r="D301" i="4"/>
  <c r="D300" i="4"/>
  <c r="D299" i="4"/>
  <c r="D298" i="4"/>
  <c r="D297" i="4"/>
  <c r="D296" i="4"/>
  <c r="D295" i="4"/>
  <c r="D294" i="4"/>
  <c r="D293" i="4"/>
  <c r="D292" i="4"/>
  <c r="D291" i="4"/>
  <c r="D290" i="4"/>
  <c r="D528" i="4"/>
  <c r="D527" i="4"/>
  <c r="D526" i="4"/>
  <c r="D525" i="4"/>
  <c r="D524" i="4"/>
  <c r="D523" i="4"/>
  <c r="D522" i="4"/>
  <c r="D521" i="4"/>
  <c r="D520" i="4"/>
  <c r="D519" i="4"/>
  <c r="D518" i="4"/>
  <c r="D517" i="4"/>
  <c r="D516" i="4"/>
  <c r="D515" i="4"/>
  <c r="D514" i="4"/>
  <c r="D513" i="4"/>
  <c r="D512" i="4"/>
  <c r="D511" i="4"/>
  <c r="D510" i="4"/>
  <c r="D509" i="4"/>
  <c r="D508" i="4"/>
  <c r="D507" i="4"/>
  <c r="D506" i="4"/>
  <c r="D505" i="4"/>
  <c r="D504" i="4"/>
  <c r="D503" i="4"/>
  <c r="D502" i="4"/>
  <c r="D501" i="4"/>
  <c r="D500" i="4"/>
  <c r="D499" i="4"/>
  <c r="D498" i="4"/>
  <c r="D497" i="4"/>
  <c r="D496" i="4"/>
  <c r="D495" i="4"/>
  <c r="D494" i="4"/>
  <c r="D493" i="4"/>
  <c r="D492" i="4"/>
  <c r="D491" i="4"/>
  <c r="D490" i="4"/>
  <c r="D489" i="4"/>
  <c r="D486" i="4"/>
  <c r="D485" i="4"/>
  <c r="D484" i="4"/>
  <c r="D483" i="4"/>
  <c r="D482" i="4"/>
  <c r="D481" i="4"/>
  <c r="D480" i="4"/>
  <c r="D479" i="4"/>
  <c r="D478" i="4"/>
  <c r="D477" i="4"/>
  <c r="D476" i="4"/>
  <c r="D475" i="4"/>
  <c r="D474" i="4"/>
  <c r="D473" i="4"/>
  <c r="D472" i="4"/>
  <c r="D471" i="4"/>
  <c r="D470" i="4"/>
  <c r="D469" i="4"/>
  <c r="D468" i="4"/>
  <c r="D467" i="4"/>
  <c r="D466" i="4"/>
  <c r="D465" i="4"/>
  <c r="D464" i="4"/>
  <c r="D463" i="4"/>
  <c r="D462" i="4"/>
  <c r="D461" i="4"/>
  <c r="D460" i="4"/>
  <c r="D459" i="4"/>
  <c r="D458" i="4"/>
  <c r="D457" i="4"/>
  <c r="D456" i="4"/>
  <c r="D455" i="4"/>
  <c r="D454" i="4"/>
  <c r="D453" i="4"/>
  <c r="D452" i="4"/>
  <c r="D451" i="4"/>
  <c r="D450" i="4"/>
  <c r="D449" i="4"/>
  <c r="D448" i="4"/>
  <c r="D447" i="4"/>
  <c r="D446" i="4"/>
  <c r="D445" i="4"/>
  <c r="D444" i="4"/>
  <c r="D443" i="4"/>
  <c r="D442" i="4"/>
  <c r="D441" i="4"/>
  <c r="D440" i="4"/>
  <c r="D439" i="4"/>
  <c r="D438" i="4"/>
  <c r="D437" i="4"/>
  <c r="D436" i="4"/>
  <c r="D435" i="4"/>
  <c r="D434" i="4"/>
  <c r="D433" i="4"/>
  <c r="D432" i="4"/>
  <c r="D431" i="4"/>
  <c r="D430" i="4"/>
  <c r="D429" i="4"/>
  <c r="D428" i="4"/>
  <c r="D427" i="4"/>
  <c r="D426" i="4"/>
  <c r="D425" i="4"/>
  <c r="D424" i="4"/>
  <c r="D423" i="4"/>
  <c r="D598" i="4"/>
  <c r="D597" i="4"/>
  <c r="D596" i="4"/>
  <c r="D595" i="4"/>
  <c r="D594" i="4"/>
  <c r="D593" i="4"/>
  <c r="D592" i="4"/>
  <c r="D591" i="4"/>
  <c r="D590" i="4"/>
  <c r="D589" i="4"/>
  <c r="D588" i="4"/>
  <c r="D587" i="4"/>
  <c r="D586" i="4"/>
  <c r="D585" i="4"/>
  <c r="D584" i="4"/>
  <c r="D583" i="4"/>
  <c r="D582" i="4"/>
  <c r="D581" i="4"/>
  <c r="D580" i="4"/>
  <c r="D579" i="4"/>
  <c r="D578" i="4"/>
  <c r="D577" i="4"/>
  <c r="D576" i="4"/>
  <c r="D575" i="4"/>
  <c r="D574" i="4"/>
  <c r="D573" i="4"/>
  <c r="D572" i="4"/>
  <c r="D571" i="4"/>
  <c r="D570" i="4"/>
  <c r="D569" i="4"/>
  <c r="D568" i="4"/>
  <c r="D567" i="4"/>
  <c r="D566" i="4"/>
  <c r="D565" i="4"/>
  <c r="D564" i="4"/>
  <c r="D563" i="4"/>
  <c r="D562" i="4"/>
  <c r="D561" i="4"/>
  <c r="D560" i="4"/>
  <c r="D559" i="4"/>
  <c r="D558" i="4"/>
  <c r="D557" i="4"/>
  <c r="D556" i="4"/>
  <c r="D555" i="4"/>
  <c r="D554" i="4"/>
  <c r="D553" i="4"/>
  <c r="D552" i="4"/>
  <c r="D551" i="4"/>
  <c r="D550" i="4"/>
  <c r="D549" i="4"/>
  <c r="D548" i="4"/>
  <c r="D547" i="4"/>
  <c r="D546" i="4"/>
  <c r="D545" i="4"/>
  <c r="D544" i="4"/>
  <c r="D543" i="4"/>
  <c r="D542" i="4"/>
  <c r="D541" i="4"/>
  <c r="D540" i="4"/>
  <c r="D539" i="4"/>
  <c r="D538" i="4"/>
  <c r="D537" i="4"/>
  <c r="D536" i="4"/>
  <c r="D535" i="4"/>
  <c r="D534" i="4"/>
  <c r="D533" i="4"/>
  <c r="D532" i="4"/>
  <c r="D531" i="4"/>
  <c r="D530" i="4"/>
  <c r="D529" i="4"/>
  <c r="D680" i="4"/>
  <c r="D679" i="4"/>
  <c r="D678" i="4"/>
  <c r="D677" i="4"/>
  <c r="D676" i="4"/>
  <c r="D675" i="4"/>
  <c r="D674" i="4"/>
  <c r="D673" i="4"/>
  <c r="D672" i="4"/>
  <c r="D671" i="4"/>
  <c r="D670" i="4"/>
  <c r="D669" i="4"/>
  <c r="D668" i="4"/>
  <c r="D667" i="4"/>
  <c r="D666" i="4"/>
  <c r="D665" i="4"/>
  <c r="D664" i="4"/>
  <c r="D663" i="4"/>
  <c r="D662" i="4"/>
  <c r="D661" i="4"/>
  <c r="D660" i="4"/>
  <c r="D659" i="4"/>
  <c r="D658" i="4"/>
  <c r="D657" i="4"/>
  <c r="D656" i="4"/>
  <c r="D655" i="4"/>
  <c r="D654" i="4"/>
  <c r="D653" i="4"/>
  <c r="D652" i="4"/>
  <c r="D651" i="4"/>
  <c r="D650" i="4"/>
  <c r="D649" i="4"/>
  <c r="D648" i="4"/>
  <c r="D647" i="4"/>
  <c r="D646" i="4"/>
  <c r="D645" i="4"/>
  <c r="D644" i="4"/>
  <c r="D643" i="4"/>
  <c r="D642" i="4"/>
  <c r="D641" i="4"/>
  <c r="D640" i="4"/>
  <c r="D639" i="4"/>
  <c r="D638" i="4"/>
  <c r="D637" i="4"/>
  <c r="D636" i="4"/>
  <c r="D635" i="4"/>
  <c r="D634" i="4"/>
  <c r="D633" i="4"/>
  <c r="D632" i="4"/>
  <c r="D631" i="4"/>
  <c r="D630" i="4"/>
  <c r="D629" i="4"/>
  <c r="D628" i="4"/>
  <c r="D627" i="4"/>
  <c r="D626" i="4"/>
  <c r="D625" i="4"/>
  <c r="D624" i="4"/>
  <c r="D623" i="4"/>
  <c r="D622" i="4"/>
  <c r="D621" i="4"/>
  <c r="D620" i="4"/>
  <c r="D619" i="4"/>
  <c r="D618" i="4"/>
  <c r="D617" i="4"/>
  <c r="D616" i="4"/>
  <c r="D615" i="4"/>
  <c r="D614" i="4"/>
  <c r="D613" i="4"/>
  <c r="D612" i="4"/>
  <c r="D611" i="4"/>
  <c r="D610" i="4"/>
  <c r="D609" i="4"/>
  <c r="D608" i="4"/>
  <c r="D607" i="4"/>
  <c r="D606" i="4"/>
  <c r="D605" i="4"/>
  <c r="D604" i="4"/>
  <c r="D603" i="4"/>
  <c r="D602" i="4"/>
  <c r="D601" i="4"/>
  <c r="D600" i="4"/>
  <c r="D599" i="4"/>
  <c r="D772" i="4"/>
  <c r="D771" i="4"/>
  <c r="D770" i="4"/>
  <c r="D769" i="4"/>
  <c r="D768" i="4"/>
  <c r="D767" i="4"/>
  <c r="D766" i="4"/>
  <c r="D765" i="4"/>
  <c r="D764" i="4"/>
  <c r="D763" i="4"/>
  <c r="D762" i="4"/>
  <c r="D761" i="4"/>
  <c r="D760" i="4"/>
  <c r="D759" i="4"/>
  <c r="D758" i="4"/>
  <c r="D757" i="4"/>
  <c r="D756" i="4"/>
  <c r="D755" i="4"/>
  <c r="D754" i="4"/>
  <c r="D753" i="4"/>
  <c r="D752" i="4"/>
  <c r="D751" i="4"/>
  <c r="D750" i="4"/>
  <c r="D749" i="4"/>
  <c r="D748" i="4"/>
  <c r="D747" i="4"/>
  <c r="D746" i="4"/>
  <c r="D745" i="4"/>
  <c r="D744" i="4"/>
  <c r="D743" i="4"/>
  <c r="D742" i="4"/>
  <c r="D741" i="4"/>
  <c r="D740" i="4"/>
  <c r="D739" i="4"/>
  <c r="D738" i="4"/>
  <c r="D737" i="4"/>
  <c r="D736" i="4"/>
  <c r="D735" i="4"/>
  <c r="D734" i="4"/>
  <c r="D733" i="4"/>
  <c r="D732" i="4"/>
  <c r="D731" i="4"/>
  <c r="D730" i="4"/>
  <c r="D729" i="4"/>
  <c r="D728" i="4"/>
  <c r="D727" i="4"/>
  <c r="D726" i="4"/>
  <c r="D725" i="4"/>
  <c r="D724" i="4"/>
  <c r="D723" i="4"/>
  <c r="D722" i="4"/>
  <c r="D721" i="4"/>
  <c r="D720" i="4"/>
  <c r="D719" i="4"/>
  <c r="D718" i="4"/>
  <c r="D717" i="4"/>
  <c r="D716" i="4"/>
  <c r="D715" i="4"/>
  <c r="D714" i="4"/>
  <c r="D713" i="4"/>
  <c r="D712" i="4"/>
  <c r="D711" i="4"/>
  <c r="D710" i="4"/>
  <c r="D709" i="4"/>
  <c r="D708" i="4"/>
  <c r="D707" i="4"/>
  <c r="D706" i="4"/>
  <c r="D705" i="4"/>
  <c r="D704" i="4"/>
  <c r="D703" i="4"/>
  <c r="D702" i="4"/>
  <c r="D701" i="4"/>
  <c r="D700" i="4"/>
  <c r="D699" i="4"/>
  <c r="D698" i="4"/>
  <c r="D697" i="4"/>
  <c r="D696" i="4"/>
  <c r="D695" i="4"/>
  <c r="D694" i="4"/>
  <c r="D693" i="4"/>
  <c r="D692" i="4"/>
  <c r="D691" i="4"/>
  <c r="D690" i="4"/>
  <c r="D689" i="4"/>
  <c r="D688" i="4"/>
  <c r="D687" i="4"/>
  <c r="D686" i="4"/>
  <c r="D685" i="4"/>
  <c r="D684" i="4"/>
  <c r="D683" i="4"/>
  <c r="D682" i="4"/>
  <c r="D681" i="4"/>
  <c r="D852" i="4"/>
  <c r="D851" i="4"/>
  <c r="D850" i="4"/>
  <c r="D849" i="4"/>
  <c r="D848" i="4"/>
  <c r="D847" i="4"/>
  <c r="D846" i="4"/>
  <c r="D845" i="4"/>
  <c r="D844" i="4"/>
  <c r="D843" i="4"/>
  <c r="D842" i="4"/>
  <c r="D841" i="4"/>
  <c r="D840" i="4"/>
  <c r="D839" i="4"/>
  <c r="D838" i="4"/>
  <c r="D837" i="4"/>
  <c r="D836" i="4"/>
  <c r="D835" i="4"/>
  <c r="D834" i="4"/>
  <c r="D833" i="4"/>
  <c r="D832" i="4"/>
  <c r="D831" i="4"/>
  <c r="D830" i="4"/>
  <c r="D829" i="4"/>
  <c r="D828" i="4"/>
  <c r="D827" i="4"/>
  <c r="D826" i="4"/>
  <c r="D825" i="4"/>
  <c r="D824" i="4"/>
  <c r="D823" i="4"/>
  <c r="D822" i="4"/>
  <c r="D821" i="4"/>
  <c r="D820" i="4"/>
  <c r="D819" i="4"/>
  <c r="D818" i="4"/>
  <c r="D817" i="4"/>
  <c r="D816" i="4"/>
  <c r="D815" i="4"/>
  <c r="D814" i="4"/>
  <c r="D813" i="4"/>
  <c r="D812" i="4"/>
  <c r="D811" i="4"/>
  <c r="D810" i="4"/>
  <c r="D809" i="4"/>
  <c r="D808" i="4"/>
  <c r="D807" i="4"/>
  <c r="D806" i="4"/>
  <c r="D805" i="4"/>
  <c r="D804" i="4"/>
  <c r="D803" i="4"/>
  <c r="D802" i="4"/>
  <c r="D801" i="4"/>
  <c r="D800" i="4"/>
  <c r="D799" i="4"/>
  <c r="D798" i="4"/>
  <c r="D797" i="4"/>
  <c r="D796" i="4"/>
  <c r="D795" i="4"/>
  <c r="D794" i="4"/>
  <c r="D793" i="4"/>
  <c r="D792" i="4"/>
  <c r="D791" i="4"/>
  <c r="D790" i="4"/>
  <c r="D789" i="4"/>
  <c r="D788" i="4"/>
  <c r="D787" i="4"/>
  <c r="D786" i="4"/>
  <c r="D785" i="4"/>
  <c r="D784" i="4"/>
  <c r="D783" i="4"/>
  <c r="D782" i="4"/>
  <c r="D781" i="4"/>
  <c r="D780" i="4"/>
  <c r="D779" i="4"/>
  <c r="D778" i="4"/>
  <c r="D777" i="4"/>
  <c r="D776" i="4"/>
  <c r="D775" i="4"/>
  <c r="D774" i="4"/>
  <c r="D773" i="4"/>
  <c r="D965" i="4"/>
  <c r="D964" i="4"/>
  <c r="D963" i="4"/>
  <c r="D962" i="4"/>
  <c r="D961" i="4"/>
  <c r="D960" i="4"/>
  <c r="D959" i="4"/>
  <c r="D958" i="4"/>
  <c r="D957" i="4"/>
  <c r="D956" i="4"/>
  <c r="D955" i="4"/>
  <c r="D954" i="4"/>
  <c r="D953" i="4"/>
  <c r="D952" i="4"/>
  <c r="D951" i="4"/>
  <c r="D950" i="4"/>
  <c r="D949" i="4"/>
  <c r="D948" i="4"/>
  <c r="D947" i="4"/>
  <c r="D946" i="4"/>
  <c r="D945" i="4"/>
  <c r="D944" i="4"/>
  <c r="D943" i="4"/>
  <c r="D942" i="4"/>
  <c r="D941" i="4"/>
  <c r="D940" i="4"/>
  <c r="D939" i="4"/>
  <c r="D938" i="4"/>
  <c r="D937" i="4"/>
  <c r="D936" i="4"/>
  <c r="D935" i="4"/>
  <c r="D934" i="4"/>
  <c r="D933" i="4"/>
  <c r="D932" i="4"/>
  <c r="D931" i="4"/>
  <c r="D930" i="4"/>
  <c r="D929" i="4"/>
  <c r="D928" i="4"/>
  <c r="D927" i="4"/>
  <c r="D926" i="4"/>
  <c r="D925" i="4"/>
  <c r="D924" i="4"/>
  <c r="D923" i="4"/>
  <c r="D922" i="4"/>
  <c r="D921" i="4"/>
  <c r="D920" i="4"/>
  <c r="D919" i="4"/>
  <c r="D918" i="4"/>
  <c r="D917" i="4"/>
  <c r="D916" i="4"/>
  <c r="D915" i="4"/>
  <c r="D914" i="4"/>
  <c r="D913" i="4"/>
  <c r="D912" i="4"/>
  <c r="D911" i="4"/>
  <c r="D910" i="4"/>
  <c r="D909" i="4"/>
  <c r="D908" i="4"/>
  <c r="D907" i="4"/>
  <c r="D906" i="4"/>
  <c r="D905" i="4"/>
  <c r="D904" i="4"/>
  <c r="D903" i="4"/>
  <c r="D902" i="4"/>
  <c r="D901" i="4"/>
  <c r="D900" i="4"/>
  <c r="D899" i="4"/>
  <c r="D898" i="4"/>
  <c r="D897" i="4"/>
  <c r="D896" i="4"/>
  <c r="D895" i="4"/>
  <c r="D894" i="4"/>
  <c r="D893" i="4"/>
  <c r="D892" i="4"/>
  <c r="D891" i="4"/>
  <c r="D890" i="4"/>
  <c r="D889" i="4"/>
  <c r="D888" i="4"/>
  <c r="D887" i="4"/>
  <c r="D886" i="4"/>
  <c r="D885" i="4"/>
  <c r="D884" i="4"/>
  <c r="D883" i="4"/>
  <c r="D882" i="4"/>
  <c r="D881" i="4"/>
  <c r="D880" i="4"/>
  <c r="D879" i="4"/>
  <c r="D878" i="4"/>
  <c r="D877" i="4"/>
  <c r="D876" i="4"/>
  <c r="D875" i="4"/>
  <c r="D874" i="4"/>
  <c r="D873" i="4"/>
  <c r="D872" i="4"/>
  <c r="D871" i="4"/>
  <c r="D870" i="4"/>
  <c r="D869" i="4"/>
  <c r="D868" i="4"/>
  <c r="D867" i="4"/>
  <c r="D866" i="4"/>
  <c r="D865" i="4"/>
  <c r="D864" i="4"/>
  <c r="D863" i="4"/>
  <c r="D862" i="4"/>
  <c r="D861" i="4"/>
  <c r="D860" i="4"/>
  <c r="D859" i="4"/>
  <c r="D858" i="4"/>
  <c r="D857" i="4"/>
  <c r="D856" i="4"/>
  <c r="D855" i="4"/>
  <c r="D854" i="4"/>
  <c r="D853" i="4"/>
  <c r="D1116" i="4"/>
  <c r="D1115" i="4"/>
  <c r="D1114" i="4"/>
  <c r="D1113" i="4"/>
  <c r="D1112" i="4"/>
  <c r="D1111" i="4"/>
  <c r="D1110" i="4"/>
  <c r="D1109" i="4"/>
  <c r="D1108" i="4"/>
  <c r="D1107" i="4"/>
  <c r="D1106" i="4"/>
  <c r="D1105" i="4"/>
  <c r="D1104" i="4"/>
  <c r="D1103" i="4"/>
  <c r="D1102" i="4"/>
  <c r="D1101" i="4"/>
  <c r="D1100" i="4"/>
  <c r="D1099" i="4"/>
  <c r="D1098" i="4"/>
  <c r="D1097" i="4"/>
  <c r="D1096" i="4"/>
  <c r="D1095" i="4"/>
  <c r="D1094" i="4"/>
  <c r="D1093" i="4"/>
  <c r="D1092" i="4"/>
  <c r="D1091" i="4"/>
  <c r="D1090" i="4"/>
  <c r="D1089" i="4"/>
  <c r="D1088" i="4"/>
  <c r="D1087" i="4"/>
  <c r="D1086" i="4"/>
  <c r="D1085" i="4"/>
  <c r="D1084" i="4"/>
  <c r="D1083" i="4"/>
  <c r="D1082" i="4"/>
  <c r="D1081" i="4"/>
  <c r="D1080" i="4"/>
  <c r="D1079" i="4"/>
  <c r="D1078" i="4"/>
  <c r="D1077" i="4"/>
  <c r="D1076" i="4"/>
  <c r="D1075" i="4"/>
  <c r="D1074" i="4"/>
  <c r="D1073" i="4"/>
  <c r="D1072" i="4"/>
  <c r="D1071" i="4"/>
  <c r="D1070" i="4"/>
  <c r="D1069" i="4"/>
  <c r="D1068" i="4"/>
  <c r="D1067" i="4"/>
  <c r="D1066" i="4"/>
  <c r="D1065" i="4"/>
  <c r="D1064" i="4"/>
  <c r="D1063" i="4"/>
  <c r="D1062" i="4"/>
  <c r="D1061" i="4"/>
  <c r="D1060" i="4"/>
  <c r="D1059" i="4"/>
  <c r="D1058" i="4"/>
  <c r="D1057" i="4"/>
  <c r="D1056" i="4"/>
  <c r="D1055" i="4"/>
  <c r="D1054" i="4"/>
  <c r="D1053" i="4"/>
  <c r="D1052" i="4"/>
  <c r="D1051" i="4"/>
  <c r="D1050" i="4"/>
  <c r="D1049" i="4"/>
  <c r="D1048" i="4"/>
  <c r="D1047" i="4"/>
  <c r="D1046" i="4"/>
  <c r="D1045" i="4"/>
  <c r="D1044" i="4"/>
  <c r="D1043" i="4"/>
  <c r="D1042" i="4"/>
  <c r="D1041" i="4"/>
  <c r="D1040" i="4"/>
  <c r="D1039" i="4"/>
  <c r="D1038" i="4"/>
  <c r="D1037" i="4"/>
  <c r="D1036" i="4"/>
  <c r="D1035" i="4"/>
  <c r="D1034" i="4"/>
  <c r="D1033" i="4"/>
  <c r="D1032" i="4"/>
  <c r="D1031" i="4"/>
  <c r="D1030" i="4"/>
  <c r="D1029" i="4"/>
  <c r="D1028" i="4"/>
  <c r="D1027" i="4"/>
  <c r="D1026" i="4"/>
  <c r="D1025" i="4"/>
  <c r="D1024" i="4"/>
  <c r="D1023" i="4"/>
  <c r="D1022" i="4"/>
  <c r="D1021" i="4"/>
  <c r="D1020" i="4"/>
  <c r="D1019" i="4"/>
  <c r="D1018" i="4"/>
  <c r="D1017" i="4"/>
  <c r="D1016" i="4"/>
  <c r="D1015" i="4"/>
  <c r="D1014" i="4"/>
  <c r="D1013" i="4"/>
  <c r="D1012" i="4"/>
  <c r="D1011" i="4"/>
  <c r="D1010" i="4"/>
  <c r="D1009" i="4"/>
  <c r="D1008" i="4"/>
  <c r="D1007" i="4"/>
  <c r="D1006" i="4"/>
  <c r="D1005" i="4"/>
  <c r="D1004" i="4"/>
  <c r="D1003" i="4"/>
  <c r="D1002" i="4"/>
  <c r="D1001" i="4"/>
  <c r="D1000" i="4"/>
  <c r="D999" i="4"/>
  <c r="D998" i="4"/>
  <c r="D997" i="4"/>
  <c r="D996" i="4"/>
  <c r="D995" i="4"/>
  <c r="D994" i="4"/>
  <c r="D993" i="4"/>
  <c r="D992" i="4"/>
  <c r="D991" i="4"/>
  <c r="D990" i="4"/>
  <c r="D989" i="4"/>
  <c r="D988" i="4"/>
  <c r="D987" i="4"/>
  <c r="D986" i="4"/>
  <c r="D985" i="4"/>
  <c r="D984" i="4"/>
  <c r="D983" i="4"/>
  <c r="D982" i="4"/>
  <c r="D981" i="4"/>
  <c r="D980" i="4"/>
  <c r="D979" i="4"/>
  <c r="D978" i="4"/>
  <c r="D977" i="4"/>
  <c r="D976" i="4"/>
  <c r="D975" i="4"/>
  <c r="D974" i="4"/>
  <c r="D973" i="4"/>
  <c r="D972" i="4"/>
  <c r="D971" i="4"/>
  <c r="D970" i="4"/>
  <c r="D969" i="4"/>
  <c r="D968" i="4"/>
  <c r="D967" i="4"/>
  <c r="D966" i="4"/>
  <c r="D1212" i="4"/>
  <c r="D1211" i="4"/>
  <c r="D1210" i="4"/>
  <c r="D1209" i="4"/>
  <c r="D1208" i="4"/>
  <c r="D1207" i="4"/>
  <c r="D1206" i="4"/>
  <c r="D1205" i="4"/>
  <c r="D1204" i="4"/>
  <c r="D1203" i="4"/>
  <c r="D1202" i="4"/>
  <c r="D1201" i="4"/>
  <c r="D1200" i="4"/>
  <c r="D1199" i="4"/>
  <c r="D1198" i="4"/>
  <c r="D1197" i="4"/>
  <c r="D1196" i="4"/>
  <c r="D1195" i="4"/>
  <c r="D1194" i="4"/>
  <c r="D1193" i="4"/>
  <c r="D1192" i="4"/>
  <c r="D1191" i="4"/>
  <c r="D1190" i="4"/>
  <c r="D1189" i="4"/>
  <c r="D1188" i="4"/>
  <c r="D1187" i="4"/>
  <c r="D1186" i="4"/>
  <c r="D1185" i="4"/>
  <c r="D1184" i="4"/>
  <c r="D1183" i="4"/>
  <c r="D1182" i="4"/>
  <c r="D1181" i="4"/>
  <c r="D1180" i="4"/>
  <c r="D1179" i="4"/>
  <c r="D1178" i="4"/>
  <c r="D1177" i="4"/>
  <c r="D1176" i="4"/>
  <c r="D1175" i="4"/>
  <c r="D1174" i="4"/>
  <c r="D1173" i="4"/>
  <c r="D1172" i="4"/>
  <c r="D1171" i="4"/>
  <c r="D1170" i="4"/>
  <c r="D1169" i="4"/>
  <c r="D1168" i="4"/>
  <c r="D1167" i="4"/>
  <c r="D1166" i="4"/>
  <c r="D1165" i="4"/>
  <c r="D1164" i="4"/>
  <c r="D1163" i="4"/>
  <c r="D1162" i="4"/>
  <c r="D1161" i="4"/>
  <c r="D1160" i="4"/>
  <c r="D1159" i="4"/>
  <c r="D1158" i="4"/>
  <c r="D1157" i="4"/>
  <c r="D1156" i="4"/>
  <c r="D1155" i="4"/>
  <c r="D1154" i="4"/>
  <c r="D1153" i="4"/>
  <c r="D1152" i="4"/>
  <c r="D1151" i="4"/>
  <c r="D1150" i="4"/>
  <c r="D1149" i="4"/>
  <c r="D1148" i="4"/>
  <c r="D1147" i="4"/>
  <c r="D1146" i="4"/>
  <c r="D1145" i="4"/>
  <c r="D1144" i="4"/>
  <c r="D1143" i="4"/>
  <c r="D1142" i="4"/>
  <c r="D1141" i="4"/>
  <c r="D1140" i="4"/>
  <c r="D1139" i="4"/>
  <c r="D1138" i="4"/>
  <c r="D1137" i="4"/>
  <c r="D1136" i="4"/>
  <c r="D1135" i="4"/>
  <c r="D1134" i="4"/>
  <c r="D1133" i="4"/>
  <c r="D1132" i="4"/>
  <c r="D1131" i="4"/>
  <c r="D1130" i="4"/>
  <c r="D1129" i="4"/>
  <c r="D1128" i="4"/>
  <c r="D1127" i="4"/>
  <c r="D1126" i="4"/>
  <c r="D1125" i="4"/>
  <c r="D1124" i="4"/>
  <c r="D1123" i="4"/>
  <c r="D1122" i="4"/>
  <c r="D1121" i="4"/>
  <c r="D1120" i="4"/>
  <c r="D1119" i="4"/>
  <c r="D1118" i="4"/>
  <c r="D1117" i="4"/>
</calcChain>
</file>

<file path=xl/sharedStrings.xml><?xml version="1.0" encoding="utf-8"?>
<sst xmlns="http://schemas.openxmlformats.org/spreadsheetml/2006/main" count="7936" uniqueCount="1668">
  <si>
    <t>Country</t>
  </si>
  <si>
    <t>Area</t>
  </si>
  <si>
    <t>URL</t>
  </si>
  <si>
    <t>Brand</t>
  </si>
  <si>
    <t>Group</t>
  </si>
  <si>
    <t>Update Date</t>
  </si>
  <si>
    <t>Release Month</t>
  </si>
  <si>
    <t>Updates (Double-click on a cell to read the entire note.)</t>
  </si>
  <si>
    <t>*Please copy the URL if hyperlinks for detailed plant information are not working.</t>
  </si>
  <si>
    <t>OEM Location Name</t>
  </si>
  <si>
    <t>Province</t>
  </si>
  <si>
    <t>VW</t>
    <phoneticPr fontId="1"/>
  </si>
  <si>
    <t>USA</t>
    <phoneticPr fontId="1"/>
  </si>
  <si>
    <t>Michigan</t>
  </si>
  <si>
    <t>GM</t>
    <phoneticPr fontId="1"/>
  </si>
  <si>
    <t>Others</t>
    <phoneticPr fontId="1"/>
  </si>
  <si>
    <t>Russia</t>
    <phoneticPr fontId="1"/>
  </si>
  <si>
    <t>Honda</t>
    <phoneticPr fontId="1"/>
  </si>
  <si>
    <t>Argentina</t>
    <phoneticPr fontId="1"/>
  </si>
  <si>
    <t>North America</t>
    <phoneticPr fontId="1"/>
  </si>
  <si>
    <t>West Europe</t>
    <phoneticPr fontId="1"/>
  </si>
  <si>
    <t>East Europe/Russia, CIS</t>
    <phoneticPr fontId="1"/>
  </si>
  <si>
    <t>Southeast Asia</t>
    <phoneticPr fontId="1"/>
  </si>
  <si>
    <t>Chevrolet</t>
    <phoneticPr fontId="1"/>
  </si>
  <si>
    <t>South America</t>
    <phoneticPr fontId="1"/>
  </si>
  <si>
    <t>East Asia</t>
    <phoneticPr fontId="1"/>
  </si>
  <si>
    <t>Volkswagen</t>
    <phoneticPr fontId="1"/>
  </si>
  <si>
    <t>BMW</t>
    <phoneticPr fontId="1"/>
  </si>
  <si>
    <t>Cadillac</t>
    <phoneticPr fontId="1"/>
  </si>
  <si>
    <t>Germany</t>
    <phoneticPr fontId="1"/>
  </si>
  <si>
    <t>Toyota</t>
    <phoneticPr fontId="1"/>
  </si>
  <si>
    <t>Japan</t>
    <phoneticPr fontId="1"/>
  </si>
  <si>
    <t>Aichi</t>
  </si>
  <si>
    <t>Tochigi</t>
  </si>
  <si>
    <t>Sweden</t>
    <phoneticPr fontId="1"/>
  </si>
  <si>
    <t>https://www.marklines.com/en/global/2479</t>
    <phoneticPr fontId="1"/>
  </si>
  <si>
    <t>https://www.marklines.com/en/global/373</t>
    <phoneticPr fontId="1"/>
  </si>
  <si>
    <t>Hino</t>
    <phoneticPr fontId="1"/>
  </si>
  <si>
    <t>Mazda</t>
    <phoneticPr fontId="1"/>
  </si>
  <si>
    <t>Indiana</t>
  </si>
  <si>
    <t>GMC</t>
    <phoneticPr fontId="1"/>
  </si>
  <si>
    <t>https://www.marklines.com/en/global/10365</t>
    <phoneticPr fontId="1"/>
  </si>
  <si>
    <t>https://www.marklines.com/en/global/2207</t>
    <phoneticPr fontId="1"/>
  </si>
  <si>
    <t>https://www.marklines.com/en/global/443</t>
    <phoneticPr fontId="1"/>
  </si>
  <si>
    <t>Mie</t>
  </si>
  <si>
    <t>https://www.marklines.com/en/global/439</t>
    <phoneticPr fontId="1"/>
  </si>
  <si>
    <t>Saitama</t>
  </si>
  <si>
    <t>Mexico</t>
    <phoneticPr fontId="1"/>
  </si>
  <si>
    <t>Ohio</t>
  </si>
  <si>
    <t>https://www.marklines.com/en/global/567</t>
    <phoneticPr fontId="1"/>
  </si>
  <si>
    <t>Tokyo</t>
  </si>
  <si>
    <t>https://www.marklines.com/en/global/375</t>
    <phoneticPr fontId="1"/>
  </si>
  <si>
    <t>Stellantis (US)</t>
    <phoneticPr fontId="1"/>
  </si>
  <si>
    <t>Indonesia</t>
    <phoneticPr fontId="1"/>
  </si>
  <si>
    <t>https://www.marklines.com/en/global/2459</t>
    <phoneticPr fontId="1"/>
  </si>
  <si>
    <t>Hokkaido</t>
  </si>
  <si>
    <t>Ford</t>
    <phoneticPr fontId="1"/>
  </si>
  <si>
    <t>Hyundai</t>
    <phoneticPr fontId="1"/>
  </si>
  <si>
    <t>Chery</t>
    <phoneticPr fontId="1"/>
  </si>
  <si>
    <t>Stellantis</t>
    <phoneticPr fontId="1"/>
  </si>
  <si>
    <t>Peugeot</t>
    <phoneticPr fontId="1"/>
  </si>
  <si>
    <t>Portugal</t>
    <phoneticPr fontId="1"/>
  </si>
  <si>
    <t>Citroen</t>
    <phoneticPr fontId="1"/>
  </si>
  <si>
    <t>Fiat</t>
    <phoneticPr fontId="1"/>
  </si>
  <si>
    <t>https://www.marklines.com/en/global/413</t>
    <phoneticPr fontId="1"/>
  </si>
  <si>
    <t>Rivian</t>
    <phoneticPr fontId="1"/>
  </si>
  <si>
    <t>https://www.marklines.com/en/global/3153</t>
    <phoneticPr fontId="1"/>
  </si>
  <si>
    <t>Illinois</t>
  </si>
  <si>
    <t>Brazil</t>
    <phoneticPr fontId="1"/>
  </si>
  <si>
    <t>South Asia/Oceania</t>
    <phoneticPr fontId="1"/>
  </si>
  <si>
    <t>India</t>
    <phoneticPr fontId="1"/>
  </si>
  <si>
    <t>China</t>
    <phoneticPr fontId="1"/>
  </si>
  <si>
    <t>Shanghai</t>
  </si>
  <si>
    <t>Daimler Truck</t>
    <phoneticPr fontId="1"/>
  </si>
  <si>
    <t>Mercedes-Benz Truck</t>
    <phoneticPr fontId="1"/>
  </si>
  <si>
    <t>https://www.marklines.com/en/global/2829</t>
    <phoneticPr fontId="1"/>
  </si>
  <si>
    <t>Geely</t>
    <phoneticPr fontId="1"/>
  </si>
  <si>
    <t>Volvo Cars</t>
    <phoneticPr fontId="1"/>
  </si>
  <si>
    <t>Zhejiang</t>
  </si>
  <si>
    <t>Changan/Chana</t>
    <phoneticPr fontId="1"/>
  </si>
  <si>
    <t>https://www.marklines.com/en/global/4163</t>
    <phoneticPr fontId="1"/>
  </si>
  <si>
    <t>Chongqing</t>
  </si>
  <si>
    <t>GAC</t>
    <phoneticPr fontId="1"/>
  </si>
  <si>
    <t>Guangdong</t>
  </si>
  <si>
    <t>Liaoning</t>
  </si>
  <si>
    <t>Volvo</t>
    <phoneticPr fontId="1"/>
  </si>
  <si>
    <t>France</t>
    <phoneticPr fontId="1"/>
  </si>
  <si>
    <t>Mercedes-Benz Group</t>
    <phoneticPr fontId="1"/>
  </si>
  <si>
    <t>Mercedes-Benz</t>
    <phoneticPr fontId="1"/>
  </si>
  <si>
    <t>Great Wall</t>
    <phoneticPr fontId="1"/>
  </si>
  <si>
    <t>Hubei</t>
  </si>
  <si>
    <t>Jeep</t>
    <phoneticPr fontId="1"/>
  </si>
  <si>
    <t>https://www.marklines.com/en/global/2845</t>
    <phoneticPr fontId="1"/>
  </si>
  <si>
    <t>Poland</t>
    <phoneticPr fontId="1"/>
  </si>
  <si>
    <t>Suzuki</t>
    <phoneticPr fontId="1"/>
  </si>
  <si>
    <t>Haval</t>
    <phoneticPr fontId="1"/>
  </si>
  <si>
    <t>Pakistan</t>
    <phoneticPr fontId="1"/>
  </si>
  <si>
    <t>Nissan</t>
    <phoneticPr fontId="1"/>
  </si>
  <si>
    <t>UK</t>
    <phoneticPr fontId="1"/>
  </si>
  <si>
    <t>Maharashtra</t>
  </si>
  <si>
    <t>SAIC</t>
    <phoneticPr fontId="1"/>
  </si>
  <si>
    <t>Dongfeng</t>
    <phoneticPr fontId="1"/>
  </si>
  <si>
    <t>Sokon</t>
    <phoneticPr fontId="1"/>
  </si>
  <si>
    <t>https://www.marklines.com/en/global/9578</t>
    <phoneticPr fontId="1"/>
  </si>
  <si>
    <t>Shandong</t>
  </si>
  <si>
    <t>https://www.marklines.com/en/global/379</t>
    <phoneticPr fontId="1"/>
  </si>
  <si>
    <t>Austria</t>
    <phoneticPr fontId="1"/>
  </si>
  <si>
    <t>Tennessee</t>
  </si>
  <si>
    <t>Audi</t>
    <phoneticPr fontId="1"/>
  </si>
  <si>
    <t>Belgium</t>
    <phoneticPr fontId="1"/>
  </si>
  <si>
    <t>Italy</t>
    <phoneticPr fontId="1"/>
  </si>
  <si>
    <t>Solaris</t>
    <phoneticPr fontId="1"/>
  </si>
  <si>
    <t>https://www.marklines.com/en/global/1695</t>
    <phoneticPr fontId="1"/>
  </si>
  <si>
    <t>Wuling</t>
    <phoneticPr fontId="1"/>
  </si>
  <si>
    <t>https://www.marklines.com/en/global/3237</t>
    <phoneticPr fontId="1"/>
  </si>
  <si>
    <t>https://www.marklines.com/en/global/570</t>
    <phoneticPr fontId="1"/>
  </si>
  <si>
    <t>Ibaraki</t>
  </si>
  <si>
    <t>https://www.marklines.com/en/global/424</t>
    <phoneticPr fontId="1"/>
  </si>
  <si>
    <t>Iwate</t>
  </si>
  <si>
    <t>https://www.marklines.com/en/global/433</t>
    <phoneticPr fontId="1"/>
  </si>
  <si>
    <t>Anhui</t>
  </si>
  <si>
    <t>https://www.marklines.com/en/global/4153</t>
    <phoneticPr fontId="1"/>
  </si>
  <si>
    <t>Guangxi</t>
  </si>
  <si>
    <t>https://www.marklines.com/en/global/2251</t>
    <phoneticPr fontId="1"/>
  </si>
  <si>
    <t>https://www.marklines.com/en/global/1534</t>
    <phoneticPr fontId="1"/>
  </si>
  <si>
    <t>Aston Martin</t>
    <phoneticPr fontId="1"/>
  </si>
  <si>
    <t>https://www.marklines.com/en/global/393</t>
    <phoneticPr fontId="1"/>
  </si>
  <si>
    <t>Fukuoka</t>
  </si>
  <si>
    <t>https://www.marklines.com/en/global/613</t>
    <phoneticPr fontId="1"/>
  </si>
  <si>
    <t>Africa</t>
    <phoneticPr fontId="1"/>
  </si>
  <si>
    <t>South Africa</t>
    <phoneticPr fontId="1"/>
  </si>
  <si>
    <t>https://www.marklines.com/en/global/381</t>
    <phoneticPr fontId="1"/>
  </si>
  <si>
    <t>https://www.marklines.com/en/global/2773</t>
    <phoneticPr fontId="1"/>
  </si>
  <si>
    <t>Aion</t>
    <phoneticPr fontId="1"/>
  </si>
  <si>
    <t>https://www.marklines.com/en/global/9824</t>
    <phoneticPr fontId="1"/>
  </si>
  <si>
    <t>Sollers</t>
    <phoneticPr fontId="1"/>
  </si>
  <si>
    <t>https://www.marklines.com/en/global/687</t>
    <phoneticPr fontId="1"/>
  </si>
  <si>
    <t>https://www.marklines.com/en/global/3371</t>
    <phoneticPr fontId="1"/>
  </si>
  <si>
    <t>https://www.marklines.com/en/global/463</t>
    <phoneticPr fontId="1"/>
  </si>
  <si>
    <t>JAC</t>
    <phoneticPr fontId="1"/>
  </si>
  <si>
    <t>https://www.marklines.com/en/global/3865</t>
    <phoneticPr fontId="1"/>
  </si>
  <si>
    <t>https://www.marklines.com/en/global/1325</t>
    <phoneticPr fontId="1"/>
  </si>
  <si>
    <t>https://www.marklines.com/en/global/2781</t>
    <phoneticPr fontId="1"/>
  </si>
  <si>
    <t>https://www.marklines.com/en/global/3061</t>
    <phoneticPr fontId="1"/>
  </si>
  <si>
    <t>South Carolina</t>
  </si>
  <si>
    <t>https://www.marklines.com/en/global/9039</t>
    <phoneticPr fontId="1"/>
  </si>
  <si>
    <t>https://www.marklines.com/en/global/3687</t>
    <phoneticPr fontId="1"/>
  </si>
  <si>
    <t>Netherlands</t>
    <phoneticPr fontId="1"/>
  </si>
  <si>
    <t>Lordstown Motors</t>
    <phoneticPr fontId="1"/>
  </si>
  <si>
    <t>https://www.marklines.com/en/global/2495</t>
    <phoneticPr fontId="1"/>
  </si>
  <si>
    <t>https://www.marklines.com/en/global/2381</t>
    <phoneticPr fontId="1"/>
  </si>
  <si>
    <t>Magna Steyr</t>
    <phoneticPr fontId="1"/>
  </si>
  <si>
    <t>https://www.marklines.com/en/global/1809</t>
    <phoneticPr fontId="1"/>
  </si>
  <si>
    <t>https://www.marklines.com/en/global/569</t>
    <phoneticPr fontId="1"/>
  </si>
  <si>
    <t>Gunma</t>
  </si>
  <si>
    <t>https://www.marklines.com/en/global/593</t>
    <phoneticPr fontId="1"/>
  </si>
  <si>
    <t>Ishikawa</t>
  </si>
  <si>
    <t>https://www.marklines.com/en/global/297</t>
    <phoneticPr fontId="1"/>
  </si>
  <si>
    <t>https://www.marklines.com/en/global/9108</t>
    <phoneticPr fontId="1"/>
  </si>
  <si>
    <t>DS</t>
    <phoneticPr fontId="1"/>
  </si>
  <si>
    <t>Miyagi</t>
  </si>
  <si>
    <t>Shizuoka</t>
  </si>
  <si>
    <t>Renault Trucks</t>
    <phoneticPr fontId="1"/>
  </si>
  <si>
    <t>Arrival</t>
    <phoneticPr fontId="1"/>
  </si>
  <si>
    <t>https://www.marklines.com/en/global/10552</t>
    <phoneticPr fontId="1"/>
  </si>
  <si>
    <t>https://www.marklines.com/en/global/1655</t>
    <phoneticPr fontId="1"/>
  </si>
  <si>
    <t>https://www.marklines.com/en/global/395</t>
    <phoneticPr fontId="1"/>
  </si>
  <si>
    <t>https://www.marklines.com/en/global/8480</t>
    <phoneticPr fontId="1"/>
  </si>
  <si>
    <t>https://www.marklines.com/en/global/387</t>
    <phoneticPr fontId="1"/>
  </si>
  <si>
    <t>Maserati</t>
    <phoneticPr fontId="1"/>
  </si>
  <si>
    <t>Paccar</t>
    <phoneticPr fontId="1"/>
  </si>
  <si>
    <t>DAF</t>
    <phoneticPr fontId="1"/>
  </si>
  <si>
    <t>https://www.marklines.com/en/global/1483</t>
    <phoneticPr fontId="1"/>
  </si>
  <si>
    <t>Leapmotor</t>
    <phoneticPr fontId="1"/>
  </si>
  <si>
    <t>https://www.marklines.com/en/global/9536</t>
    <phoneticPr fontId="1"/>
  </si>
  <si>
    <t>https://www.marklines.com/en/global/9553</t>
    <phoneticPr fontId="1"/>
  </si>
  <si>
    <t>Skoda</t>
    <phoneticPr fontId="1"/>
  </si>
  <si>
    <t>https://www.marklines.com/en/global/1303</t>
    <phoneticPr fontId="1"/>
  </si>
  <si>
    <t>Ebusco</t>
    <phoneticPr fontId="1"/>
  </si>
  <si>
    <t>https://www.marklines.com/en/global/10553</t>
    <phoneticPr fontId="1"/>
  </si>
  <si>
    <t>https://www.marklines.com/en/global/1510</t>
    <phoneticPr fontId="1"/>
  </si>
  <si>
    <t>https://www.marklines.com/en/global/3045</t>
    <phoneticPr fontId="1"/>
  </si>
  <si>
    <t>On October 7, multiple sources reported that Stellantis will halt production at its Melfi plant next week, due to a semiconductor shortage. The Melfi plant, which employs more than 7,000 workers, produces the Jeep Compass and Renegade models, etc.</t>
    <phoneticPr fontId="1"/>
  </si>
  <si>
    <t>On October 7, Toyota Motor Europe announced that Toyota Motor Manufacturing UK (TMUK) marked 30 years of production at its engine plant in Deeside, North Wales. Established as one of the company’s global Eco Plants, it has successfully identified and introduced methods for reducing energy consumption and sourcing renewable energy on-site. 80% of waste from its production processes is recycled and reused to generate electricity and green hydrogen. These and other measures, together with the cooperation of its partner and supplier businesses and other stakeholders, put TMUK Deeside on course to achieve carbon-neutral production by 2025. Deeside is also commencing the production of engines featuring fifth-generation hybrid technology. This year, it is on course to build more than 250,000 units, taking its historic total to more than five million.</t>
    <phoneticPr fontId="1"/>
  </si>
  <si>
    <t>On September 30, Zhejiang Geely Holding Group (Geely Holding), China’s largest privately-owned automotive technology group, announced that it has acquired a shareholding in Aston Martin Lagonda Global Holdings plc (Aston Martin), representing 7.6% of the ordinary share capital of the ultra-luxury British performance brand. Geely Holding said that it can contribute to Aston Martin’s future success. It looks forward to exploring potential opportunities to engage and collaborate with Aston Martin as it continues to execute its strategy to achieve long-term, sustainable growth, and increased profitability.</t>
    <phoneticPr fontId="1"/>
  </si>
  <si>
    <t>On September 29, Seres Group Co., Ltd. announced that it intends to invest CNY 1.5 billion to upgrade a production base for New Energy Vehicles (NEVs). The funds will be raised by the company itself.</t>
    <phoneticPr fontId="1"/>
  </si>
  <si>
    <t>On September 29, Leapmotor announced that the company has been listed on the Hong Kong Stock Exchange. The stock code is 9863. Leapmotor eventually issued 130,819,100 H-shares at HKD 48 apiece. The automaker is expected to raise about HKD 6,057.4 million. The cash raised will be used for research and development, increasing production capacity, and business expansion.</t>
    <phoneticPr fontId="1"/>
  </si>
  <si>
    <t>On September 28, Changan Automobile announced the launch of the Raeton PLUS, a compact sedan. The sedan is equipped with a next-generation Blue Core 1.5L turbocharged HPDI (high pressure direct injection) engine (maximum power output: 138kW, peak torque: 300Nm), paired with a 7-speed wet dual-clutch transmission. It consumes 6.44L of fuel per 100km in WLTC mode. The Raeton PLUS has features such as remote OTA (Over-the-Air) updates. Optional features include Driver Monitoring System (DMS), and Forward Collision Warning (FCW).</t>
    <phoneticPr fontId="1"/>
  </si>
  <si>
    <t>https://www.marklines.com/en/global/9836</t>
    <phoneticPr fontId="1"/>
  </si>
  <si>
    <t>On September 28, the Haval brand of Great Wall Motor (GWM) launched a plug-in hybrid (PHV) version of the Haval H6 compact SUV. The vehicle is built on GWM’s Lemon Hybrid DHT technology. The vehicle adopts a front-engine, front-wheel-drive layout. It is equipped with a 1.5L four-cylinder HV (hybrid vehicle) turbo engine (maximum power output: 113kW, maximum torque: 233Nm) and a drive motor (maximum power output: 130kW, maximum torque: 300Nm). Coupled with a 2-speed DHT (dedicated hybrid transmission), the system delivers a maximum power output of 240kW and a maximum torque of 530Nm. Supporting an NEDC range of up to 110km per charge. The vehicle has features such as a Level 2 driving assistance system integrating Mobileye's "eyeq4" chip, FOTA (Firmware Over-the-Air) upgrades.</t>
    <phoneticPr fontId="1"/>
  </si>
  <si>
    <t>On September 28, SGMW launched the all-new Xingchi small SUV. The vehicle is available in three powertrain options: 1.5L engine (maximum power output: 73kW, maximum torque: 143Nm) + 6-speed MT / 8-speed CVT or 1.5T turbo engine (maximum power output: 108kW, maximum torque: 250Nm) + 8-speed CVT. All of them adopt a front-engine, front-wheel-drive layout. The vehicle has standard features such as an Anti-lock Braking System (ABS) with Electronic Brakeforce Distribution (EBD).</t>
    <phoneticPr fontId="1"/>
  </si>
  <si>
    <t>On September 28, Guangzhou Automobile Group Co., Ltd. (GAC Group) announced on its official website that GAC Aion launched the AION Y Plus, an all-new compact electric SUV. The vehicle is equipped with a motor that delivers a maximum power output of 150kW and a maximum torque of 225Nm. It is powered by a 63.98kWh lithium iron phosphate battery or a 76.8kWh ternary lithium battery, both of which adopt magazine battery technology (including a three-dimensional rapid cooling system and a 5th-generation battery management system). The 76.8kWh ternary lithium battery provides a range of 610km. </t>
    <phoneticPr fontId="1"/>
  </si>
  <si>
    <t>On September 28, Leapmotor launched the C01 mid-size electric sedan. The RWD version is equipped with a permanent magnet synchronous motor that has a maximum power output of 200kW and a maximum torque of 360Nm. The 4WD version is equipped with two permanent magnet synchronous motors delivering a maximum power output of 400kW (front: 200kW, rear: 200kW) and a maximum torque of 720Nm (front: 360Nm, rear: 360Nm). Both versions are mated to a 1-speed transmission. The C01 is powered by lithium iron phosphate or ternary lithium-ion battery, both of which support fast charging. It can accelerate to 100km/h within 3.66 seconds. The C01 boasts a Leapmotor Pilot system which includes 12 ultrasonic radars and Automatic Lane Change (ALC). Other features include a Qualcomm Snapdragon 8155P chip and OTA (over-the-air) remote updates.</t>
    <phoneticPr fontId="1"/>
  </si>
  <si>
    <t>On September 27, JAC Motors signed a strategic partnership agreement with Jinglv Environment Science and Technology Co., Ltd. (Jinglv Environment) in Hefei, Anhui Province. The two companies will collaborate in areas such as intelligence, new energy and chassis integration of sanitation vehicles, aiming to develop advanced ESG (Environmental, Social and Governance) solutions. In addition, they decided to popularize 5,000 new energy heavy trucks for sanitation use.</t>
    <phoneticPr fontId="1"/>
  </si>
  <si>
    <t>On October 6, Toyota introduced the 2023 Highlander model, arriving at U.S. dealerships in October from the Princeton Plant in Indiana, with a new turbocharged engine. 2023 Highlander gas models are now equipped with a new 265 hp, 2.4-liter turbocharged four-cylinder, which replaces the previous 263-hp 3.5-liter V6 engine with more than a 50% reduction in NOx and NMOG. The Highlander Hybrid combines a high-efficiency 2.5-liter DOHC four-cylinder engine with two electric motor-generators.</t>
    <phoneticPr fontId="1"/>
  </si>
  <si>
    <t>On October 5, INDIEV Inc. and Hon Hai Technology Group (Foxconn) announced the signing of a Memorandum of Understanding for Foxconn Ohio to build the first INDI One prototype vehicles. Potential collaboration, beyond the prototype build, will be disclosed at a later date. This MOU serves as first step towards delivering vehicles to customers for INDIEV, who began development of the INDI One in 2017, and revealed the vehicle publicly in October of 2021.</t>
    <phoneticPr fontId="1"/>
  </si>
  <si>
    <t>On October 4, GM announced the start of exports of the Chevrolet Tracker SUV from Argentina to Colombia and Brazil. The first 5,000 units have already been produced during the month of September. While sales of the Rosario-built Tracker have already begun in Argentina, 80% of the production of the SUV is destined for export. The Rosario plant is now the third manufacturing center for the Chevrolet Tracker, along with the SAIC-GM Norsom plant in China and the GM São Caetano do Sul plant in Brazil. By sharing responsibility for the Tracker with the Argentine plant, GM is creating space at the São Caetano do Sul plant for the Chevrolet Montana, whose production will soon begin, allowing the Brazilian plant to satisfy demand in its own country and Mexico.</t>
    <phoneticPr fontId="1"/>
  </si>
  <si>
    <t>https://www.marklines.com/en/global/8739</t>
    <phoneticPr fontId="1"/>
  </si>
  <si>
    <t>On September 29, Audi advanced its plans to install a solar park on the grounds of its San José Chiapa plant with a request for an Environmental Impact Assessment (MIA) from the Ministry of the Environment and Natural Resources (Semarnat). Construction of the project would be executed in no more than 15 months, and the operational stage would cover a period of 25 years. The solar park will supply the San José Chiapa plant with an installed capacity of 5,195 peak kilowatts in direct current and a net generation of 4,200 kilowatts in alternating current.</t>
    <phoneticPr fontId="1"/>
  </si>
  <si>
    <t>On October 7, ŠKODA AUTO announced a partnership with Thanh Cong Motor Vietnam (TC Motor), Vietnam to offer the first European models in the country as early as 2023. The company anticipates an initial sales volume of 30,000 vehicles per year, and over 40,000 units annually from 2030. Initially, the KODIAQ, KAROQ, SUPERB, and OCTAVIA model series will successively be imported from Europe, starting in 2023. The construction of a TC Motor-owned production line is already underway and should be completed in the first half of 2024. Assembly of the made-in-India KUSHAQ and SLAVIA model series from CKD format will then begin in 2024. The KUSHAQ will be available to order in the first half of 2024, and orders for the SLAVIA can be placed from the fourth quarter of 2024. A 16,000- square-meter plant is being built in Pune to manufacture the respective subassemblies. The all-electric ENYAQ iV family models will round off the local portfolio in Vietnam after 2025.</t>
    <phoneticPr fontId="1"/>
  </si>
  <si>
    <t>CaetanoBus</t>
    <phoneticPr fontId="1"/>
  </si>
  <si>
    <t>https://www.marklines.com/en/global/1386</t>
    <phoneticPr fontId="1"/>
  </si>
  <si>
    <t>On October 6, CaetanoBus and Industria Italiana Autobus S.p.A. (IIA) announced a partnership to bring hydrogen bus production to Italy. By the end of 2022, IIA will initially market the Hydrogen buses produced by CaetanoBus, co-branded with Toyota. From 2024 IIA will start direct production of buses for the Italian and international markets equipped with the H2.City Power Kit developed by CaetanoBus. The hydrogen-powered city buses are based on Toyota Fuel Cell technology and an H2.City Power Kit system developed by CaetanoBus. </t>
    <phoneticPr fontId="1"/>
  </si>
  <si>
    <t>On October 6, Renault Trucks announced the opening of pre-orders for the Renault Trucks E-Tech T and C, dedicated respectively to regional transport and urban construction. Production of these new 44-tonne electric trucks is due to start at the end of 2023 in Bourg-en-Bresse, France. The trucks can be ordered with two or three electric motors providing a combined power of up to 490 kW. The battery cells and modules will be supplied by Samsung SDI and assembled in Ghent, Belgium, in a Volvo Group plant, to which Renault Trucks belongs. </t>
    <phoneticPr fontId="1"/>
  </si>
  <si>
    <t>https://www.marklines.com/en/global/109</t>
    <phoneticPr fontId="1"/>
  </si>
  <si>
    <t>On October 6, DAF Trucks introduced a completely new range of drivelines for its popular LF distribution series. The new PACCAR PX-5 and PX-7 engines in combination with the new automatic 8-speed PowerLine gearboxes result in up to 7% higher fuel efficiency compared to the already very efficient models. The 4.5 liter 4-cylinder PACCAR PX-5 engine and the 6.7 liter 6-cylinder PACCAR PX-7 engine have been completely redesigned. Both engines are characterized by a new lightweight yet ultra-strong Compacted Graphite Iron (CGI) block and cast-iron cylinder head, new low-friction pistons, new highly efficient compressors, and a new waste-gate turbo.</t>
    <phoneticPr fontId="1"/>
  </si>
  <si>
    <t>https://www.marklines.com/en/global/10274</t>
    <phoneticPr fontId="1"/>
  </si>
  <si>
    <t>On October 6, Comau announced that it has been selected by Automotive Cells Company (ACC) to design and develop a highly integrated battery module production line for its future Gigafactory in Billy-Bercalu Douvrain, France. Featuring the inherent flexibility to handle both 8- and 16-cell modules, the Comau-designed lines will allow ACC to produce up to 8 Gigawatt hours (GWh) annually by the end of 2024.  Comau has provided ACC with the necessary technology and know-how to automate the entire end-to-end production process, which includes prismatic cell preparation and testing, the stacking, welding, and final assembly, all the way to the final end-of-line testing. </t>
    <phoneticPr fontId="1"/>
  </si>
  <si>
    <t>https://www.marklines.com/en/global/3187</t>
    <phoneticPr fontId="1"/>
  </si>
  <si>
    <t>Mississippi</t>
  </si>
  <si>
    <t>On October 6, Nissan celebrated production of 5 million vehicles at Canton Vehicle Assembly Plant, paving the path for EV production, set to begin in 2025. The team looks toward future transformation, one that will bring two all-new, all-electric models to the U.S. market.</t>
    <phoneticPr fontId="1"/>
  </si>
  <si>
    <t>https://www.marklines.com/en/global/401</t>
    <phoneticPr fontId="1"/>
  </si>
  <si>
    <t>According to the 2022 edition of "Environmental Preservation Initiatives" (issued in June 2022), which is available on Toyota Motor Hokkaido, Inc.'s official website, the company is promoting thorough energy conservation and the introduction of renewable energy to reduce CO2 emissions. For example, in energy conservation activities, the company has taken on the challenge of just-in-time supply of air conditioning on the plant floor due to inefficient stopping times of the large air conditioning equipment at its plant. The programs to operate air conditioning used to be created based on monthly production plans, but the company switched to a method of obtaining end of production information directly from line workers, enabling just-in-time supply. This has resulted in an annual reduction of 93 tons of CO2 emissions. In terms of renewable energy, a 2MW photovoltaic power generation system was installed on the company's premises. In the "Promotion of Environmental Preservation" section, the company reports on the results of its activities from April 2021 to March 2022.</t>
    <phoneticPr fontId="1"/>
  </si>
  <si>
    <t>On October 5, Mazda announced the production startup for the new Mazda CX-3 at the Salamanca plant. Production of the Mazda CX-3 required a year of planning and investment of USD 60 million. The company plans to produce around 15,000 units per year, primarily for the Mexican market.</t>
    <phoneticPr fontId="1"/>
  </si>
  <si>
    <t>https://www.marklines.com/en/global/2853</t>
    <phoneticPr fontId="1"/>
  </si>
  <si>
    <t>On October 5, GM do Brasil announced that its plant in Joinville will begin operating on three shifts as of November 1, adding 130 workers. With addition of the third shift, the factory's production capacity will grow by 30%, from 312,000 units per year to 410,000 units per year. Engines will be exported and used in the upcoming Chevrolet Montana pickup, built at São Caetano do Sul. The Joinville plant has a robust energy efficiency system, using photovoltaic energy, in addition to recycling industrial water through reverse osmosis and treating effluents and sewage in filter gardens.</t>
    <phoneticPr fontId="1"/>
  </si>
  <si>
    <t>On September 30, Toyota Motor Corporation (Toyota) announced additional suspensions of operations in October at some plants and production lines in Japan. Due to the impact of semiconductor shortages, Toyota announced adjustments to October production in Japan on September 22. However, the company has decided to make additional suspensions of operations as below. Specifically, Toyota will suspend production at the Tsutsumi Plant's Production Line #1 for 7 days. The company will also suspend production at the Tahara Plant's Production Line #1 for 10 days in addition to the 2 days announced on September 22. Toyota Motor Kyushu, Inc. will suspend production at the Miyata Plant's Production Line #2 for 10 days in addition to the 2 days announced on September 22. Toyota Auto Body Co., Ltd. will suspend production at the Inabe Plant's Production Line #1 for one day. Hino Motors, Ltd. will suspend production at the Hamura Plant's Production Line #1 for 8 days in addition to the 5 days announced on September 22. The global production volume affected by this decision is approximately 50,000 units (including 25,000 units in Japan), and although Toyota previously announced that its global production plan for October was approximately 800,000 units, it is expected to be around 750,000 units by this decision.</t>
    <phoneticPr fontId="1"/>
  </si>
  <si>
    <t>https://www.marklines.com/en/global/357</t>
    <phoneticPr fontId="1"/>
  </si>
  <si>
    <t>Reported on September 29, Suzuki Hybrid Ertiga has officially been launched in Vietnam. Imported in the CBU form from Indonesia, this Ertiga, which became the first hybrid car in the MPV segment in Vietnam, is distributed in 3 versions: the Hybrid Ertiga with Manual Transmission, with automatic transmission, and the Hybrid Ertiga Sport Limited version (AT).</t>
    <phoneticPr fontId="1"/>
  </si>
  <si>
    <t>According to the "Environmental Report 2021" (issued in June 2022) published by Toyota Motor East Japan, Inc. on its official website, the company has introduced a solar power generation system (2000kW) at its Iwate Plant in 2021. The full-scale introduction of the system, which began on a trial basis in 2018, is expected to reduce CO2 emissions by 800 tons per year. As a member of the Toyota Group, the company is working to realize the "Toyota Environmental Challenge 2050" announced by Toyota Motor Corporation in October 2015. In the latest version of the "Environmental Action Plan" (five-year plan starting in FY2021), which is formulated every five years, the company is working on a plan to reduce CO2 emissions by 30% from 2013 fiscal year levels through the introduction of renewable energy and innovative technologies.</t>
    <phoneticPr fontId="1"/>
  </si>
  <si>
    <t>According to the "Environmental Report 2022" (issued in August 2022) published by Toyota Motor Kyushu, Inc. on its official website, the company has been promoting the introduction of solar electric power generation since fiscal 2016 to expand the use of renewable energy. In fiscal 2021 (April 2021-March 2022), the Miyata Plant and Kanda Plant installed solar electric power generation facilities with a capacity of 0.25MW and 1.1MW, respectively. The installed capacity from FY2016 to FY2021 reached a cumulative total of 9.4MW, generating 8.2MWh of electricity (enough for approximately 1,800 households) in fiscal 2021 and reducing CO2 emissions by 3,900 tons per year. In addition to the introduction of solar electric power generation, the company aims to achieve carbon neutrality at its plants by 2035 through the introduction of innovative technologies at its production facilities and the use of hydrogen.</t>
    <phoneticPr fontId="1"/>
  </si>
  <si>
    <t>https://www.marklines.com/en/global/9925</t>
    <phoneticPr fontId="1"/>
  </si>
  <si>
    <t>According to the "Environmental Report 2022" (issued in August 2022), which is available on Primearth EV Energy Co., Ltd.'s (Primearth EV Energy's) official website, the company plans to achieve carbon neutrality by 2035 at its plants by reducing energy consumption, introducing renewable energy generation, and utilizing non-fossil fuel electric power sources. As for the introduction of renewable energy power generation, solar panels will be installed on the roofs that can be loaded with solar energy as much as possible. The company also plans to install solar panels at its Arai Plant (Kosai City, Shizuoka Prefecture), which is currently under construction. The company's current rated electric power output is 0.65MW overall, but it plans to increase this to 5MW by 2035.</t>
    <phoneticPr fontId="1"/>
  </si>
  <si>
    <t>https://www.marklines.com/en/global/9926</t>
    <phoneticPr fontId="1"/>
  </si>
  <si>
    <t>https://www.marklines.com/en/global/9927</t>
    <phoneticPr fontId="1"/>
  </si>
  <si>
    <t>https://www.marklines.com/en/global/10502</t>
    <phoneticPr fontId="1"/>
  </si>
  <si>
    <t>https://www.marklines.com/en/global/371</t>
    <phoneticPr fontId="1"/>
  </si>
  <si>
    <t>According to its “Sustainability Data Book”, Toyota Motor Corporation (Toyota) is promoting the introduction of renewable energy and the utilization of hydrogen with the aim of achieving zero CO2 emissions at global plants by 2050. As for the utilization of hydrogen, Toyota is installing hydrogen-fueled power generators (stationary fuel cell (FC) power generator using in-vehicle fuel cell) and conducting verification testing at the Shimoyama and Honsha Plants. In addition to a stationary FC generator, the Honsha Plant also introduced two other types of power generating facilities: a pure hydrogen FC generator with high power generating efficiency that enables the use of waste heat, and a gas engine generator capable of co-firing natural gas and hydrogen. The combined generating capacity is 600kW, and a portion of the hydrogen fuel used is recovered hydrogen that in the past was released. Verification tests are underway to achieve highly efficient power generation systems.</t>
    <phoneticPr fontId="1"/>
  </si>
  <si>
    <t>On October 3, Rivian Automotive announced it produced 7,363 vehicles at its manufacturing facility in Normal, Illinois and delivered 6,584 vehicles during the same period. The company believes it is on track to deliver the 25,000 annual production guidance previously provided.</t>
    <phoneticPr fontId="1"/>
  </si>
  <si>
    <t>On September 30, BMW announced it has produced the six millionth BMW built at its Spartanburg, South Carolina plant. Thirty years ago on September 30, 1992, BMW Chairman Eberhard von Kuenheim broke ground to build the company’s first full manufacturing plant outside of Germany, and now the largest BMW Group plant in the world, with an annual production capacity of up to 450,000 vehicles.</t>
    <phoneticPr fontId="1"/>
  </si>
  <si>
    <t>On October 4, Stellantis announced that three engines are available the DS 4 E-TENSE 225, a plug-in hybrid, the PureTech 130 gasoline, and the BlueHDi 130 diesel. DS 4 E-TENSE 225 now achieves a zero-emission range of 62 kilometers in the WLTP combined cycle (up 13%). This increase is due to improved software management.</t>
    <phoneticPr fontId="1"/>
  </si>
  <si>
    <t>https://www.marklines.com/en/global/1327</t>
    <phoneticPr fontId="1"/>
  </si>
  <si>
    <t>On October 3, Maserati launches the new GranTurismo with a powerful internal combustion engine and with the most innovative 100% electric solutions. It is the first car in the brand’s history to adopt a 100% electric powertrain. Developed at the Maserati Innovation Lab and produced at the Mirafiori manufacturing hub in Turin, the new coupé is equipped with the revolutionary V6 Nettuno engine, available in two versions. Alternatively, the GranTurismo Folgore adopts a 100% electric battery-based powertrain. The Folgore system is based on 800-volt technology. It has three powerful 300-kW permanent magnet motors. The battery has a nominal capacity of 92.5 kWh and a discharge capacity of 560 kW. In terms of technical architecture, the new model is the result of an innovative project that makes extensive use of lightweight materials such as aluminum and magnesium, together with high-performance steel. This approach is paired with the new Atlantis High electrical/electronic architecture, based on canFD messages sent at speeds of up to 2 ms. The system also comes with advanced level 5 cyber-security and flash-over-the-air features.</t>
    <phoneticPr fontId="1"/>
  </si>
  <si>
    <t>https://www.marklines.com/en/global/1029</t>
    <phoneticPr fontId="1"/>
  </si>
  <si>
    <t>On October 3, Honda Atlas Cars Pakistan announced that the company planned to shut down its plant from October 4 to October 11, 2022, due to the current economic condition of the country. The company mentioned that its supply chain has been distrusted due to the stringent measures taken by the government including minimizing the import of CKD kits and raw materials.</t>
    <phoneticPr fontId="1"/>
  </si>
  <si>
    <t>On October 3, GM announced that it sold 555,580 vehicles in the U.S. in Q3 2022. Chevrolet Bolt EV and Bolt EUV will increase production at its Orion plant from approximately 44,000 vehicles in 2022 to more than 70,000 in 2023. Ultium Cells opened its Warren, Ohio, plant which will help Cadillac Lyriq production in Springhill, Tennessee, to increase in 2023. GM is pulling ahead body shop upgrades at Factory ZERO for the Silverado EV, causing GM to pause production of the GMC Hummer EV Pickup for several weeks starting in late November. Additional production shifts for GMC Hummer EV are planned for 2023.</t>
    <phoneticPr fontId="1"/>
  </si>
  <si>
    <t>https://www.marklines.com/en/global/2523</t>
    <phoneticPr fontId="1"/>
  </si>
  <si>
    <t>On September 27, Ford South Africa announced the next-generation Ford Everest. It has a new 3.0L V6 diesel engine, which is exclusively available in the range-topping Everest Platinum. The maximum power output is 184kW, combined with a substantial 600Nm of torque. Powering the Everest Sport is the proven 2.0L Bi-Turbo diesel engine. In its latest guise, this engine produces 154kW allied to 500Nm of torque. Both engines are teamed up with Ford's advanced 10-speed SelectShift automatic transmission.</t>
    <phoneticPr fontId="1"/>
  </si>
  <si>
    <t>On October 3, Skoda Auto Volkswagen India announced that it has started the shipment of the made-in-India Kushaq LHD (left-hand-drive). The Kushaq is the first-ever locally-built Skoda model to be exported from India. The first consignment of Kushaq LHD SUVs is headed to Arab Gulf Cooperation Council (AGCC) countries.</t>
    <phoneticPr fontId="1"/>
  </si>
  <si>
    <t>https://www.marklines.com/en/global/10326</t>
    <phoneticPr fontId="1"/>
  </si>
  <si>
    <t>Singapore</t>
    <phoneticPr fontId="1"/>
  </si>
  <si>
    <t>On September 30, TeamViewer announced a partnership with Hyundai Motor Company to digitalize business operations and manufacturing processes for Hyundai Motor Group Innovation Center in Singapore (HMGICS). TeamViewer and Hyundai will cooperate to maximize digitalization benefits in HMGICS' smart factory using TeamViewer's augmented reality (AR) platform, which includes mixed reality (MR) and artificial intelligence (AI) capabilities. HMGICS aims to develop new EV business models, forge innovative partnerships, produce mobility products, and develop the Group's intelligent manufacturing platform to revolutionize the overall mobility value chain. The two companies will conduct joint R&amp;D activities in AR-powered smart factory operations, immersive digital experience for frontline workers, and AI support for a future automotive factory.</t>
    <phoneticPr fontId="1"/>
  </si>
  <si>
    <t>On September 30, Ebusco introduced Ebusco 2.2 bus with right-hand drive in Australia, taking the first steps in its expansion plans for Australia. With its proven concept, the Ebusco 2.2 can drive up to 450 km on a single charge in a broad range of climate and weather conditions. With this model, Ebusco is offering a new way of zero-emission traveling in Australia with a spacious design, USB ports at every seat, and a quiet and smooth operation that is synonymous with electric buses.</t>
    <phoneticPr fontId="1"/>
  </si>
  <si>
    <t>On September 30, Arrival announced that it has produced the first production verification vehicle from its Bicester Microfactory. Arrival produced the first Van in a Microfactory using in-house technologies, including composite materials, autonomous mobile robots, in-house components, and a software-defined factory. The Arrival Vans produced this year in its first Microfactory in Bicester, UK, will be used for continued testing, validation, and quality control, rather than being sold to customers.</t>
    <phoneticPr fontId="1"/>
  </si>
  <si>
    <t>On September 30, Stellantis announced that the 12,500,000th vehicle left the assembly lines of its vehicle plant in Tychy, Poland. The car is a two-tone Fiat 500 Dolcevita, equipped with a state-of-the-art hybrid propulsion system, which will go to a customer in Belgium. Tychy plant will soon start production of the all-new Jeep Avenger, the first-ever fully electric Jeep SUV and the first electric vehicle produced in Poland for the mainstream market.</t>
    <phoneticPr fontId="1"/>
  </si>
  <si>
    <t>On September 29, the Ministry of Industry and Trade of the Russian Federation announced the premiere of the Aurus Komendant SUV. It has a high level of localization. 70% of component suppliers are Russian companies, assembly will be carried out at a plant in Tatarstan (Yelabuga). More than a hundred Russian manufacturers of components, assemblies, components, and interior solutions participated in the production of the car. The car also has a Russian engine and gearbox. The export deliveries of the car may begin in the medium term. The creators of Aurus invest in the development of new, advanced, and extremely capital-intensive technologies, and the profit from sales goes to new developments.</t>
    <phoneticPr fontId="1"/>
  </si>
  <si>
    <t>On September 30, the BMW Group announced that a modular production system for chassis components ensures even more flexibility in the production of different vehicle variants at its Dingolfing plant. After the innovative production system has been covering parts of axle production with great success since 2019, it is now being used in full of the new BMW 7 Series. In the future, all axle carriers for the different drive variants will run on the same production line in component plant 02.10 of the Dingolfing plant. Instead of building the components one after the other in a kind of chaining of the individual steps, several variants can now be produced in parallel. The production volume or "throughput" can also be easily scaled by adding additional workstations. In the new system, robots position the components for the individual process steps. At the same time, the innovative manufacturing system promotes further digitization throughout production by intelligently linking a wide variety of manufacturing data and process parameters. The new gripper devices are about a ton lighter. In addition, the robot grippers can be used in a variety of ways, and over a longer period, they still fit after model changes and thus also increase the sustainability of production. The omission of compressed air when handling the axle carrier reduces the energy requirement of the process by more than 90% from around 18,000 kilowatt hours to around 900-kilowatt hours per year.</t>
    <phoneticPr fontId="1"/>
  </si>
  <si>
    <t>On September 29, Solaris inaugurated a new Warehouse Hall and an innovative Charging Park for e-vehicles. The new Warehouse Hall has a surface area of 10,000 square meters. It has been built near the Solaris factory. The new warehouse plays a key role in the supply chain of parts and components needed for the manufacturing of Solaris buses and trolleybuses. The new warehouse facility has a reinforced roof, with 572 photovoltaic cells with a total capacity of 260 kWp installed on it. The Charging Park is an innovative, multi-bay charging station for battery-powered vehicles: e-buses, hydrogen buses, and trolleybuses. This is the first charging park supporting the Vehicle-to-Grid (V2G) functionality in Poland. It enables Solaris to test new technologies and functionalities as regards the charging and discharging of e-vehicles it has manufactured. The Charging Park also features photovoltaic panels.</t>
    <phoneticPr fontId="1"/>
  </si>
  <si>
    <t>https://www.marklines.com/en/global/10535</t>
    <phoneticPr fontId="1"/>
  </si>
  <si>
    <t>On September 29, Aurobay announced that it has joined the FordonsKomponentGruppen's (FKG). FKG is the Scandinavian trade body for suppliers to the automotive industry. With over 300 members, FKG acts as the voice for its members towards the industry, politicians, authorities, and the media. It is also a forum where the industry can meet and develop relationships and opportunities for growth. As Aurobay expands its business beyond Volvo Cars, it is also looking forward to developing strong new partnerships and sharing knowledge to support the transition to net zero.</t>
    <phoneticPr fontId="1"/>
  </si>
  <si>
    <t>On September 30, Northvolt announced Labhouse, its latest office building in Västerås. Positioned as a dynamic space to support the operations of the Northvolt Labs campus on which it is situated, Labhouse, built in partnership with Castellum, will provide office space for 900 Northvolt employees. The building will be fully equipped with meeting rooms, a co-working hub, an auditorium, and a showroom. It will open its doors in April 2023. Aiming to reduce the use of materials that carry high carbon footprints, Labhouse extensively features wood throughout its construction. Since Labhouse is designed to be sustainable throughout its lifetime, powering the building with renewable energy sources is key. This includes solar energy from solar panels on the roof, and geothermal energy system.</t>
    <phoneticPr fontId="1"/>
  </si>
  <si>
    <t>On September 29, Chery announced its car production in Indonesia, utilizing a partner factory owned by Handal Indonesia Motor in Pondok Ungu, Bekasi, West Java. Initial production started on September 20, 2022. The production, which began with the Tiggo 7 Pro and Tiggo 8 Pro SUVs, is set to reach 240 units before the launch in October. In this early stage, all units are locally assembled using spare parts produced by the Chery Automobile’s plant in China.</t>
    <phoneticPr fontId="1"/>
  </si>
  <si>
    <t>On September 26, Toyota Motor Corporation (Toyota) announced that, along with a partially upgraded Harrier SUV, it will launch a new model equipped with a plug-in hybrid system (PHV) in October. The PHV is equipped with a 2,487cc engine (maximum output 130kW / peak torque 219Nm, same below), a front motor (134kW / 270Nm), a rear motor (40kW / 121Nm), and lithium-ion drive battery with 18.1kWh of total power. The model uses E-Four (electric four-wheel drive system) and delivers a maximum system output of 225kW. The gasoline and hybrid versions of the partially upgraded Harrier will go on sale on October 4, while the newly introduced PHV will go on sale on October 31.</t>
    <phoneticPr fontId="1"/>
  </si>
  <si>
    <t>On September 22, Nissan Motor Co., Ltd. (Nissan) announced that it will launch the Skyline sports sedan at the end of October with partial specification changes and revised prices. The new version of the Skyline includes a new exterior color, midnight purple, for the 400R grade. A Brown Interior Package is also available as a new interior option (available for each grade), which adds a chic and premium look. Along with the specification changes, the hybrid vehicle (HV) model has been dropped from the lineup.</t>
    <phoneticPr fontId="1"/>
  </si>
  <si>
    <t>On September 22, Honda Motor Co., Ltd. (Honda) announced the Suzuka Factory utilization rate is expected to be about 60% in early October compared to the previous production plan. Also, the early October utilization rate of the Saitama Factory Automobile Plant is expected to be about 70%. The situation remains unstable due to a combination of factors, including the spread of COVID-19 and the shortage of semiconductors.</t>
    <phoneticPr fontId="1"/>
  </si>
  <si>
    <t>On September 22, Hino Motors, Ltd. (Hino) announced that the Japanese Ministry of Land, Infrastructure, Transport and Tourism (MLIT) has issued an administrative disposition cancelling the type designation of equipment for carbon monoxide emission control systems for one E13C/Urea SCR engine for trucks and buses and three engines for construction equipment because their emission performance was found not to comply with the standards. The E13C/Urea SCR engine is installed in Hino's Profia heavy-duty truck and S'elega heavy-duty sightseeing bus, as well as in Isuzu Motor Limited's Gala heavy-duty sightseeing bus. The MLIT also canceled the type designation of the carbon monoxide emission prevention device for Isuzu's E13C/Urea SCR engine. Hino states that it will formulate and implement drastic measures to prevent recurrence in light of the corrective order received from MLIT on September 9.</t>
    <phoneticPr fontId="1"/>
  </si>
  <si>
    <t>On September 22, Honda Motor Co., Ltd. (Honda) announced that it would launch its minor-changed minicar "N-WGN" on the following day, the 23rd. The upgraded N-WGN is the first Honda model to adopt the sudden acceleration control function, a new feature of the Honda SENSING safe driving support system. When the system detects a driver mis-application or over-stepping on the pedal, the system suppresses sudden acceleration and warns the driver with an audible warning and a display to support daily driving with further peace of mind. The system can also suppress acceleration even when there is no obstacle, which is expected to further deter and mitigate damage from pedal mis-application accidents. Starting with the N-WGN, Honda intends to introduce the sudden acceleration control function in vehicles one after another.</t>
    <phoneticPr fontId="1"/>
  </si>
  <si>
    <t>On September 22, Toyota Motor Corporation (Toyota) announced its global production volume for October is expected to be approximately 800,000 units (approx. 250,000 units in Japan and 550,000 units overseas). In Japan, Toyota will temporarily suspend production in October at 10 lines in 7 plants. Specifically, the Motomachi Plant will suspend production at the GR models production line for 2 days. At the Takaoka Plant, production will be suspended for 12 days on Production Line #2. Production at the Tsutsumi Plant will be suspended on Production Line #2 for 2 days. At the Tahara Plant, Production Line #1 will have production suspended for 2 days and at Production Line #3 line for 5 days. Toyota Motor Kyushu, Inc. will suspend production at the Miyata Plant's Production Lines #1 and #2 for 2 days. Toyota Industries Corporation will suspend production at Production Lines 301 and 302 (Nagakusa Plant) for 12 days. Hino Motors, Ltd. will suspend production at the Hamura Plant Production Line #1 for 5 days.</t>
    <phoneticPr fontId="1"/>
  </si>
  <si>
    <t>Volvo's plant in Ridgeville, South Carolina, was idled at 11 a.m. on September 29 and will remain closed through September 30, Volvo Cars USA said in a statement. Volvo’s plant currently builds the Volvo S60 midsize sedan, and will begin building two electric crossovers in 2023. The Mercedes-Benz plant, near Charleston, South Carolina, which builds the Sprinter and Metris vans, will idle operations on September 30.</t>
    <phoneticPr fontId="1"/>
  </si>
  <si>
    <t>https://www.marklines.com/en/global/9324</t>
    <phoneticPr fontId="1"/>
  </si>
  <si>
    <t>On September 29, Fiat announced that it has reached the mark of 250,000 Cronos sedans produced in Córdoba, Argentina. The success of the model has required plant reorganization and a second productive shift with 80 new employees. </t>
    <phoneticPr fontId="1"/>
  </si>
  <si>
    <t>On September 28, the SAIC-GM joint venture officially began distributing the all-new 2023 Cadillac Lyriq in China, when the first batch of electric crossovers left the Cadillac plant in Shanghai for the dealer network. The first Lyriq units on their way to dealerships in China are RWD variants with the Luxury and Prestige “long-range” equipment levels, featuring a single rear-axle-mounted Ultium Drive engine that generates 342 hp(255 kW) and 325 lb-ft of torque, as well as an Ultium battery pack with a range of 312 miles. The high-performance Prestige AWD variant will begin shipping in late December or early 2023.</t>
    <phoneticPr fontId="1"/>
  </si>
  <si>
    <t>On September 27, Mercedes-Benz employees at the São Bernardo do Campo plant in Brazil stopped working rejected the Voluntary Dismissal Program (PDV) proposal presented by the company. Mercedes-Benz seeks to lay off 2,200 workers in logistics and other areas, and not renew the temporary contracts of another 1,400 employees by December 2022.</t>
    <phoneticPr fontId="1"/>
  </si>
  <si>
    <t>On September 26, Fisker Inc. announced it will display a top-spec Extreme version of its upcoming Ocean full-electric crossover at the 2022 Paris Auto Show from October 17-23. Fisker says it is still on track to start production of the electric Ocean with Austrian contract manufacturer Magna Steyr on November 17. Fisker will start production with the limited-edition Ocean One launch version, then continuing with the Extreme. Production of the Sport will begin in Q3 2023.</t>
    <phoneticPr fontId="1"/>
  </si>
  <si>
    <t>On October 17, Automotive Cells Company (ACC) and ProLogium Technology (PLG) signed a memorandum of understanding (MOU) to cooperate in the development of an electric vehicle (EV) solid-state battery. Under the MOU, ACC and ProLogium will focus their joint efforts on collaboration for solid-state EV battery development. "ProLogium Inside" EV battery solutions will be developed for customers based on ProLogium's leading-edge solid-state battery technology and subsequent supply chain and/or industrial agreement concluded by both parties. </t>
    <phoneticPr fontId="1"/>
  </si>
  <si>
    <t>Opel</t>
    <phoneticPr fontId="1"/>
  </si>
  <si>
    <t>Vauxhall</t>
    <phoneticPr fontId="1"/>
  </si>
  <si>
    <t>Chrysler</t>
    <phoneticPr fontId="1"/>
  </si>
  <si>
    <t>On October 17, the Jeep Brand revealed the all-new Jeep Avenger at Paris Motor Show, the brand’s first-ever battery electric vehicle (BEV). Produced in the highly efficient Stellantis plant in Tychy, Poland, the Jeep Avenger has a new generation electric propulsion system that combines a new electric motor and a new battery. The second-generation 400 Volt electric powertrain is the first one to be launched by Emotors. The new 54 kWh battery offers a high energy density and an excellent ratio between nominal and usable energy. Specifically, the battery pack is made up of 17 modules and 102 cells utilizing NMC 811 Lithium-Ion chemistry and delivers 400 km of range in the WLTP cycle, which becomes 550 km in the urban cycle.</t>
    <phoneticPr fontId="1"/>
  </si>
  <si>
    <t>https://www.marklines.com/en/global/9974</t>
    <phoneticPr fontId="1"/>
  </si>
  <si>
    <t>Lancia</t>
    <phoneticPr fontId="1"/>
  </si>
  <si>
    <t>Alfa Romeo</t>
    <phoneticPr fontId="1"/>
  </si>
  <si>
    <t>https://www.marklines.com/en/global/3049</t>
    <phoneticPr fontId="1"/>
  </si>
  <si>
    <t>Alabama</t>
  </si>
  <si>
    <t>On October 16, Mercedes-Benz presented EQE SUV. It is available with the essential innovations of the EQS and at the same time is more dynamic than the EQS SUV. As the fourth model after the two EQS and EQE Saloons as well as the EQS SUV, the EQE SUV uses the new all-electric platform. The modular drive concept enables the EQE SUV to offer a wide range of maximum total drive outputs from 215 to 300 kW. Depending on the vehicle equipment and configuration, European vehicles can achieve WLTP ranges of up to 590 kilometers. Production of the EQE SUV will start at the Mercedes‑Benz plant in Tuscaloosa, Alabama (USA) in December. The battery factory in nearby Bibb County supplies the batteries for this model.</t>
    <phoneticPr fontId="1"/>
  </si>
  <si>
    <t>https://www.marklines.com/en/global/9826</t>
    <phoneticPr fontId="1"/>
  </si>
  <si>
    <t>https://www.marklines.com/en/global/1931</t>
    <phoneticPr fontId="1"/>
  </si>
  <si>
    <t>Spain</t>
    <phoneticPr fontId="1"/>
  </si>
  <si>
    <t>On October 14, Stellantis announced that Stellantis Zaragoza will produce a new model, which will be detailed later, with electrified versions, which is part of the Stellantis industrial plan and has the contribution of the incentive program granted by the Government of Spain within the framework of the PERTE VEC Plan. The Stellantis plant in Zaragoza also celebrated its 40th anniversary.</t>
    <phoneticPr fontId="1"/>
  </si>
  <si>
    <t>Avtotor</t>
    <phoneticPr fontId="1"/>
  </si>
  <si>
    <t>https://www.marklines.com/en/global/671</t>
    <phoneticPr fontId="1"/>
  </si>
  <si>
    <t>On October 14, the Deputy Minister of Industry and Trade of the Russian Federation visited the production sites of the Avtotor automobile plant.  The volume of investments for the implementation of the announced plans, considering existing investment obligations, will amount to at least RUB 32 billion. Construction work is planned to be completed by the end of the year, after which work will begin on equipping the production with the necessary equipment and launching pilot production. In the production of EVs, Avtotor plans to use both the products of plants to produce localized auto components, which are created at the new production site, and the products of other Russian suppliers with whom the company has already established long-term cooperation.</t>
    <phoneticPr fontId="1"/>
  </si>
  <si>
    <t>https://www.marklines.com/en/global/1901</t>
    <phoneticPr fontId="1"/>
  </si>
  <si>
    <t>On October 14, Ford of Europe announced that a 3D printing laboratory at its Almussafes, Valencia plant now has a catalog of 5,000 printable parts. The sustained growth of the lab will continue with the incorporation of new equipment that doubles the current production capacity.  3D printing recycles plastic parts from the manufacturing process, that were previously thrown away, and now can be used to print new parts. The Almussafes plant made this breakthrough with a special team dedicated exclusively to its 3D printing lab. Plant employees can request and even propose new parts that are lighter, more ergonomic, more sustainable, and dramatically reduce costs by up to 90%. </t>
    <phoneticPr fontId="1"/>
  </si>
  <si>
    <t>https://www.marklines.com/en/global/663</t>
    <phoneticPr fontId="1"/>
  </si>
  <si>
    <t>On October 13, Volvo Trucks South Africa started the assembly of Euro 5 specification trucks at its plant in Durban, KwaZulu-Natal. Euro 5 variants have been available in South Africa since 2012, but for the first time, they will now be assembled locally. Volvo Trucks initially started with the assembly of Euro 5 level FH truck tractors. More models and configurations will be added over time as fleet owners require them. Certain layout changes were made to the facility to accommodate AdBlue filling in trucks, as well as for storage. Additional floor layout adjustments were also done to allow for new procedures like the assembly of AdBlue tanks and special exhaust systems. The Volvo Trucks plant has also recently installed a new solar power system to generate renewable energy for the facility. A total of 440 solar panels and two solar inverters will generate 243kW of power - approximately 60% of the energy needed for the plant.</t>
    <phoneticPr fontId="1"/>
  </si>
  <si>
    <t>IRIZAR</t>
    <phoneticPr fontId="1"/>
  </si>
  <si>
    <t>https://www.marklines.com/en/global/10434</t>
    <phoneticPr fontId="1"/>
  </si>
  <si>
    <t>On October 12, Irizar announced that it is attending the IBE fair being held in Rimini from October 12 to 14 to present the new Irizar i6S Efficient to the Italian market. It is showing three latest generation vehicles: the new Irizar brand Irizar i6S Efficient, an Irizar i6S on a Scania chassis, and an Irizar i4 CNG on a Scania chassis.  With the new Irizar i6S, consumption and emissions have been reduced by up to 13%, weight is down to 950 kg and the aerodynamic coefficient is 30% lower.</t>
    <phoneticPr fontId="1"/>
  </si>
  <si>
    <t>Renault</t>
    <phoneticPr fontId="1"/>
  </si>
  <si>
    <t>https://www.marklines.com/en/global/10412</t>
    <phoneticPr fontId="1"/>
  </si>
  <si>
    <t>On October 14, HYVIA announced that it will present the hydrogen-powered Renault Master Van H2-TECH in its production version at the Paris Motor Show. HYVIA also exhibits its prototypes Master City Bus H2-TECH and Master Chassis Cab H2-TECH, which will go on the road next year, as well as an H2 refueling station and a fuel cell prototype. Master Van H2-TECH has 5 minutes refueling time and a 400 km range. It is equipped with a 30-kW fuel cell, and a 33-kWh battery. Master Van H2-TECH is made in France: vehicle production at the Batilly plant, fuel cell assembly and testing in Flins at the HYVIA plant, and fuel cell integration at Gretz-Armainvilliers near Paris. 2023 Bookings are now open.HYVIA is planning a ramp-up of the fuel cell assembly and testing line, H2 station assembly and testing line, and the first 1 MW electrolyzer in the Flins plant.</t>
    <phoneticPr fontId="1"/>
  </si>
  <si>
    <t>https://www.marklines.com/en/global/165</t>
    <phoneticPr fontId="1"/>
  </si>
  <si>
    <t>https://www.marklines.com/en/global/171</t>
    <phoneticPr fontId="1"/>
  </si>
  <si>
    <t>https://www.marklines.com/en/global/1440</t>
    <phoneticPr fontId="1"/>
  </si>
  <si>
    <t>Middle East</t>
    <phoneticPr fontId="1"/>
  </si>
  <si>
    <t>Turkey</t>
    <phoneticPr fontId="1"/>
  </si>
  <si>
    <t>On October 13, TEMSA introduced MD9 electriCITY and LD SB E, its two electric models, at the Autocar EXPO held in Lyon on October 12-15, 2022.  The MD9 electriCITY has a length of 9,5 meters.   With a 250 kW electric engine, it has a passenger capacity of 53 people. The LD SB E is offered in two different lengths 12 or 13 meters. The vehicle, which has a passenger capacity of 63 people, offers excellent performance in all road conditions thanks to its 250-kW electric engine. The range of the LD SB E offers three different battery capacity options 210, 280, and 350 kWh can reach up to 350 kilometers under suitable conditions.</t>
    <phoneticPr fontId="1"/>
  </si>
  <si>
    <t>Temsa</t>
    <phoneticPr fontId="1"/>
  </si>
  <si>
    <t>Fuso</t>
    <phoneticPr fontId="1"/>
  </si>
  <si>
    <t>https://www.marklines.com/en/global/9883</t>
    <phoneticPr fontId="1"/>
  </si>
  <si>
    <t>Algeria</t>
    <phoneticPr fontId="1"/>
  </si>
  <si>
    <t>On October 13, Stellantis announced that a framework agreement was signed in Algiers between the Fiat Brand and the Algerian Authorities aimed at the local production of vehicles and the development of the automotive sector in Algeria. This framework agreement covers a project for the development in Algeria of industrial, after-sales, and spare parts activities for Fiat.  Algerian Government announced that FIAT will launch an automobile construction project for tourist and light utility vehicles in the Tafraoui industrial zone in the wilaya of Oran. The first Fiat vehicles manufactured in Algeria should be available from the end of 2023.</t>
    <phoneticPr fontId="1"/>
  </si>
  <si>
    <t>On October 13, Renault Group announced the creation of a new entity entirely dedicated to the circular economy: The Future Is NEUTRAL. It is the first company to operate across the entire automotive circular economy value chain and is aimed at all players in the automotive world, beyond Renault Group. This entity will develop more technological and industrial solutions thanks to the expertise of its subsidiaries and its network of partners already operating.The Future Is NEUTRAL also offers the automotive industry a consultancy service, as well as training dedicated to the circular economy, with the support of the Circular Mobility Industry (ICM) campus based in Flins.</t>
    <phoneticPr fontId="1"/>
  </si>
  <si>
    <t>https://www.marklines.com/en/global/3109</t>
    <phoneticPr fontId="1"/>
  </si>
  <si>
    <t>On October 12, Ohio announced it will provide USD 71.3 million in tax credits for a new Honda Motor Co and LG Energy Solution USD 3.5 billion joint venture battery plant in Fayette County. The Ohio Department of Development is also working with the state legislature to invest USD 85 million for local water and transportation infrastructure upgrades. The two companies will begin construction in early 2023 and complete the facility by the end of 2024. Honda is investing USD 700 million to retool its Marysville Auto Plant, East Liberty Auto Plant and Anna Engine Plant to build EVs and parts, creating an EV production hub for the company. The new Sony Honda Mobility JV plans to produce an EV at one of the plants that will launch in 2026 for North America and Japan markets.</t>
    <phoneticPr fontId="1"/>
  </si>
  <si>
    <t>https://www.marklines.com/en/global/3111</t>
    <phoneticPr fontId="1"/>
  </si>
  <si>
    <t>https://www.marklines.com/en/global/3113</t>
    <phoneticPr fontId="1"/>
  </si>
  <si>
    <t>Acura</t>
    <phoneticPr fontId="1"/>
  </si>
  <si>
    <t>On October 12, Solaris Bus &amp; Coach announced that it is presenting two electric vehicles at the 16th International Fair of Public Transport – Transexpo, to be held from October 12-14, 2022 in Kielce, Poland. The Urbino 12 electric, and the articulated Urbino 18.75 electric were presented with a new-generation battery of very high capacity. The Urbino 12 electric on display stands out due to its new-generation, high-capacity batteries – of over 520 kWh.Solaris High Energy batteries with similar parameters guarantee a driving range of around 300 km in diverse road and weather conditions. Urbino 18.75 electric is equipped with high-capacity batteries of over 520 kWh. </t>
    <phoneticPr fontId="1"/>
  </si>
  <si>
    <t>https://www.marklines.com/en/global/2647</t>
    <phoneticPr fontId="1"/>
  </si>
  <si>
    <t>On October 12, Stellantis confirmed that it is cutting the third shift at the Warren Truck Assembly plant that employs more than 5,500 people. The plant produces the Wagoneer and Grand Wagoneer, their new longer wheelbase L versions whose production is ramping up, and the previous-generation Ram Classic pickup truck. Stellantis cited the global microchip shortage for the plant's return to a two-shift operation "to improve production efficiency."</t>
    <phoneticPr fontId="1"/>
  </si>
  <si>
    <t>Ram</t>
    <phoneticPr fontId="1"/>
  </si>
  <si>
    <t>Thomas Built</t>
    <phoneticPr fontId="1"/>
  </si>
  <si>
    <t>https://www.marklines.com/en/global/3069</t>
    <phoneticPr fontId="1"/>
  </si>
  <si>
    <t>North Carolina</t>
  </si>
  <si>
    <t>On October 12, Thomas Built Buses (TBB) announced the delivery of TBB’s 200th Proterra Powered Saf-T-Liner C2 Jouley battery-electric school bus, built at the company’s plant in High Point, North Carolina. The Jouley is powered by Proterra electric vehicle technology, equipped with 226 kilowatt-hours (kWh) of total energy capacity in a Proterra Powered battery system, and a two-speed transmission.</t>
    <phoneticPr fontId="1"/>
  </si>
  <si>
    <t>https://www.marklines.com/en/global/9</t>
    <phoneticPr fontId="1"/>
  </si>
  <si>
    <t>Taiwan</t>
    <phoneticPr fontId="1"/>
  </si>
  <si>
    <t>China Motor</t>
    <phoneticPr fontId="1"/>
  </si>
  <si>
    <t>Daihatsu</t>
    <phoneticPr fontId="1"/>
  </si>
  <si>
    <t>https://www.marklines.com/en/global/539</t>
    <phoneticPr fontId="1"/>
  </si>
  <si>
    <t>Osaka</t>
  </si>
  <si>
    <t>On October 7, Daihatsu Motor Co., Ltd. announced that it has completed renovation work at its Kyoto (Oyamazaki) plant, which began in September 2018, and has started full-scale operations. During the renovation work, which cost approximately JPY 35 billion, the painting and assembly/inspection processes, which were previously separated, were consolidated into a newly constructed four-story building. In addition, the number of processes was reduced by about 15% and the time required to produce one car was shortened by about 30% through the increased use of its SPS system (a system in which parts for one car are set in advance and supplied to workers), which allows multiple people to work on one vehicle, and shortened the process length by laterally feeding vehicles. Furthermore, in the painting process, a new air-conditioning recycling technology is employed. The conventional method used water to collect uncoated paint generated during the coating process, but by changing to a compact device using corrugated cardboard filters, it is now possible to recycle air conditioning (air) with the proper temperature and humidity. Together with the adoption of this air conditioning recycling, the use of solar energy, and others, CO2 emissions have been reduced by approximately 42% compared with the past. With the renovation, the Kyoto (Oyamazaki) plant's production capacity has increased from 134,000 units to 230,000 units. In addition to existing models, the Kyoto (Oyamazaki) plant produces the Thor, which was transferred from the Head (Ikeda) Plant in August, as well as Toyota's Roomy and Subaru's Justy, which are based on the Thor.</t>
    <phoneticPr fontId="1"/>
  </si>
  <si>
    <t>https://www.marklines.com/en/global/541</t>
    <phoneticPr fontId="1"/>
  </si>
  <si>
    <t>Kyoto</t>
  </si>
  <si>
    <t>Toyota will resume lease sales of its new electric vehicle (EV), the "bZ4X", which had been suspended due to a hub bolt defect. The company had suspended contract applications for the bZ4X since it reported the recall to the Ministry of Land, Infrastructure, Transport and Tourism (MLIT) Since the cause of the defect has been identified and preparations for countermeasure parts have been completed, production and acceptance of applications will resume. In Japan, all "bZ4X" models are being sold on a lease basis. Applications for corporate customers will be accepted on October 7, while those for individuals through the "KINTO" subscription service (one of the leasing options) will resume on October 26. Toyota filed another recall notification on October 6 after the cause of the defect was discovered. A total of 204 vehicles, including the bZ4X and its sibling, the Subaru Solterra, are affected by the recall, and in addition to the hub bolts reported in June, a defect in the curtain shield airbags has been newly reported. The company began recalling the vehicles on October 7, and will replace the hub bolts with countermeasures and implement other remedial measures. According to multiple media reports, Subaru will also resume taking orders for the Solterra on October 7.</t>
    <phoneticPr fontId="1"/>
  </si>
  <si>
    <t>Tesla</t>
    <phoneticPr fontId="1"/>
  </si>
  <si>
    <t>https://www.marklines.com/en/global/4512</t>
    <phoneticPr fontId="1"/>
  </si>
  <si>
    <t>Nevada</t>
  </si>
  <si>
    <t>On October 6, Elon Musk announced the official start of production of the long awaited Tesla Semi, with the first deliveries to begin on December 1 to PepsiCo, which expects to receive a total of 15 trucks by the end of 2022. While Gigafactory Texas is expected to begin mass production of the Semi in 2023, it is unclear where the initial production trucks for PepsiCo are being built. It has been reported that a Semi pilot line had been set up at Gigafactory Nevada, which is also ramping up production of batteries for all Tesla vehicles.</t>
    <phoneticPr fontId="1"/>
  </si>
  <si>
    <t>https://www.marklines.com/en/global/10321</t>
    <phoneticPr fontId="1"/>
  </si>
  <si>
    <t>Texas</t>
  </si>
  <si>
    <t>VW Group</t>
    <phoneticPr fontId="1"/>
  </si>
  <si>
    <t>https://www.marklines.com/en/global/2881</t>
    <phoneticPr fontId="1"/>
  </si>
  <si>
    <t>On October 6, Volkswagen Caminhões e Ônibus  (VWCO ) announced the start of exporting the VW e-Delivery, the first 100% electric truck developed and produced in Latin America at its plant in Resende. Five units of the vehicle have just landed in Mexico.</t>
    <phoneticPr fontId="1"/>
  </si>
  <si>
    <t>VW Truck &amp; Bus / VWCO (TRATON)</t>
    <phoneticPr fontId="1"/>
  </si>
  <si>
    <t>On October 13, Automotive Cells Company (ACC) and Siemens signed a memorandum of understanding to join forces in a new strategic partnership. The partnership is part of the Siemens Xcelerator open digital business platform and will make it easier and faster for ACC to progress towards its planned gigafactories (Billy-Berclau Douvrin, France, Kaiserslautern, Germany (and possibly Termoli, Italy)) at scale. Siemens will provide ACC with access to its Digital Enterprise portfolio of hardware and software. As a starting point, Siemens, and ACC plan to create a comprehensive digital twin of the battery and the production lines.</t>
    <phoneticPr fontId="1"/>
  </si>
  <si>
    <t>https://www.marklines.com/en/global/2257</t>
    <phoneticPr fontId="1"/>
  </si>
  <si>
    <t>https://www.marklines.com/en/global/99</t>
    <phoneticPr fontId="1"/>
  </si>
  <si>
    <t>https://www.marklines.com/en/global/1343</t>
    <phoneticPr fontId="1"/>
  </si>
  <si>
    <t>MAN (TRATON)</t>
    <phoneticPr fontId="1"/>
  </si>
  <si>
    <t>https://www.marklines.com/en/global/1679</t>
    <phoneticPr fontId="1"/>
  </si>
  <si>
    <t>On October 13, MAN Truck &amp; Bus presented the new Lion's Chassis E LF, a fully electric low-floor chassis at the Australasia Bus &amp; Coach Expo in Sydney. The MAN team is working intensively with a worldwide network of bodybuilders. This is to ensure that local customer requirements in Asia, Africa, South America, New Zealand, and Australia can be met in the best possible way. It is planned that the first assembled demo vehicles will be delivered as early as 2023. In addition, the performance and functionality of the chassis will be tested in possible target markets in the coming year, including Australia. The start of the series production of the Lion's Chassis E is planned for 2024. The electric chassis will be produced at the Polish MAN plant in Starachowice.</t>
    <phoneticPr fontId="1"/>
  </si>
  <si>
    <t>AvtoVAZ</t>
    <phoneticPr fontId="1"/>
  </si>
  <si>
    <t>Lada</t>
    <phoneticPr fontId="1"/>
  </si>
  <si>
    <t>https://www.marklines.com/en/global/675</t>
    <phoneticPr fontId="1"/>
  </si>
  <si>
    <t>On October 13, AvtoVAZ announced that the first three bodies of Lada Vesta were welded at the Togliatti site as it continues to transfer the Lada Vesta production technology from the Lada Izhevsk site to car assembly lines in Togliatti. This is part of the commissioning process, which will last until the start of mass production, which is scheduled for the first half of 2023. The transfer of Lada Vesta production to the Togliatti site is carried out to ensure the utilization of AvtoVAZ capacities and ensure the production rate of the model is sufficient to meet demand.</t>
    <phoneticPr fontId="1"/>
  </si>
  <si>
    <t>https://www.marklines.com/en/global/729</t>
    <phoneticPr fontId="1"/>
  </si>
  <si>
    <t>Dorcen</t>
    <phoneticPr fontId="1"/>
  </si>
  <si>
    <t>https://www.marklines.com/en/global/9363</t>
    <phoneticPr fontId="1"/>
  </si>
  <si>
    <t>Jiangsu</t>
  </si>
  <si>
    <t>On October 8, Niutron, a Chinese EV startup, announced the launch of the Niutron NV, a mid-size electric SUV. Niutron is an EV brand owned by Jiangsu Mars Stone Technology Co., Ltd. (Mars Stone Technology, formerly known as Jiangsu Niutron New Energy Technology Co., Ltd.). The Niutron NV is produced at Dorcen Auto's Jintan plant in Changzhou. Built on the self-developed GEMINI power module system, the Niutron NV is compatible with both EV and range-extender drive modes. It comes standard with an iAWD (intelligent all-wheel drive) system, allowing 0-100km/h acceleration in 5.9 seconds. The range-extender variant adopts a 1.5L in-line four-cylinder 5-in-1 range extender, having a thermal efficiency of 41.07%. The ternary lithium-ion battery on the vehicle provides a WLTC range of 939km (equivalent to a CLTC range of more than 1257km). The two motors at the front and rear deliver a maximum power output of 270kW and a maximum torque of 526Nm. The long-range EV variant uses a ternary lithium-ion battery which supports a CLTC range of 560km. The standard-range EV variant uses a lithium iron phosphate battery which supports a CLTC range of 440km. The two motors installed in the EV variants deliver a maximum power output of 280kW and a maximum torque of 452Nm. Standard features include 24 AAD (Advanced Assisted Driving) functions such as Automatic Emergency Braking (AEB), Adaptive Cruise Control (ACC), Blind Spot Detection (BSD), and Lane Change Assist (LCA). The vehicle also supports comprehensive upgrades of assisted driving software and hardware.</t>
    <phoneticPr fontId="1"/>
  </si>
  <si>
    <t>Jiangling</t>
    <phoneticPr fontId="1"/>
  </si>
  <si>
    <t>https://www.marklines.com/en/global/107</t>
    <phoneticPr fontId="1"/>
  </si>
  <si>
    <t>On October 12, Renault Trucks announced that it had produced 1,000 electric trucks of 16, 19, and 26 tonnes at its Blainville-sur-Orne (Normandy) plant. To ensure the production of battery-electric trucks, various arrangements have been made within the Normandy industrial site, including a 1,800 sqm-building entirely dedicated to final assembly. Half of the electric trucks sold in Europe are produced in the Renault Trucks plant in Blainville-sur-Orne. The plant is ready to meet the expected volume ramp-up as more and more customers choose to implement CO2-free transportation.</t>
    <phoneticPr fontId="1"/>
  </si>
  <si>
    <t>https://www.marklines.com/en/global/179</t>
    <phoneticPr fontId="1"/>
  </si>
  <si>
    <t>On October 12, Renault announced that All-New Kangoo E-Tech will be revealed at Paris Motor Show. Customers can place orders starting in November, and deliveries will arrive at the early beginning of 2023. To manufacture All-new Kangoo car and van versions, and vehicles for its partners Mercedes and Nissan, Renault has invested EUR 450 million in the Maubeuge facility and set up a new battery assembly workshop in it. Its motor and chargers are made at Renault's plant in Cléon, Normandy. It comes with a 90 kW motor delivering 245 Nm of torque. The new lithium-ion battery has 45 kWh of fully usable capacity and comprises 8 standalone and easily repairable modules. It can drive up to 285 km (WLTP cycle).</t>
    <phoneticPr fontId="1"/>
  </si>
  <si>
    <t>https://www.marklines.com/en/global/173</t>
    <phoneticPr fontId="1"/>
  </si>
  <si>
    <t>Tata Motors</t>
    <phoneticPr fontId="1"/>
  </si>
  <si>
    <t>Tata</t>
    <phoneticPr fontId="1"/>
  </si>
  <si>
    <t>https://www.marklines.com/en/global/1265</t>
    <phoneticPr fontId="1"/>
  </si>
  <si>
    <t>Uttarakhand</t>
  </si>
  <si>
    <t>On October 12, Tata Motors and Tata Power entered into a Power Purchase Agreement (PPA) for a 7 MW captive solar power project at its Pantnagar plant in Uttarakhand. Collectively, this installation is expected to generate 215 million units of electricity, potentially mitigating over 1,700 thousand tonnes of carbon emissions. This is equivalent to planting over 2,720 thousand teak trees over a lifetime.</t>
    <phoneticPr fontId="1"/>
  </si>
  <si>
    <t>On October 12, Stellantis announced that the Jeep brand will showcase a 100% electrified presence at the 2022 Paris Motor Show, with a stand fully dedicated to the introduction of the all-new fully electric Jeep Avenger, the brand’s first-ever BEV. The all-electric Jeep Avenger has a targeted electric range of 400 kilometers, combined with a modern and technologically advanced interior, with plenty of space for people and cargo. The new Avenger will be revealed on October 17.</t>
    <phoneticPr fontId="1"/>
  </si>
  <si>
    <t>Polestar</t>
    <phoneticPr fontId="1"/>
  </si>
  <si>
    <t>https://www.marklines.com/en/global/4303</t>
    <phoneticPr fontId="1"/>
  </si>
  <si>
    <t>Sichuan</t>
  </si>
  <si>
    <t>On October 12, Polestar revealed the Polestar 3 electric performance SUV, and announced the start of online orders in all initial launch markets. Production for the initial launch markets of North America, Europe, and China is planned to begin in Chengdu, China, with an incremental ramp-up from mid-2023, and first deliveries expected in Q4 2023. Manufacturing at Volvo Cars’ Ridgeville, plant will follow by mid- 2024, after which point supply to North American and other markets will switch from China to the U.S. Deliveries are expected in the Asia Pacific and Middle East regions in 2024.</t>
    <phoneticPr fontId="1"/>
  </si>
  <si>
    <t>On October 11, Honda Atlas Cars Pakistan announced that the management has decided to further extend the shutdown of the plant from October 12 to 15, 2022.</t>
    <phoneticPr fontId="1"/>
  </si>
  <si>
    <t>https://www.marklines.com/en/global/10503</t>
    <phoneticPr fontId="1"/>
  </si>
  <si>
    <t>On October 10, GAC Toyota Motor Co., Ltd. (GAC Toyota) launched the bZ4X, a new mid-sized crossover all-electric SUV. The bZ4X applies a dedicated EV suspension system jointly developed with Subaru. The FWD version is equipped with a permanent magnet synchronous motor delivering a maximum power output of 150kW and a maximum torque of 266.3Nm. The 4WD version is equipped with two motors, delivering a maximum power output of 80kW to the front wheels, 80kW to the rear wheels, and peak torques of 168.5Nm to the front and 168.5Nm to the rear. Moreover, the 4WD version enjoys a standout feature called X-MODE, which is designed for off-road driving. The ternary lithium-ion battery in the bZ4X has a capacity of 50.3kWh / 66.7kWh, supporting a range of up to 615km according to CLTC (China light duty vehicle test cycle). Standard features include a Toyota Safety Sense 3.0 active safety package, OTA updates. Optional features include PVM (Panoramic View Monitor), and a smart driving system.</t>
    <phoneticPr fontId="1"/>
  </si>
  <si>
    <t>https://www.marklines.com/en/global/543</t>
    <phoneticPr fontId="1"/>
  </si>
  <si>
    <t>Shiga</t>
  </si>
  <si>
    <t>On October 3, Daihatsu Motor Co., Ltd. (Daihatsu) officially launched the upgraded Tanto, a mini super high wagon, for which advance orders began in August. In addition to enhanced convenience features across the lineup, the new Tanto Custom version is fitted with advanced interior and exterior features. A new version, Tanto Funcross, with an active and tough style that blends in well with outdoor activities, has been added to the series. Convenience enhancements for the lineup include a two-tiered adjustable deck board that extends the usability of the cargo area, and an advanced 9-inch smartphone-connected display audio system (factory-installed option). The exterior of the Tanto Custom features an engine hood, front fenders, headlamps, front bumper, and other frontal elements that emphasize a three-dimensional appearance and a feeling of width. The newly added Tanto Funcross model features exclusive equipment for various outdoor activities, such as water-repellent seats that are easy to clean even when dirty luggage or wet tools are placed on them, and luggage compartment lamps that are useful when loading and unloading at night. The improved Tanto models will be produced at the Shiga (Ryuo) Plant, aiming for monthly sales of 12,500 units.</t>
    <phoneticPr fontId="1"/>
  </si>
  <si>
    <t>Subaru</t>
    <phoneticPr fontId="1"/>
  </si>
  <si>
    <t>https://www.marklines.com/en/global/2235</t>
    <phoneticPr fontId="1"/>
  </si>
  <si>
    <t>On October 12, Mercedes-Benz AG and Microsoft Corp. announced a collaboration to make vehicle production more efficient, resilient, and sustainable. With the new MO360 Data Platform, Mercedes-Benz is connecting its around 30 passenger car plants worldwide to the Microsoft Cloud. This unified data platform is standardized on Microsoft Azure, providing Mercedes-Benz with flexibility and cloud computing power to run artificial intelligence (AI) and analytics at a global scale while addressing cybersecurity and compliance standards across regions. The platform is already available to teams in EMEA and will be deployed in the United States and China. With the MO360 Data Platform, Mercedes-Benz can create a virtual replica of its vehicle manufacturing process. The virtual simulation and optimization of processes before running them on the shop floor help to accelerate operational efficiency and unlock energy savings. The recently opened Mercedes-Benz Digital Factory Campus Berlin is the home base for the MO360 Data Platform engineering teams and will become the MO360 training and qualification center for implementing digital approaches globally. The Mercedes-Benz Operations Logistics team will be able to solve supply chain bottlenecks much faster. They can compare the availability of components, including semiconductors, with production orders and position this data against production parameters including operational running plans.</t>
    <phoneticPr fontId="1"/>
  </si>
  <si>
    <t>https://www.marklines.com/en/global/1061</t>
    <phoneticPr fontId="1"/>
  </si>
  <si>
    <t>On October 11, Pak Suzuki Motors company announced that the management of the company has decided to shut down the automobile plant for the period extending from October 19 to 21, 2022. However, the motorcycle plant will remain operative.</t>
    <phoneticPr fontId="1"/>
  </si>
  <si>
    <t>On October 11, Ebusco announced that it continued to ramp up its manufacturing capacity at the Deurne location during the third quarter of 2022. As parts availability improved, it will reach the milestone of manufacturing one bus per day at the Deurne location in the fourth quarter of 2022. This capacity will be ramped up to two buses per day in late Q1/early Q2, 2023. In relation to the facility in France, orders for production equipment with a long lead time have been placed. Ebusco is expected to move into the facility during the second quarter of 2023. The Rouen facility will have a manufacturing capacity of 500 buses per annum. The initial capital expenditure for the Rouen project is confirmed at EUR 10 million.</t>
    <phoneticPr fontId="1"/>
  </si>
  <si>
    <t>https://www.marklines.com/en/global/749</t>
    <phoneticPr fontId="1"/>
  </si>
  <si>
    <t>On October 11, signalling its imminent exit from the market, Nissan’s Executive Committee has approved the sale of its Russian operations to NAMI, the Central Research and Development Automobile and Engine Institute. The sale will transfer all Nissan operations in Russia under the Nissan Manufacturing Russia LLC (NMGR) legal entity to NAMI for future passenger vehicle projects.This covers Nissan’s manufacturing and R&amp;D facilities in St. Petersburg, and Sales and Marketing centre in Moscow, which will operate under a new name. Today’s announcement follows the suspension from March of operations in the market. The sale is expected to be formalised in the coming weeks following approvals from the relevant authorities. The terms of the sale would allow Nissan the option to buy back the entity and its operations within the next six years.</t>
    <phoneticPr fontId="1"/>
  </si>
  <si>
    <t>On October 11, Honda announced it is investing USD 700 million to re-tool and add 300 jobs to its Marysville Auto Plant (MAP), East Liberty Auto Plant (ELP) and Anna Engine Plant (AEP) to begin production on electric vehicles in 2026, based on its new Honda e:Architecture. Honda also announced a USD 3.5 billion investment with LG Energy Solution to establish a joint venture battery plant in Fayette County, Ohio. After retooling, AEP associates will produce the battery case, to be combined with the battery modules from the Honda-LGES JV plant on a sub-assembly line at MAP, with the complete battery unit then installed in EVs built by associates at both MAP and ELP.</t>
    <phoneticPr fontId="1"/>
  </si>
  <si>
    <t>https://www.marklines.com/en/global/3609</t>
    <phoneticPr fontId="1"/>
  </si>
  <si>
    <t>On October 9, SAIC Motor announced on its official website that its controlling shareholder, Shanghai Automotive Industry Corporation (Group) (SAIC Group), plans to transfer the 679,420,000 A-shares in SAIC Motor to China COSCO Shipping Corporation Limited (COSCO Shipping) for free. COSCO Shipping also announced that it plans to transfer its 5.00% shares in COSCO Shipping Holdings Co., Ltd. (COSCO Shipping Holdings) to SAIC Group for free. Through this partnership, SAIC Group will further optimize the equity structure of the listed company. The partnership is also conducive to SAIC Group’s development in fields such as vehicle and parts logistics and international operations, which will expand the market space for SAIC's NEV (New Energy Vehicle) products to enter the logistics and transportation industry. Moreover, it will accelerate the innovative transformation of SAIC Motor.</t>
    <phoneticPr fontId="1"/>
  </si>
  <si>
    <t>https://www.marklines.com/en/global/9390</t>
    <phoneticPr fontId="1"/>
  </si>
  <si>
    <t>On October 8, the Wujie Pro, a new model under the Chery QQ series, rolled off the production line at Chery’s second Wuhu plant in Anhui Province. It is expected to be launched at the end of October. It adopts rear-wheel-drive layout and four-wheel independent suspension. It provides a range of 301km/408km. The vehicle has features such as 11 sensors, 10 driving assistance functions (including 540-degree panoramic imaging).</t>
    <phoneticPr fontId="1"/>
  </si>
  <si>
    <t>https://www.marklines.com/en/global/267</t>
    <phoneticPr fontId="1"/>
  </si>
  <si>
    <t>On October 7, 2022, Daihatsu announced that PT Astra Daihatsu Motor (ADM) will construct a new vehicle manufacturing plant adjacent to the Karawang in West Java with more environmentally friendly technology. ADM’s Sunter plant in Jakarta has been operating for 27 years. To realize SDGs in the future, the Sunter plant is expected to have difficulties such as the lack of required area for renovation. Thus, the company decided to construct the second production line in Karawang. The new plant with an investment amounting to IDR 2.9 trillion will start operating in December 2024 by using the SSC (Simple, Slim, and Compact) concept. The company expects the new plant will have a production capacity of 140,000 vehicles annually. ADM's overall production capacity will remain at 530,000 units per year. To increase productivity, ADM will install modern production technologies such as expanded point welding automation, increased painting efficiency, ergonomic assembly processes, and better logistics operations. At the new plant, ADM will also equip around 3,600 solar panels that can generate up to 2,100 kW of electrical power and utilizes renewable energy and natural heat ventilation. With these qualifications, the factory can reduce emissions by around 20% compared to current conditions.</t>
    <phoneticPr fontId="1"/>
  </si>
  <si>
    <t>https://www.marklines.com/en/global/4301</t>
    <phoneticPr fontId="1"/>
  </si>
  <si>
    <t>Astra</t>
    <phoneticPr fontId="1"/>
  </si>
  <si>
    <t>On October 7, Rivian Automotive announced it is recalling about 13,000 vehicles, almost all the vehicles it has delivered to customers to date, in order to tighten a fastener connecting the vehicles' front upper-control arm and steering knuckle may not have been torqued enough at the production plant in Normal, Illinois. “If you experience excessive noise, vibration or harshness from the front suspension, or a change in steering performance or feel, you should call immediately,” said Rivian CEO RJ Scaringe.</t>
    <phoneticPr fontId="1"/>
  </si>
  <si>
    <t>On October 6, Honda Motor Co., Ltd. (Honda) announced that the October utilization rate compared to the previous production plan at the Suzuka Factory is expected to be about 80%. Also, the October utilization rate compared to the previous production plan of the Saitama Factory Automobile Plant is expected to be about 60%. The situation remains unstable due to a combination of factors, including the impact of COVID-19 and the shortage of semiconductors. The September utilization rate compared to the previous production plan was about 70% at the Suzuka Factory and about 60% at the Saitama Factory Automobile Plant. The main models that will be affected in production are the N series, Vezel, Fit, Civic, and Step WGN.</t>
    <phoneticPr fontId="1"/>
  </si>
  <si>
    <t>On October 6, Honda Motor Co., Ltd. (Honda) announced that it would launch the facelifted fourth-generation Fit on the following day, the 7th. The NESS model has been eliminated from the existing range and replaced by the new RS type, which focuses on driving quality. The RS model features an exclusive front grille, front bumper, side sill garnish, rear bumper, rear spoiler, and aluminum wheels to emphasize its sporty character. In addition, an exclusive suspension system for the RS has been thoroughly refined for performance and adopted to reduce body sway on rough road surfaces. The powertrain has also been upgraded, with the maximum motor output of the two-motor hybrid system e:HEV increased by 10kW (14PS) to 90kW (123PS). The gasoline model, previously equipped with a 1.3-liter DOHC i-VTEC engine, has been switched to a 1.5-liter DOHC i-VTEC engine (maximum output 87kW, maximum torque142 Nm). Currently, only a hybrid version of the RS is available; the gasoline version will be released on November 10.</t>
    <phoneticPr fontId="1"/>
  </si>
  <si>
    <t>https://www.marklines.com/en/global/553</t>
    <phoneticPr fontId="1"/>
  </si>
  <si>
    <t>Kanagawa</t>
  </si>
  <si>
    <t>On October 4, Isuzu Motors Limited (Isuzu) began selling its upgraded GIGA heavy-duty truck. The 6UZ1 diesel engine has been updated to meet the new fuel efficiency standards for heavy-duty vehicles (GVW over 3.5 tons, trucks, buses, etc.) targeted for FY2025. Improvements were carried out on everything from the turbo to the cylinder head and injectors. By improving the 6UZ1 engine and adding new tires with low rolling resistance, the company says it has achieved fuel efficiency 5% above the standard for the main models on the market.</t>
    <phoneticPr fontId="1"/>
  </si>
  <si>
    <t>Isuzu</t>
    <phoneticPr fontId="1"/>
  </si>
  <si>
    <t>UD Trucks</t>
    <phoneticPr fontId="1"/>
  </si>
  <si>
    <t>On October 4, Toyota Motor Corporation (Toyota) launched the partially redesigned RAV4 SUV. The RAV4 PHV, which is equipped with a plug-in hybrid system, is now available as the Z grade of the RAV4 with this improvement. In addition, the advanced preventive safety package "Toyota Safety Sense" has been expanded to include a pre-crash safety function that detects oncoming vehicles when turning right at intersections and pedestrians crossing from the opposite direction when turning right or left.</t>
    <phoneticPr fontId="1"/>
  </si>
  <si>
    <t>On October 3, Toyota Motor Corporation (Toyota) launched three models in the partially redesigned Corolla series - the Corolla, Corolla Touring, and Corolla Sport. Hybrid versions of the upgraded models feature a new 1.8-liter hybrid system with all-new electric modules. The Corolla and Corolla Touring gasoline models now feature a 1.5-liter Dynamic Force engine (maximum output 88kW, peak torque 145 Nm), while the Corolla Sport gasoline model is equipped with a 2.0-liter Dynamic Force engine (maximum output 125kW, peak torque 202Nm).</t>
    <phoneticPr fontId="1"/>
  </si>
  <si>
    <t>Lexus</t>
    <phoneticPr fontId="1"/>
  </si>
  <si>
    <t>On October 3, Toyota Motor Corporation (Toyota) announced that it will begin accepting lottery reservations for the GR Corolla RZ and the GR Corolla Morizo Edition, which were first unveiled in June, from around winter (with limited sales starting at the beginning of 2023) due to production issues. The GR Corolla RZ is the Japanese-market trim level of the all-new GR Corolla sports car, while the GR Corolla Morizo Edition is a two-seater model with refined driving performance. It was announced at the June release that the GR Corolla RZ would go on sale in the fall and the GR Corolla Morizo Edition in limited quantities in the winter.</t>
    <phoneticPr fontId="1"/>
  </si>
  <si>
    <t>Li Auto</t>
    <phoneticPr fontId="1"/>
  </si>
  <si>
    <t>https://www.marklines.com/en/global/9530</t>
    <phoneticPr fontId="1"/>
  </si>
  <si>
    <t>On September 30, Li Auto unveiled the Li L7, a five-seat large premium SUV. It is now available for bookings. It will be exhibited at the Auto Guangzhou 2022 in November. Delivery is scheduled to begin in late February, 2023. Adopting the company’s new-generation all-wheel drive range extension system, the Li L7 supports a CLTC range of 1,315km and a WLTC range of 1,100km. The Li L7 has standard features such as a Mini LED interactive safe driving screen and Li Magic Carpet air suspension. The Li L7 Pro comes standard with dual a Qualcomm Snapdragon automotive-grade 8155 chip, and the Li AD Pro autonomous driving system which includes Navigate on Autopilot (NOA) function. It adopts the China-made Horizon Robotics Journey 5 chip for autonomous driving, with 128TOPS of computing power. The Li L7 Max boasts two Qualcomm Snapdragon automotive-grade 8155 chips, and the Li AD Max autonomous driving system.</t>
    <phoneticPr fontId="1"/>
  </si>
  <si>
    <t>On September 30, Li Auto officially launched the Li L8, a six-seat large premium smart SUV. Delivery is scheduled to begin in November. The Li L8’s range extension system is powered by a 1.5-liter, four-cylinder, turbocharged engine, achieving fuel consumption of 5.9 liters per 100 kilometers under the CLTC (China light duty vehicle test cycle) standard operating conditions. With a 42.8kWh battery pack, the vehicle offers a CLTC range of 1,315km and a WLTC range of 1,100km. It is equipped with a 5-in-1 front drive motor and a 3-in-1 rear drive motor, adopting a four-wheel drive layout. It accelerates from 0 to 100km/h in 5.5 seconds. L8 has standard features such as a Mini LED interactive safe driving screen, and Li Magic Carpet air suspension. The Li L8 Max boasts two Qualcomm Snapdragon automotive-grade 8155 chips, and the Li AD Max autonomous driving system. The Li AD Max autonomous driving system, powered by dual NVIDIA Orin-X chips with 508TOPS of computing power. It realizes intelligent driver assistance system functions for all scenarios.</t>
    <phoneticPr fontId="1"/>
  </si>
  <si>
    <t>https://www.marklines.com/en/global/3981</t>
    <phoneticPr fontId="1"/>
  </si>
  <si>
    <t>On September 28, Dongfeng Honda Automobile Co., Ltd. (Dongfeng Honda) launched the new-generation CR-V, a compact crossover SUV. The vehicle is equipped with a 1.5T VTEC engine (maximum output: 142kW, maximum torque: 243Nm), paired with a continuously variable transmission (CVT) with G-Design Shift. Fuel efficiency is as low as 7.31 liters per 100km under WLTC conditions. It adopts a 2WD or part-time AWD layout. The vehicle has standard features such as a Honda Connect 3.0 system. The highest trim level boasts a Honda Sensing 360 system. In addition, the new-generation CR-V family will have two new members, the CR-V e:HEV and the CR-V e:PHEV. The 4th-generation dual-motor i-MMD (Intelligent Multi-Mode Drive) technology, Dongfeng Honda’s latest e:HEV powertrain system, has arrived in the Chinese market. It will be installed in the new-generation CR-V series models.</t>
    <phoneticPr fontId="1"/>
  </si>
  <si>
    <t>https://www.marklines.com/en/global/10189</t>
    <phoneticPr fontId="1"/>
  </si>
  <si>
    <t>Korea</t>
    <phoneticPr fontId="1"/>
  </si>
  <si>
    <t>On October 11, Renault announced that Renault Korea Motors (RKM) is launching an all-new vehicle lineup of fuel-efficient hybrid electric vehicles (HEV) models in the D segment based on the latest Geely-Volvo technologies for both local and export markets starting in 2024. This vehicle will be designed, developed &amp; produced in South Korea. RKM will enhance its R&amp;D towards the South-Korean ecosystem in terms of software, connectivity, and electrification as well as competitive localization. RKM intends to invest more than EUR 900 million in the coming six years.</t>
    <phoneticPr fontId="1"/>
  </si>
  <si>
    <t>https://www.marklines.com/en/global/10191</t>
    <phoneticPr fontId="1"/>
  </si>
  <si>
    <t>https://www.marklines.com/en/global/2423</t>
    <phoneticPr fontId="1"/>
  </si>
  <si>
    <t>https://www.marklines.com/en/global/2425</t>
    <phoneticPr fontId="1"/>
  </si>
  <si>
    <t>KAMAZ</t>
    <phoneticPr fontId="1"/>
  </si>
  <si>
    <t>https://www.marklines.com/en/global/9057</t>
    <phoneticPr fontId="1"/>
  </si>
  <si>
    <t>On October 11, KAMAZ announced that Neftekamsk Automobile Plant (NEFAZ PJSC) is purposefully implementing an investment program, modernizing equipment in workshops, and introducing new technologies. The main direction of investment activity of NEFAZ PJSC is the implementation of the investment project "Increase in production capacity for the production of passenger vehicles up to 3,000 units per year" and organize modern high-tech production using advanced technological solutions in the welding, painting, and assembly industries in 2022-2024. Another significant area is the investment project "Development of production capacities for the production of K5 dump trucks and modernization of dump truck production at PJSC NEFAZ".</t>
    <phoneticPr fontId="1"/>
  </si>
  <si>
    <t>Marcopolo</t>
    <phoneticPr fontId="1"/>
  </si>
  <si>
    <t>https://www.marklines.com/en/global/137</t>
    <phoneticPr fontId="1"/>
  </si>
  <si>
    <t>On October 10, DS Automobiles announced that New DS 3 will make its first public appearance during the Paris Motor Show. The New DS 3 is the successor to DS 3 CROSSBACK. The 100% electric version, New DS 3 E-TENSE has a new 115 kW drivetrain and a new 54 kWh battery enabling it to reach a range of up to 402 km. The new DS 3 is made exclusively at Poissy in the Paris region, with electric or internal combustion engine (gasoline or diesel) versions. The engines as well as the new electric motor and the increased capacity battery are also all put together in France. Produced in Mulhouse (France) factory, the New DS 7 range has E-TENSE technology (PHV) with versions having 225 horsepower and two-wheel drive plus 300 and 360 horsepower. In its 360 horsepower guise, it is backed up by special developments carried out by DS PERFORMANCE.</t>
    <phoneticPr fontId="1"/>
  </si>
  <si>
    <t>https://www.marklines.com/en/global/139</t>
    <phoneticPr fontId="1"/>
  </si>
  <si>
    <t>On October 10, Aurobay announced that it is showcasing its zero-emission engine project and Miller technology at Aachen Colloquium 2022. Aurobay’s zero-emission engine project would be powered by a renewable fuel made from waste and make use of innovative technology to pre-heat the catalytic converter before a cold start. When made from recycled materials at Aurobay's state-of-the-art Skövde factory, its manufacturing and materials footprint would be 80% lower than previous engines. Over its lifecycle, it is likely to impact global warming only as much as a battery electric vehicle powered by wind. The zero-emission engine also features Aurobay's innovative exhaust-after-treatment system which reduces toxic emissions from cold starts almost to zero and goes beyond Euro 7 compliance.</t>
    <phoneticPr fontId="1"/>
  </si>
  <si>
    <t>https://www.marklines.com/en/global/9084</t>
    <phoneticPr fontId="1"/>
  </si>
  <si>
    <t>https://www.marklines.com/en/global/10536</t>
    <phoneticPr fontId="1"/>
  </si>
  <si>
    <t>On September 29, Radar Auto, a brand under Geely, saw the first RD6 electric pickup roll off the assembly line at a smart factory in Zibo, Shandong Province. At the same time, Radar Auto opened orders for this pickup model. The RD6 marks the first China-made electric pickup built on Geely’s EV (electric vehicle) platform and technical architecture. The RD6 carries a 200kW high-power 3-in-1 electric drive. Powered by a high-energy-density Ni55 battery cell, it achieves a long driving range of more than 610km. Supported by a maximum 120kW fast charging function. The pickup enjoys features such as 12 intelligent driving assistance functions with Level 2 autonomy and above.</t>
    <phoneticPr fontId="1"/>
  </si>
  <si>
    <t>https://www.marklines.com/en/global/9605</t>
    <phoneticPr fontId="1"/>
  </si>
  <si>
    <t>On September 27, Dongfeng Nissan held a launch event in Guangzhou for the Ariya, an all-new compact electric SUV. The Ariya represents the first model under the Nissan Next corporate strategy. Depending on the version, it provides CLTC (China light duty vehicle test cycle) ranges of 533km, 559km, and 623km, respectively. Customer deliveries will start in October. The Ariya is built on the CMF-EV platform created by the Renault-Nissan-Mitsubishi Alliance. The AWD version of the Ariya boasts e-4ORCE technology, delivering a comprehensive torque of 600Nm. The battery on the Ariya has a capacity of 90kWh. The ProPILOT Assist on the vehicle boasts five intelligent control systems, Active Lane Control (ALC), and dual-mode Fully-Automated Parking (FAP).</t>
    <phoneticPr fontId="1"/>
  </si>
  <si>
    <t>On October 20, SAIC Motor announced that the Shanghai State-owned Assets Supervision and Administration Commission has allowed Shanghai Automotive Industry Corporation (Group) (SAIC), SAIC Motor’s controlling shareholder, to transfer its stake of around 679 million in SAIC Motor to COSCO, a comprehensive shipping enterprise, free of charge. Upon completion of the transfer, SAIC and COSCO will hold 62.69% and 5.82% of SAIC Motor’s stake, respectively. In addition, the controlling shareholder and actual controller of SAIC Motor remain unchanged.</t>
    <phoneticPr fontId="1"/>
  </si>
  <si>
    <t>Zotye</t>
    <phoneticPr fontId="1"/>
  </si>
  <si>
    <t>https://www.marklines.com/en/global/3847</t>
    <phoneticPr fontId="1"/>
  </si>
  <si>
    <t>On October 19, Zotye Auto announced that since the completion of its restructuring at the end of 2021, it has been working on the resumption of vehicle production, and the preparatory work for the resumption of production is effectively completed. The first batch of the small-sized SUV T300 is scheduled to be rolled out on October 20, 2022 at the company’s Yongkang base in Zhejiang Province, and an offline ceremony will be held.</t>
    <phoneticPr fontId="1"/>
  </si>
  <si>
    <t>BAW</t>
    <phoneticPr fontId="1"/>
  </si>
  <si>
    <t>https://www.marklines.com/en/global/10447</t>
    <phoneticPr fontId="1"/>
  </si>
  <si>
    <t>On October 18, BAW held the first unit offline ceremony of its first medium-to-large-sized MPV Wangpai in Jiangshan, Qingdao, Shandong.</t>
    <phoneticPr fontId="1"/>
  </si>
  <si>
    <t>https://www.marklines.com/en/global/3431</t>
    <phoneticPr fontId="1"/>
  </si>
  <si>
    <t>Beijing</t>
  </si>
  <si>
    <t>According to the announcement on the BAIC Group's official dated October 18, in March 2022, BAIC Group, together with South Korea's Hyundai Motor Group, injected CNY 6 billion into Beijing Hyundai to support the company in electrification transformation, product upgrade and channel layout optimization. Beijing Hyundai will launch two EV models starting from 2023 as planned to strengthen the introduction of new energy products, accelerate the introduction of battery electric models and build a new energy product manufacturing and export base. In the future, Beijing Hyundai expects to reach an export scale of 100,000 units, with the export models including the Elantra, the Tucson, the ix35 and the Custo.</t>
    <phoneticPr fontId="1"/>
  </si>
  <si>
    <t>BAIC</t>
    <phoneticPr fontId="1"/>
  </si>
  <si>
    <t>https://www.marklines.com/en/global/10356</t>
    <phoneticPr fontId="1"/>
  </si>
  <si>
    <t>On October 14, JAC announced that a global online launch has been held for its new crossover SUV JS6 for overseas markets. The online launch was held in the form of China-Mexico linkage to fully interpret the features and selling points of the new JS6. In the future, the electric model and PHEV hybrid model of the vehicle will be presented to global customers in succession.</t>
    <phoneticPr fontId="1"/>
  </si>
  <si>
    <t>https://www.marklines.com/en/global/2834</t>
    <phoneticPr fontId="1"/>
  </si>
  <si>
    <t>On October 21, Stellantis announced that its new Jeep Commander, which was developed in Brazil and is produced at its plant in Pernambuco, Brazil, has reached the milestone of 30,000 units produced only a year after its launch.</t>
    <phoneticPr fontId="1"/>
  </si>
  <si>
    <t>On October 20, GMC introduced the first-ever Sierra EV pickup as it expands its portfolio of all-electric trucks, with reservations now open. With deliveries expected to begin in early 2024, the 2024 Sierra EV Denali Edition 1 will be assembled with domestically and globally sourced parts at GM’s Factory ZERO alongside the GMC HUMMER EV Pickup and SUV. Future Sierra EVs also will be assembled with domestically and globally sourced parts at GM’s Lake Orion Assembly. GMC will introduce the Sierra EV AT4 and Elevation trims in the 2025 model year.</t>
    <phoneticPr fontId="1"/>
  </si>
  <si>
    <t>On October 21, Pak Suzuki Motors company announced that the management of the company has decided to shut down the automobile plant for the period extending from October 24 to 26, 2022. However, the motorcycle plant will remain operative.</t>
    <phoneticPr fontId="1"/>
  </si>
  <si>
    <t>https://www.marklines.com/en/global/10571</t>
    <phoneticPr fontId="1"/>
  </si>
  <si>
    <t>Maharashtra</t>
    <phoneticPr fontId="1"/>
  </si>
  <si>
    <t>On October 20, Volkswagen Group announced its goal to significantly grow its IT team in India. The company aims at doubling its workforce to 3,500 employees by the end of 2024. Volkswagen Group Technology Solutions India (VWITS) is the global in-house capability center providing IT and technology solutions to Volkswagen AG, its ten brands, and multiple regional companies. Volkswagen Group Technology Solutions India will play a significant role in the overall internalization strategy, reducing reliance on external suppliers and intellectual monopolies. As a next step, it plans to empower VWITS to take end-to-end responsibility for key strategic projects that drive the inhouse value creation.</t>
    <phoneticPr fontId="1"/>
  </si>
  <si>
    <t>Ashok Leyland</t>
    <phoneticPr fontId="1"/>
  </si>
  <si>
    <t>https://www.marklines.com/en/global/1109</t>
    <phoneticPr fontId="1"/>
  </si>
  <si>
    <t>On October 20, Ashok Leyland rolled out its 100,000th unit of Modular Trucks, AVTR, from its Pantnagar plant, Uttarakhand. The AVTR has achieved this remarkable milestone within 30 months of its launch.</t>
    <phoneticPr fontId="1"/>
  </si>
  <si>
    <t>Agrale</t>
    <phoneticPr fontId="1"/>
  </si>
  <si>
    <t>https://www.marklines.com/en/global/2819</t>
    <phoneticPr fontId="1"/>
  </si>
  <si>
    <t>On October 20, Equipmake announced that it has developed a cutting-edge zero emissions drivetrain (ZED) for a new electric bus of Argentine-Brazilian automaker Agrale. The Equipmake-powered Agrale MT17.0 LEe is a 12m single-deck model capable of carrying 70 passengers. The drivetrain has been developed as part of the Advanced Propulsion Centre-funded CELEB (Cost Effective Low Entry Bus) project. Equipmake ZED with a 318kWh lithium-ion battery, Equipmake's own HTM 3500 electric motor, producing 3,500Nm of torque at 1,000rpm and a maximum power of 400kW, seamlessly integrated into the prop shaft without the need for a separate transmission, and the Semikron SKAI inverter. The new electric Agrale MT17.0LEe will have a range of up to 150 miles (240km).</t>
    <phoneticPr fontId="1"/>
  </si>
  <si>
    <t>https://www.marklines.com/en/global/9855</t>
    <phoneticPr fontId="1"/>
  </si>
  <si>
    <t>https://www.marklines.com/en/global/757</t>
    <phoneticPr fontId="1"/>
  </si>
  <si>
    <t>On October 20, multiple sources reported that Moscow Mayor announced that the production of Moskvich vehicles will restart in December at a plant that was sold by Renault more than six months ago. It will become the center for manufacturing electric vehicles going forward.</t>
    <phoneticPr fontId="1"/>
  </si>
  <si>
    <t>Aiways</t>
    <phoneticPr fontId="1"/>
  </si>
  <si>
    <t>https://www.marklines.com/en/global/9583</t>
    <phoneticPr fontId="1"/>
  </si>
  <si>
    <t>Jiangxi</t>
  </si>
  <si>
    <t>On October 20, Aiways announced that the ordering process for the Aiways U6 SUV coupe will start later this year. Aiways U6 SUV coupe has a range of 400 km. The new Aiways U6 SUV coupé comes onto the market with the 63 kWh battery known from the Aiways U5 SUV, which has 24 CATL modules and with up to 90 kilowatts at a DC fast charging station, or up to 11 kilowatts at one three-phase AC wall box, can be charged. The rated power is 160 kW, and the torque is 315 Nm. After the premiere of the U6 SUV coupé further models are already being worked on. Aiways has facilities in China including a manufacturing facility in Shangrao with a current capacity of 150,000 vehicles, R&amp;D and design centers in Shanghai, and a battery assembly line in Changshu.</t>
    <phoneticPr fontId="1"/>
  </si>
  <si>
    <t>https://www.marklines.com/en/global/2215</t>
    <phoneticPr fontId="1"/>
  </si>
  <si>
    <t>On October 20, the BMW Group announced that its Leipzig plant launched the first fuel-flexible hydrogen-capable burner for paint dryers. The system's unique feature is that it can run on hydrogen (H2), methane (CH4), or a mixture of the two. It can also switch between fuels while in operation. Initially, it will run in trial operations. The innovative fuel-flexible burner system was developed in collaboration with the Bremen-based company Saacke, and Fraunhofer Institute IFF in Magdeburg. The new technology meets the feasibility requirements to reduce CO2 emissions from the intensive use of natural gas, a fossil fuel. To run hydrogen throughout, a pipeline will be needed to ensure enough green hydrogen are always available. The Leipzig plant can use a hydrogen network created in the region for this purpose. The BMW Group is also working with its partners to trial hydrogen-powered solutions to support the decarbonization of transport logistics beyond the factory gates and is currently involved in the H2HAUL and HyCET research projects.</t>
    <phoneticPr fontId="1"/>
  </si>
  <si>
    <t>VDL</t>
    <phoneticPr fontId="1"/>
  </si>
  <si>
    <t>https://www.marklines.com/en/global/8871</t>
    <phoneticPr fontId="1"/>
  </si>
  <si>
    <t>On October 20, VDL Bus &amp; Coach announced that it will supply 64 new electric buses to Arriva in the North Brabant East concession. VDL is supplying Arriva with 40 new-generation VDL Citeas of type LF-122 and 4 articulated buses of type LF-181. These vehicles will mainly be used for public transport in the city of Tilburg. VDL is also supplying 20 vehicles of type Citea LE-135 for use on HOV lines between Uden-Veghel-Eindhoven and Uden-Veghel-Den Bosch.</t>
    <phoneticPr fontId="1"/>
  </si>
  <si>
    <t>Nikola</t>
    <phoneticPr fontId="1"/>
  </si>
  <si>
    <t>https://www.marklines.com/en/global/10448</t>
    <phoneticPr fontId="1"/>
  </si>
  <si>
    <t>Arizona</t>
  </si>
  <si>
    <t>On October 20, Nikola Corp. highlighted elements of the Inflation Reduction Act (IRA) that supports its integrated truck and energy business model. The expansion of Nikola’s Coolidge manufacturing facility will benefit from a 30% Advanced Energy Project Credit (48C) through a USD 10 billion grant for the production of heavy-duty battery-electric vehicles (BEVs) and FCEVs. Nikola will benefit USD 10 per KWh from the Advanced Manufacturing Production Credit (45X) for producing battery modules for BEVs and FCEVs, if it so chooses.</t>
    <phoneticPr fontId="1"/>
  </si>
  <si>
    <t>https://www.marklines.com/en/global/2175</t>
    <phoneticPr fontId="1"/>
  </si>
  <si>
    <t>On October 19, MAN Truck &amp; Bus announced that it has already produced 20 prototypes of the future e-lion in its innovative eMobility Centre at the main plant in Munich. The planned future-oriented mixed series production with conventional trucks is thus already being tested under real conditions. The workforce is also prepared and to a large extent already trained for the new electric technology. By the end of 2023, all relevant skilled workers in truck production will be qualified for the series production of electric trucks. In addition to funding from the Free State of Bavaria, investments are also being made in the MAN plant in Nuremberg. From 2025, around 100,000 battery packs are to be produced here annually in in-house large-scale series production.</t>
    <phoneticPr fontId="1"/>
  </si>
  <si>
    <t>https://www.marklines.com/en/global/2171</t>
    <phoneticPr fontId="1"/>
  </si>
  <si>
    <t>https://www.marklines.com/en/global/4075</t>
    <phoneticPr fontId="1"/>
  </si>
  <si>
    <t>On October 19, GAC Trumpchi announced that the pre-order of its new generation of mid-to-large-sized MPV M8 Master series has commenced. For the powertrain, the ICE model is equipped with a 2.0TGDI engine with a maximum power of 185kW and a peak torque of 400Nm mated to an Aisin 8-speed transmission, yielding a fuel consumption of 8.95L/100km under the WLTC standard. The hybrid model is equipped with a 2.0TM engine with a maximum power of 140kW, a peak torque of 330Nm and a thermal efficiency of over 40% as well as an electric motor with a maximum power of 134kW and a peak torque of 270Nm mated to Toyota’s 4th-generation THS (E-CVT), yielding a fuel consumption of 5.91L/100km under the WLTC standard. The new vehicle features Level 2 ADiGO Pilot assisted driving system, OTA online upgrade and DMS driver fatigue detection system.</t>
    <phoneticPr fontId="1"/>
  </si>
  <si>
    <t>GM is considering adding an electric midsized pickup truck to its lineup of Hummer vehicles, according to people familiar with the matter. A smaller, electric Hummer is still a design concept in GM's California studio, but is seen as a priority project and has a good chance of going into production, the people said. GM already builds the large Hummer EV pickup at GM’s Factory Zero plant, delivering 781 vehicles as of September 30, and will begin building a full-size SUV in early 2023.</t>
    <phoneticPr fontId="1"/>
  </si>
  <si>
    <t>On October 18, Seres signed a strategic cooperation framework agreement with Wencan Group Co., Ltd. (Wencan Group), which is engaged in the R&amp;D, production and sales of automotive aluminum alloy precision castings. The two parties will cooperate in weight reduction related R&amp;D, new material application and parts supply of integrated structural parts, integrated battery boxes, batteries, electric motors and electric controllers for New Energy Vehicles. With this cooperation, the supply chain built by Seres will be further consolidated, and in the future, the two parties will officially launch new cooperation projects related to parts and so on, and invest in new capacities and establish new production facilities in Chongqing to realize further localization and integration of production.</t>
    <phoneticPr fontId="1"/>
  </si>
  <si>
    <t>BYD</t>
    <phoneticPr fontId="1"/>
  </si>
  <si>
    <t>https://www.marklines.com/en/global/10441</t>
    <phoneticPr fontId="1"/>
  </si>
  <si>
    <t>On October 18, BYD announced that its battery electric compact SUV, Yuan PLUS (ATTO 3), has officially been launched in Mongolia. BYD entered the Mongolian passenger vehicle market in 2020, and has afterwards introduced several battery electric models including the T3, the Tang EV, the Han EV and the Dolphin. Currently, BYD's market shares of New Energy Vehicles and battery electric vehicles in Mongolia are 87% and 58%, respectively.</t>
    <phoneticPr fontId="1"/>
  </si>
  <si>
    <t>https://www.marklines.com/en/global/4043</t>
    <phoneticPr fontId="1"/>
  </si>
  <si>
    <t>Hunan</t>
  </si>
  <si>
    <t>https://www.marklines.com/en/global/3955</t>
    <phoneticPr fontId="1"/>
  </si>
  <si>
    <t>Henan</t>
  </si>
  <si>
    <t>On October 18, Dongfeng Nissan officially launched the Venucia D60EV PLUS battery electric sedan. In terms of power, the new vehicle features a permanent magnet synchronous motor with a maximum power of 120kW and a peak torque of 210Nm/280Nm. The model installed with a lithium iron phosphate battery has a maximum battery capacity of 48kWh, a range of 420km under the comprehensive CLTC standard and a minimum electric power consumption of 12.5kWh/100km under comprehensive standards, while the model installed with a ternary lithium battery has a maximum battery capacity of 50kWh, a range of 450km under the comprehensive CLTC standard and an electric power consumption of 12.2kWh/100km under comprehensive standards. In terms of configuration, some of the new models feature a back-up camera system with dynamic guide lines.</t>
    <phoneticPr fontId="1"/>
  </si>
  <si>
    <t>Lucid Motors</t>
    <phoneticPr fontId="1"/>
  </si>
  <si>
    <t>https://www.marklines.com/en/global/9873</t>
    <phoneticPr fontId="1"/>
  </si>
  <si>
    <t>On October 13, the Lucid Group announced the release of Lucid UX 2.0, its most extensive software update, with hundreds of updates and new features for every Lucid Air on the road – delivered over-the-air and complimentary for owners. Deliveries of Lucid Air, produced in Casa Grande, Arizona, are currently underway to U.S. customers.</t>
    <phoneticPr fontId="1"/>
  </si>
  <si>
    <t>MINI</t>
    <phoneticPr fontId="1"/>
  </si>
  <si>
    <t>On October 20, the BMW Group announced that it will increase e-component production capacity at its manufacturing base in Leipzig with another eight production lines by 2024. Over the next year, the plant's two existing battery module lines will be complemented by a further line plus five cell coating lines. These will be followed by two new high-voltage battery assembly lines due to go on stream in 2024. The batteries will power models such as the fully electric version of the MINI Countryman, which will also be built in Leipzig. In the first quarter of 2023, the first of five new battery cell coating systems will go on stream at the Leipzig site, followed by another four systems which will launch in stages until the end of the same year.</t>
    <phoneticPr fontId="1"/>
  </si>
  <si>
    <t>https://www.marklines.com/en/global/2143</t>
    <phoneticPr fontId="1"/>
  </si>
  <si>
    <t>On October 20, Ford announced that its Niehl engine plant is now home to a new research center for electric motors as part of a special project led by the RWTH Aachen University. Backed by a consortium of companies, this new facility will develop hairpin stators - one of the key components for tomorrow’s electric motors. The project is being funded by the Ministry of Economics and Climate Protection of the State of North Rhine-Westphalia.</t>
    <phoneticPr fontId="1"/>
  </si>
  <si>
    <t>On October 20, KAMAZ announced that it has signed an agreement with PJSC Gazprom to supply a new model range of products with a 4x4 wheel arrangement. In 2023-2025, KAMAZ will produce and gradually transfer to Gazprom's subsidiaries 420 KAMAZ-6250 shift buses and 80 KAMAZ-62501 mobile workshops. The main part of the equipment will be produced in a gas engine version and adapted for operation in the Far North.</t>
    <phoneticPr fontId="1"/>
  </si>
  <si>
    <t>https://www.marklines.com/en/global/1777</t>
    <phoneticPr fontId="1"/>
  </si>
  <si>
    <t>Hungary</t>
    <phoneticPr fontId="1"/>
  </si>
  <si>
    <t>On October 20, Audi AG, and Krajete GmbH announced that they are jointly developing new technologies for filtering emissions from ambient air. These so-called direct air capturing technologies filter more CO2 in less time. The latest example of the two partners' development work is a new plant in Austria, where they are using an inorganic filter material that can hold an extremely high load of molecules and is also very insensitive to the effects of moisture. The Austrian plant can filter 500 tons of CO2 per year. By the end of the year, another module will increase the plant's capacity to 1,000 tons. In addition, DAC technology could be implemented on a much larger scale at Audi's site in Győr, Hungary. A plant with a capacity of 25,000 tons per year is conceivable.</t>
    <phoneticPr fontId="1"/>
  </si>
  <si>
    <t>https://www.marklines.com/en/global/8784</t>
    <phoneticPr fontId="1"/>
  </si>
  <si>
    <t>Gujarat</t>
  </si>
  <si>
    <t>On October 19, Triton Electric Vehicle India Pvt Ltd, a part of Triton Electric Vehicle LLC, USA, issued a Letter of Intent (LoI) to Navratna Defence PSU Bharat Electronics Limited (BEL) for procurement of 300 KW Li-Ion battery packs for Triton's Semi-Truck project in India at an estimated value of INR 80.6 billion. The battery packs are to be delivered by BEL to Triton in 24 months commencing from January 2023. BEL will deliver the first-off quantity by November 2022. Earlier, on the second day of DefExpo 2022, BEL signed an MoU with Triton Electric Vehicle (TEV), for the manufacturing of Hydrogen Fuel cells by BEL with technology transfer from TEV, to meet the requirements of the Indian market and mutually agreed on export markets.</t>
    <phoneticPr fontId="1"/>
  </si>
  <si>
    <t>https://www.marklines.com/en/global/1269</t>
    <phoneticPr fontId="1"/>
  </si>
  <si>
    <t>On October 19, Tata Motors signed an agreement with Evera, EV only ride-hailing platform in the Delhi NCR region, for delivering 2,000 XPRES T EVs. These vehicles are an addition to the already existing fleet of Tata Motors' EVs present with the aggregator.</t>
    <phoneticPr fontId="1"/>
  </si>
  <si>
    <t>On October 19, the BMW Group announced a USD 1.7 billion investment in its U.S. operations, including USD 1 billion to prepare for the production of EVs at the  Spartanburg plant, and USD 700 million to build a new 1-million-square-foot high-voltage battery assembly facility in nearby Woodruff, South Carolina. BMW also announced an agreement to source next generation lithium-ion battery cells from Envision AESC, which will build a new plant in South Carolina, with an annual capacity of up to 30 GWh, to supply the Spartanburg plant.</t>
    <phoneticPr fontId="1"/>
  </si>
  <si>
    <t>https://www.marklines.com/en/global/2403</t>
    <phoneticPr fontId="1"/>
  </si>
  <si>
    <t>On October 19, GM announced a next-generation global vehicle will be launched in 2023 from its Changwon plant, helping to transform the Korean operations into a profitable business starting from 2023 after a KRW 1.1 trillion investment. GM has invested KRW 900 billion at the Changwon plant, and another KRW 200 billion at the Bupyeong plant, which builds the Chevrolet Trailblazer, to secure annual production capacity of 500,000 units in Korea. The Changwon plant can now manufacture 60 units per hour, from compact to full-size models.</t>
    <phoneticPr fontId="1"/>
  </si>
  <si>
    <t>https://www.marklines.com/en/global/2407</t>
    <phoneticPr fontId="1"/>
  </si>
  <si>
    <t>Electric Last Mile Solutions</t>
    <phoneticPr fontId="1"/>
  </si>
  <si>
    <t>https://www.marklines.com/en/global/3035</t>
    <phoneticPr fontId="1"/>
  </si>
  <si>
    <t>On October 19, Mullen Automotive announced U.S. Bankruptcy Court approval of its acquisition of Electric Last Mile Solutions (ELMS) assets in an all cash purchase. ELMS’s factory in Mishawaka, Indiana, will provide Mullen the capacity to produce up to 50,000 vehicles per year, and enable the company to move Mullen FIVE EV Crossover production from its plant in Tunica, Mississippi, which will now become the Commercial Manufacturing Center and produce all Mullen and Bollinger Class 1 to 6 commercial vehicles.</t>
    <phoneticPr fontId="1"/>
  </si>
  <si>
    <t>Switch Mobility</t>
    <phoneticPr fontId="1"/>
  </si>
  <si>
    <t>https://www.marklines.com/en/global/10478</t>
    <phoneticPr fontId="1"/>
  </si>
  <si>
    <t>On October 18, the Junta of Castile and León, the governing and administrative body of the Spanish autonomous community of Castile and León, announced that the Valladolid City Council sent the authorization request, on October 11, for the construction of an industrial warehouse promoted by Switch Mobility Europe SL in one of the plots where the Iron Age archaeological site called Soto de Medinilla, protected since 1980. For this purpose, the General Directorate of Cultural Heritage of the Ministry of Culture, Tourism, and Sports has authorized the construction project of the industrial warehouse on the plot of Avenida de Santander, number 185, in its Phase I.</t>
    <phoneticPr fontId="1"/>
  </si>
  <si>
    <t>Energy Absolute</t>
    <phoneticPr fontId="1"/>
  </si>
  <si>
    <t>https://www.marklines.com/en/global/10346</t>
    <phoneticPr fontId="1"/>
  </si>
  <si>
    <t>Thailand</t>
    <phoneticPr fontId="1"/>
  </si>
  <si>
    <t>Chachoengsao</t>
  </si>
  <si>
    <t>On October 18, Energy Absolute (EA) officially introduced the locally-made “EV Mini Truck MINE MT30” under the concept of “Respect Environment”. This EV, which has been registered as Thailand’s first 100% electric pickup truck and already joined the government’s incentives to support EVs, is priced from THB 748,500. This MINE MT30 is equipped with the Amita Technology Thailand-made 30kWh Lithium Ion Battery, claiming distance of around 202 km per one charge, which takes 15 minutes (from 30%-80%), using EA Anywhere’s DC Fast Charge technology.</t>
    <phoneticPr fontId="1"/>
  </si>
  <si>
    <t>https://www.marklines.com/en/global/10331</t>
    <phoneticPr fontId="1"/>
  </si>
  <si>
    <t>On October 18, Energy Absolute (EA) officially introduced the locally-made “EV Mini Truck MINE MT30”. Presented under the concept of “Respect Environment”, the model has been registered as Thailand’s first 100% electric pickup truck. With the government’s incentives to support EVs, it is priced from THB 748,500. This MINE MT30, developed for commercial use, will help saving energy, lowering transportation costs, and reducing pollution in the transportation sector, mainly targeting customers who are entrepreneurs interested in the use EVs. Equipped with the Amita Technology Thailand-made 30kWh Lithium Ion Battery, the electric pickup truck can travel around 202 km per one charge, which takes 15 minutes (from 30%-80%), using EA Anywhere’s DC Fast Charge technology.</t>
    <phoneticPr fontId="1"/>
  </si>
  <si>
    <t>On October 17, BYD announced that its battery electric compact SUV, Yuan PLUS (ATTO 3), has officially been launched in Nepal.</t>
    <phoneticPr fontId="1"/>
  </si>
  <si>
    <t>WEY</t>
    <phoneticPr fontId="1"/>
  </si>
  <si>
    <t>https://www.marklines.com/en/global/9818</t>
    <phoneticPr fontId="1"/>
  </si>
  <si>
    <t>On October 17, Great Wall Motor showcased its Wey sub-brand’s Mocha PHEV (Coffee 01), Latte PHEV (Coffee 02), ORA Good Cat, Good Cat GT, Lightning Cat and other blockbuster NEVs (New Energy Vehicles) at the 2022 Paris Motor Show, where the company announced the official launch of the plug-in mid-size crossover SUV “Mocha PHEV (Coffee 01)” and the battery electric subcompact hatchback “Good Cat” in Europe. After the launch at the Paris Motor Show, the sales of the Mocha PHEV (Coffee 01) will commence in a number of countries in November, starting from Germany and gradually expanding to major European countries that include Sweden, Spain and Austria. The Latte PHEV (Coffee 02) will also be launched in 2023, gradually expanding from Belgium and France to all of Europe.</t>
    <phoneticPr fontId="1"/>
  </si>
  <si>
    <t>ORA</t>
    <phoneticPr fontId="1"/>
  </si>
  <si>
    <t>https://www.marklines.com/en/global/9837</t>
    <phoneticPr fontId="1"/>
  </si>
  <si>
    <t>https://www.marklines.com/en/global/3483</t>
    <phoneticPr fontId="1"/>
  </si>
  <si>
    <t>On October 17, Mercedes-Benz announced the China debut of its VISION EQXX electric concept. In terms of power, the concept is installed with a new in-house electric drive system. An all-new 900-volt high-voltage battery pack co-developed by the Mercedes-Benz F1 team with an advanced anode chemistry process, which has an energy density of nearly 400 Wh/L at a weight of 495 kg, enables the electric drive system to transfer 95% of the battery’s energy directly to the wheels. Also, the vehicle is equipped with Energy Efficiency Assistant System. The new EQE battery electric SUV made its global debut on the same day. The new vehicle is Mercedes-Benz's first mid-to-large-sized SUV based on the EVA battery electric platform, which will be locally produced in China in the future.</t>
    <phoneticPr fontId="1"/>
  </si>
  <si>
    <t>On October 16, GM’s Cruise tweeted that its autonomous, all-electric, ride-sharing Origin robotaxi is currently on track to begin production later in 2022 at GM’s Factory Zero plant. Cruise stated that the Cruise Origin AV will soon be seen on San Francisco streets operated by a human driver in test runs to help validate perception models and object tracking systems. Co-developed between GM and Honda, the Origin is based on the GM BEV3 platform.</t>
    <phoneticPr fontId="1"/>
  </si>
  <si>
    <t>https://www.marklines.com/en/global/9500</t>
    <phoneticPr fontId="1"/>
  </si>
  <si>
    <t>On October 15, according to multiple media reports, the construction of BYD’s New Energy Vehicle Components Industrial Park Project in Funan County, Fuyang, Anhui with an investment of CNY 10 billion has commenced. With the Project, BYD will establish production lines of harnesses for new energy passenger vehicles, precision injection parts for electric motors, wheel speed cables, wheel bearings and seat covers in Funan County. After the Project is completed and reaches production, the annual output value will exceed CNY 10 billion, creating over 20,000 jobs and providing support for 1 million new energy passenger vehicles every year. The 1st phase of the Project is located on the south side of Linying Avenue and west side of Zhuzhai Road in the Funan Economic Development Zone. The Project has a total investment of CNY 906 million, and leases 14 workshops and 1 complex building in the Dual Creation Park of the Funan Economic Development Zone that cover a total construction area of 278,700 square meters, with mass production scheduled in December 2022.</t>
    <phoneticPr fontId="1"/>
  </si>
  <si>
    <t>Mitsubishi Motors</t>
    <phoneticPr fontId="1"/>
  </si>
  <si>
    <t>Mitsubishi</t>
    <phoneticPr fontId="1"/>
  </si>
  <si>
    <t>https://www.marklines.com/en/global/517</t>
    <phoneticPr fontId="1"/>
  </si>
  <si>
    <t>Okayama</t>
  </si>
  <si>
    <t>On October 13, Mitsubishi Motors Corporation (Mitsubishi Motors) announced that it will resume sales to the general public of its one-box type mini commercial electric vehicle (EV), the MINICAB-MiEV, on November 24. The MINICAB-MiEV, the only light commercial EV produced by a Japanese automaker, had been on sale since December 2011, mainly to the logistics industry. Production was temporarily stopped at the end of March 2021, and sales had been continuing for some corporate customers. The decision was made to resume sales in response to growing demand for mini commercial EVs from logistics companies and municipalities amid accelerating decarbonization efforts in various fields toward the realization of a carbon-neutral society. The MINICAB-MiEV is equipped with the EV system proven in the world's first mass-produced EV, the i-MiEV, including a 16kWh drive battery and a compact, lightweight, and highly efficient motor, with a cruising range of 133km per charge (in WLTC mode). A full charge can be completed in about seven hours when recharged normally at 200VAC (15A). The Manufacturer's Suggested Retail Prices (including tax) are JPY 2,431,000 for the two-seater version and JPY 2,453,000 for the four-seater version. </t>
    <phoneticPr fontId="1"/>
  </si>
  <si>
    <t>Human Horizons</t>
    <phoneticPr fontId="1"/>
  </si>
  <si>
    <t>https://www.marklines.com/en/global/10328</t>
    <phoneticPr fontId="1"/>
  </si>
  <si>
    <t>On October 13-14, according to Human Horizons’ official website, Lei DING, the founder, chairman and CEO of the company, attended Microsoft Ignite. Human Horizons and Microsoft will continue their close cooperation, covering cloud intelligence, intelligent cockpit, and intelligent driving. The two parties started cooperation as early as 2019 and jointly developed HiPhiGo, the first on-board intelligent emotional partner based on Microsoft's neural network speech synthesis technologies. HiPhiGo has been applied to two flagship models, the HiPhi X and the HiPhi Z.</t>
    <phoneticPr fontId="1"/>
  </si>
  <si>
    <t>Hiphi</t>
    <phoneticPr fontId="1"/>
  </si>
  <si>
    <t>https://www.marklines.com/en/global/3767</t>
    <phoneticPr fontId="1"/>
  </si>
  <si>
    <t>https://www.marklines.com/en/global/37</t>
    <phoneticPr fontId="1"/>
  </si>
  <si>
    <t>On October 12, Foxtron Vehicle Technologies Co., Ltd., a subsidiary of the Foxconn Technology Group, delivered 15 of its Model T electric buses to a local bus company in Tainan City. The 15 buses are expected to be introduced on three routes (Routes 6, 11 and 15) in urban areas. The Model T is currently manufactured at MFTB Taiwan Company Limited’s Hsinwu Plant. Foxtron Vehicle Technologies is a joint venture established in 2020 by Foxconn Technology Group and Yulon Motor Co., Ltd., which has expertise in vehicle design and development and system verification technology.</t>
    <phoneticPr fontId="1"/>
  </si>
  <si>
    <t>https://www.marklines.com/en/global/10003</t>
    <phoneticPr fontId="1"/>
  </si>
  <si>
    <t>On October 12, the Lexus division of Toyota Motor Corporation announced the updated UX 300e, an electric compact SUV. In Japan, the UX 300e is scheduled to go on sale in the spring of 2023. Its newly developed battery pack with capacity increased from 54.4kWh to 72.8kWh extends cruising range by more than 40% to 450km (WLTC values for Europe) compared to the current model and achieves energy consumption of 166.7Wh/km (WLTC values for Europe). A total of 20 spot welds were added to the vehicle body to improve structural rigidity. In addition, the car was driven extensively at Toyota Technical Center Shimoyama in order to further tune the EPS (electric power steering), shock absorbers, and other components. Moreover, the updated UX 300e has expanded the functionality of the Lexus Safety System+ active safety technology. For example, Lane Tracing Assist (LTA), an advanced driving support function, utilizes AI technology for lane recognition and expands the range of support, thereby achieving smoother and more consistent steering support.</t>
    <phoneticPr fontId="1"/>
  </si>
  <si>
    <t>https://www.marklines.com/en/global/1989</t>
    <phoneticPr fontId="1"/>
  </si>
  <si>
    <t>Rayong</t>
  </si>
  <si>
    <t>On October 11, Ford South Africa announced that it has received unprecedented customer interest in the Next-Gen Everest, as well as for the powerful Next-Gen Ranger Raptor that will be launched in the first quarter of 2023. With the Silverton Assembly Plant expanding its Ranger production, the Next-Gen Everest and Ranger Raptor are now fully imported from Thailand instead of being locally assembled, as was the case with the outgoing range. With both vehicles produced in Thailand, Ford is impacted by the global supply and logistics constraints that are limiting its delivery capacity.</t>
    <phoneticPr fontId="1"/>
  </si>
  <si>
    <t>https://www.marklines.com/en/global/1985</t>
    <phoneticPr fontId="1"/>
  </si>
  <si>
    <t>https://www.marklines.com/en/global/1295</t>
    <phoneticPr fontId="1"/>
  </si>
  <si>
    <t>Karnataka</t>
  </si>
  <si>
    <t>On October 19, Volvo Cars India rolled out its first assembled in India luxury all-electric SUV XC40 Recharge from its Hoskote plant near Bengaluru. This is a major milestone in Volvo Car India's commitment to becoming an all-electric company by 2030. The company's current range of internal combustion engine cars is already being rolled off from the Hoskote plant to the exacting safety and quality global benchmarks that Volvo is known for.</t>
    <phoneticPr fontId="1"/>
  </si>
  <si>
    <t>https://www.marklines.com/en/global/2239</t>
    <phoneticPr fontId="1"/>
  </si>
  <si>
    <t>On October 18, Mercedes-Benz announced that it has achieved the production of the 5 millionth van at its Düsseldorf plant. The 5 millionth van is an eSprinter, which has been produced in Düsseldorf since the end of 2019. With the prospect of the next generation eSprinter, EUR 50 million were invested in the Düsseldorf location, which will be used to adapt production and further training for employees.</t>
    <phoneticPr fontId="1"/>
  </si>
  <si>
    <t>Porsche</t>
    <phoneticPr fontId="1"/>
  </si>
  <si>
    <t>https://www.marklines.com/en/global/10543</t>
    <phoneticPr fontId="1"/>
  </si>
  <si>
    <t>On October 18, Cellforce Group GmbH (CFG) laid the foundation stone for the state-of-the-art development and manufacturing facility near Reutlingen-Kirchentellinsfurt. Cellforce acquired the 28,151-square-meter site last year. It will initially develop and produce high-performance lithium-ion pouch cells. The plant will have an initial capacity of at least 100 MWh per year and then ramp up to a capacity of at least 1 GWh. This is equivalent to high-performance battery cells for around 10,000 vehicles. The Federal Republic of Germany and the state of Baden-Württemberg are helping fund the project with approximately EUR 60 million. The construction itself will set new standards in the battery industry, also in terms of sustainability. The site will include facilities for researching and developing cell chemistry as well as production facilities for manufacturing battery cells.</t>
    <phoneticPr fontId="1"/>
  </si>
  <si>
    <t>Iveco</t>
    <phoneticPr fontId="1"/>
  </si>
  <si>
    <t>FPT</t>
    <phoneticPr fontId="1"/>
  </si>
  <si>
    <t>https://www.marklines.com/en/global/1345</t>
    <phoneticPr fontId="1"/>
  </si>
  <si>
    <t>On October 18, FPT Industrial inaugurated the new Turin (Italy) ePowertrain plant, Iveco Group's first carbon-neutral plant. It will employ about 200 people to produce over 20,000 electric axles and over 20,000 battery packs a year. The electric axles will equip heavy-duty vehicles such as the Nikola Tre truck, while the electric transfer boxes and compact battery packs will be installed on light commercial vehicles and minibusses, such as the new IVECO eDAILY. The plant generates its energy with solar panels and other innovative photovoltaic and wind power technologies, purchases additional energy from renewable sources, and buys carbon credits to fully offset its CO2 emissions. A 6,000 sqm internal space planted with 100 drought-resilient plants adds a further expected absorption of CO2 of approximately 7 tons a year. The adoption of Industry 4.0 technologies – including highly automated warehouses, augmented and virtual reality, intelligent sensors, 3D scanners for metrology-grade measurements, 3D reality simulators, cooperative robots, and thermal imaging cameras – will ensure improved safety, sustainability, quality, productivity, and logistics management.</t>
    <phoneticPr fontId="1"/>
  </si>
  <si>
    <t>Evobus</t>
    <phoneticPr fontId="1"/>
  </si>
  <si>
    <t>https://www.marklines.com/en/global/1897</t>
    <phoneticPr fontId="1"/>
  </si>
  <si>
    <t>On October 18, EvoBus Ibérica, the Spanish subsidiary of Daimler Buses, presented important novelties in this FIAA 2022 edition. It introduced eCitaro, with its brand new NMC3 batteries. The OC 500 RF Chassis, which includes new electronic architecture focusing on security and functionality, will be available to see as well. Setra is present with its new generation vehicles for the ComfortClass and TopClass, which incorporates relevant innovations in terms of security, performance, comfort, and design. As bus representatives of the intercity segment, EvoBus present the new Mercedes-Benz Intouro hybrid and the Setra S 416 LE business vehicle.</t>
    <phoneticPr fontId="1"/>
  </si>
  <si>
    <t>https://www.marklines.com/en/global/2139</t>
    <phoneticPr fontId="1"/>
  </si>
  <si>
    <t>https://www.marklines.com/en/global/2137</t>
    <phoneticPr fontId="1"/>
  </si>
  <si>
    <t>Setra</t>
    <phoneticPr fontId="1"/>
  </si>
  <si>
    <t>Rolls-Royce</t>
    <phoneticPr fontId="1"/>
  </si>
  <si>
    <t>https://www.marklines.com/en/global/2375</t>
    <phoneticPr fontId="1"/>
  </si>
  <si>
    <t>On October 18, Rolls-Royce unveiled its first fully electric motor car Spectre. The first customer cars will be delivered in the fourth quarter of 2023. Rolls-Royce has confirmed that by the end of 2030 its entire product portfolio will be fully electric. Spectre is expected to have an all-electric range of 320 miles/520 kilometers WLTP and offer 900Nm of torque from its 430kW powertrain. It is anticipated to achieve 0-60mph in 4.4 seconds. The final power, acceleration, and range figures are still being refined, as the extraordinary undertaking of finessing Spectre enters its final phase before concluding in the second quarter of 2023. Spectre is being subjected to a journey of more than 2.5 million kilometers, simulating more than 400 years of use for a Rolls-Royce.</t>
    <phoneticPr fontId="1"/>
  </si>
  <si>
    <t>On October 18, Volvo Cars announced that its Volvo EX90 all-electric flagship SUV will be revealed on November 9. The EX90 will be built at the company’s Ridgeville plant in South Carolina.</t>
    <phoneticPr fontId="1"/>
  </si>
  <si>
    <t>Nova Bus</t>
    <phoneticPr fontId="1"/>
  </si>
  <si>
    <t>https://www.marklines.com/en/global/8919</t>
    <phoneticPr fontId="1"/>
  </si>
  <si>
    <t>New York</t>
  </si>
  <si>
    <t>On October 18, Nova Bus announced it has been awarded a contract for five of its LFSe+ buses by the New York State Metropolitan Transportation Authority (MTA). The first delivery of the 40', long-range electric buses is expected by Q4 2023 and will be assembled at the Nova Bus facility in Plattsburgh, New York.</t>
    <phoneticPr fontId="1"/>
  </si>
  <si>
    <t>https://www.marklines.com/en/global/9900</t>
    <phoneticPr fontId="1"/>
  </si>
  <si>
    <t>On October 17, Cadillac presented the CELESTIQ handcrafted, all-electric, ultra-luxury flagship, which is expected to go into production in December 2023 at the GM Global Technical Center, in Warren, Michigan, which received USD 81 million in investment. No more than six vehicles will be assembled at any time. The CELESTIQ architecture incorporates a unique 48-volt electrical system, 111-kWh battery pack and a two-motor, all-wheel-drive propulsion system. The Ultium Platform serves as a structural element of the vehicle, with the CELESTIQ’s battery cells mounted horizontally in a low mounting position, and underbody with six large sand-cast aluminum components.</t>
    <phoneticPr fontId="1"/>
  </si>
  <si>
    <t>https://www.marklines.com/en/global/2811</t>
    <phoneticPr fontId="1"/>
  </si>
  <si>
    <t>On October 17, Toyota announced that it will launch a new version of the Toyota Hilux manufactured in Zárate, Argentina, named "Conquest", bringing the number of pickup models produced there from 15 to 16. The Hilux Conquest will have a specific design and be oriented to recreational and off-road use, with a 2.8-liter turbodiesel engine mated to a six-speed automatic gearbox and 4x4 drive.</t>
    <phoneticPr fontId="1"/>
  </si>
  <si>
    <t>On October 13, Aiways announced that its all-new midsize battery electric SUV, Aiways U6, has officially been launched. The new vehicle is equipped with the EU E-mark certified AI-PT 3-in-1 electric drive system, which is 5% lighter than the conventional 3-in-1 electric drive system and has a maximum power of 160 kW and a peak torque of 315 Nm. The vehicle’s battery capacity is 63 kWh, while an optional 72 kWh version is available on some models, both of which support fast charging. The new vehicle has a combined range of up to 590 km under CLTC standards and acceleration from 0 to 100 kph in 6.9 seconds. In terms of configuration, the new vehicle features AI-CRUISE driver assistance system (including CLC turn signal lane change assist system, and four 360-degree surround view cameras), OTA remote upgrade for the whole vehicle.</t>
    <phoneticPr fontId="1"/>
  </si>
  <si>
    <t>https://www.marklines.com/en/global/4003</t>
    <phoneticPr fontId="1"/>
  </si>
  <si>
    <t>On October 13, DFAC announced that its Dongfeng Yufeng sub-brand has been certified by the GCC (Gulf Cooperation Council).</t>
    <phoneticPr fontId="1"/>
  </si>
  <si>
    <t>https://www.marklines.com/en/global/3979</t>
    <phoneticPr fontId="1"/>
  </si>
  <si>
    <t>https://www.marklines.com/en/global/3341</t>
    <phoneticPr fontId="1"/>
  </si>
  <si>
    <t>Jilin</t>
  </si>
  <si>
    <t>On October 13, FAW-VW announced that the pre-order of its all-new mid-to-large-sized 5-seater SUV “Tavendor” has commenced. In terms of power, the new vehicle adopts two different power combinations of 330TSI+2WD and 380TSI+4WD. The 330TSI model is equipped with an EA888 2.0T standard power engine (137kW/320Nm); the 380TSI model is equipped with an EA888 2.0T high power engine (162kW/350Nm), mated to a 7-speed wet AMT DSG dual clutch AT, with a minimum combined fuel consumption of 7.77L/100km. Some models feature 4Motion intelligent 4WD system and Active Control driving mode. In terms of configuration, some models also have features such as RTA rear traffic warning system, Side Assist lane change assist system, Travel Assist full speed range driving assistance system, and Pre-Crash advanced pre-collision protection system.</t>
    <phoneticPr fontId="1"/>
  </si>
  <si>
    <t>Hozon Auto</t>
    <phoneticPr fontId="1"/>
  </si>
  <si>
    <t>Neta</t>
    <phoneticPr fontId="1"/>
  </si>
  <si>
    <t>https://www.marklines.com/en/global/9538</t>
    <phoneticPr fontId="1"/>
  </si>
  <si>
    <t>On October 10, Neta Auto officially entered the Myanmar market by signing a strategic cooperation agreement with Myanmar GSE Co., Ltd. Neta Auto will launch new intelligent electric products and services in Myanmar such as the Neta U International Edition and the Neta V International Edition. GSE will support Neta Auto in delivering one-stop intelligent EV mobility services in Myanmar with its advantageous resources in the country and its business capabilities across auto trade and auto detailing.</t>
    <phoneticPr fontId="1"/>
  </si>
  <si>
    <t>https://www.marklines.com/en/global/2229</t>
    <phoneticPr fontId="1"/>
  </si>
  <si>
    <t>On October 17, Daimler Truck AG, and Gehring Technologies GmbH + Co. KG signed an agreement on a strategic partnership for the development and prototype construction of commercial vehicle-specific electric motors. The partnership covers the prototypical construction of so-called "truck-e-fied" e-motors as well as the further development and testing of innovative production processes. Gehring will also supply equipment for the technical center, which is being set up at the Gaggenau plant, Daimler Truck's competence center for electric drive components.</t>
    <phoneticPr fontId="1"/>
  </si>
  <si>
    <t>https://www.marklines.com/en/global/123</t>
    <phoneticPr fontId="1"/>
  </si>
  <si>
    <t>On October 18, INEOS Automotive started the series production of the Grenadier 4X4 at its facility in Hambach. Global supply chain issues continue to constrain output, but customer deliveries in the volume are expected from early December. </t>
    <phoneticPr fontId="1"/>
  </si>
  <si>
    <t>https://www.marklines.com/en/global/161</t>
    <phoneticPr fontId="1"/>
  </si>
  <si>
    <t>On October 17, Stellanits announced that 12 electric models will be produced in its assembly and component factories in France. With 12 factories located in the heart of 7 French regions, Stellantis will have a production capacity of 1 million vehicles and components by 2024. More than a million electric motors will be produced in 2024 in Trémery. 600,000 e-DCT boxes, which will provide the next generation of hybrid vehicles, will come out of the neighboring factory in Metz. Following capacity increases, the Valenciennes plant will soon produce 820,000 gear reducers needed for electric vehicles and begin the assembly of electric machines. Douvrin will produce batteries with Automotive Cells Company (ACC). At the Charleville foundry, the production of electrical casings will succeed the cylinder heads.  In the Sept-Fons plant, braking parts are gradually machined instead of heat engine casings. In Caen, in Normandy, the production of transmission elements and chassis components for hybrid vehicles will take place, while the Mulhouse mechanical plant manufactures the rear axle of hybrid vehicles.</t>
    <phoneticPr fontId="1"/>
  </si>
  <si>
    <t>https://www.marklines.com/en/global/153</t>
    <phoneticPr fontId="1"/>
  </si>
  <si>
    <t>https://www.marklines.com/en/global/159</t>
    <phoneticPr fontId="1"/>
  </si>
  <si>
    <t>https://www.marklines.com/en/global/149</t>
    <phoneticPr fontId="1"/>
  </si>
  <si>
    <t>https://www.marklines.com/en/global/157</t>
    <phoneticPr fontId="1"/>
  </si>
  <si>
    <t>https://www.marklines.com/en/global/147</t>
    <phoneticPr fontId="1"/>
  </si>
  <si>
    <t>https://www.marklines.com/en/global/119</t>
    <phoneticPr fontId="1"/>
  </si>
  <si>
    <t>On October 17, Stellanits announced that 12 electric models will be produced in its assembly and component factories in France. With 12 factories located in the heart of 7 French regions, Stellantis will have a production capacity of 1 million vehicles and components by 2024. Three future Peugeot e-308 sedans, e-308 SW and e-408 electric models will be produced in the Mulhouse plant. Sochaux plant will host the production of 100% electric versions of its future Peugeot 5008 and 3008. Rennes plant will assemble a future 100% electric vehicle for the Citroën brand. Poissy already assembles the Opel Mokka-e-versions and the new DS3 E-TENSE. Electric vehicles represent 40% of the site's daily production. Hordain plant produces 43% of its compact vans in electric versions for the Peugeot, Citroën, Opel, Fiat, Vauxhall, and Toyota brands. </t>
    <phoneticPr fontId="1"/>
  </si>
  <si>
    <t>https://www.marklines.com/en/global/143</t>
    <phoneticPr fontId="1"/>
  </si>
  <si>
    <t>https://www.marklines.com/en/global/141</t>
    <phoneticPr fontId="1"/>
  </si>
  <si>
    <t>On October 17, Daimler Buses announced a major order for up to 75 fully electric Mercedes-Benz eCitaro G articulated buses with fuel cells as range extenders from Verkehrsbetriebe Rhein-Neckar-Verkehr GmbH (rnv). Delivery of 40 eCitaro G vehicles with range extenders in 2023 and 2024 has now been fixed, with an additional option of 35 more articulated buses by 2027.</t>
    <phoneticPr fontId="1"/>
  </si>
  <si>
    <t>On October 14, Avtotor announced that the creation of large-scale mass production of lithium-ion batteries for electric vehicles and stationary energy storage systems by Rosatom is a big step towards the accelerated introduction of electric vehicles in Russia. In December 2021, Avtotor entered into a cooperation agreement with RENERA, a subsidiary of Rosatom to supply EV components, including an electric battery for electric vehicles, which are planned to be produced at the Avtotor production site. Avtotor will receive batteries and cells from Rosatom.</t>
    <phoneticPr fontId="1"/>
  </si>
  <si>
    <t>GMC will debut its third fully electric truck, the upcoming 2024 GMC Sierra EV Denali, on October 20 at 5 p.m. EST. The Sierra EV Denali will be available in the spring of 2024, and is expected to be built alongside the GMC Hummer EV and Chevrolet Silverado EV at the GM Factory Zero plant, sharing their BT1 platform, Ultium battery tech and Ultium Drive motors.</t>
    <phoneticPr fontId="1"/>
  </si>
  <si>
    <t>https://www.marklines.com/en/global/3283</t>
    <phoneticPr fontId="1"/>
  </si>
  <si>
    <t>California</t>
  </si>
  <si>
    <t>Tesla will not start mass production of battery cells at its Gigafactory Berlin before 2024, according to reports citing people familiar with the matter. While research on battery electrodes continues at the German site, all equipment for the remaining production steps of winding, assembling and formatting the cells is being moved to Gigafactory Texas. Tesla wants to focus on successfully deploying its dry coating of the electrodes in the U.S. and begin volume production at Gigafactory Texas by the end of 2022 before starting German production. When Gigafactory Berlin reaches full capacity, it will produce 500,000 vehicles and 50 GWh of battery cells annually.</t>
    <phoneticPr fontId="1"/>
  </si>
  <si>
    <t>https://www.marklines.com/en/global/9895</t>
    <phoneticPr fontId="1"/>
  </si>
  <si>
    <t>https://www.marklines.com/en/global/2521</t>
    <phoneticPr fontId="1"/>
  </si>
  <si>
    <t>Kentucky</t>
  </si>
  <si>
    <t>On October 13, GM announced it is halting production of the 2023 Corvette Stingray and Corvette Z06 at its Bowling Green, Kentucky, plant for the week of October 17 due to an unspecified parts constraint not related to the semiconductor shortage. The company expects to resume normal operations on October 24. Bowling Green Assembly lost production time in August, April and March. Supply chain production stoppages have improved since 2021, and GM expects production volume to increase 25% to 30% in 2022.</t>
    <phoneticPr fontId="1"/>
  </si>
  <si>
    <t>On October 12, GAC Aion announced that it held a ceremony to celebrate the completion of its second intelligent manufacturing center (second plant), increasing its total annual production capacity to 400,000 units. GAC AION completed the construction of its first plant in 2018 with an initial production capacity of 100,000 vehicles per year. In February 2022, the company fulfilled an expansion project at the first factory, increasing its total annual production capacity to 200,000 units. With the completion of the second plant, GAC Aion’s total annual production capacity has increased to 400,000 units. By increasing the number of production shifts, it is possible to increase the total annual production capacity to a maximum of 600,000 units.</t>
    <phoneticPr fontId="1"/>
  </si>
  <si>
    <t>https://www.marklines.com/en/global/3533</t>
    <phoneticPr fontId="1"/>
  </si>
  <si>
    <t>Hebei</t>
  </si>
  <si>
    <t>On October 12, GWM announced that it recently received the UN R155 (United Nations Regulation No. 155) certification for the Cybersecurity Management System (CSMS) issued by the German Federal Motor Traffic Administration ("KBA"). GWM became the first company in China to obtain this certification from KBA.</t>
    <phoneticPr fontId="1"/>
  </si>
  <si>
    <t>On October 12, the Lucid Group announced it produced 2,282 vehicles during Q3 at its plant in Casa Grande, Arizona, more than tripling the number produced in Q2, and delivered 1,398 vehicles during the same period. Lucid believes it will deliver on its previously provided 6,000 to 7,000 vehicle production guidance for full year 2022.</t>
    <phoneticPr fontId="1"/>
  </si>
  <si>
    <t>On October 10, BYD and its local partner MOK CO., LTD. (MOK) held a launch event in Laos for the Yuan Plus (global name: Atto 3), a pure electric compact crossover SUV.</t>
    <phoneticPr fontId="1"/>
  </si>
  <si>
    <t>Farizon</t>
    <phoneticPr fontId="1"/>
  </si>
  <si>
    <t>https://www.marklines.com/en/global/9345</t>
    <phoneticPr fontId="1"/>
  </si>
  <si>
    <t>On October 10, Farizon Auto, Geely Commercial Vehicles entered a strategic partnership with Zhejiang Geespace Technology Co., Ltd. (Geespace), an aerospace company backed by Geely. The two parties will collaborate in fields such as logistics and autonomous driving. The two parties will jointly promote the application of satellite services such as satellite communication and satellite-based high-precision positioning technology in all scenarios of commercial vehicles and build a new smart and highly efficient logistics ecosystem. The satellite data application services provided by Geespace will facilitate the utilization of advanced assisted driving technology for Farizon Auto. In terms of highly automated driving, vehicle rescue and fleet management, this service plays an important role in closed scenarios such as ports and mines. In the future, Farizon Auto will use the satellite data of Geespace in application scenarios such as trunk logistics formation driving and capacity scheduling of new energy commercial vehicles.</t>
    <phoneticPr fontId="1"/>
  </si>
  <si>
    <t>https://www.marklines.com/en/global/10361</t>
    <phoneticPr fontId="1"/>
  </si>
  <si>
    <t>https://www.marklines.com/en/global/3977</t>
    <phoneticPr fontId="1"/>
  </si>
  <si>
    <t>On October 9, Dongfeng Motor announced on its official website that that it has launched the Yixuan MAX compact sedan and the AX7 Mach compact SUV in Saudi Arabia. Dongfeng plans to invest more resources and products into the Saudi market to make Saudi Arabia into a Dongfeng Motor’s overseas strategic market. Dongfeng also displayed models such as its light commercial vehicles in Saudi Arabia.</t>
    <phoneticPr fontId="1"/>
  </si>
  <si>
    <t>On October 7, China Motor Corporation (CMC) released a new truck with a gross weight of 3.5 tons, the "CMC P350 HYBRID," a mild hybrid vehicle (MHV) that combines a 2.4L inline 4-cylinder engine (maximum output of 133ps and maximum torque of 20.4kg-m) and an ISG (Integrated Starter Generator). It is a mild hybrid vehicle (MHV) with maximum system output of 162.6ps and maximum system torque of 26.2kg-m. The 15-inch rear double tires and disc brakes on the front and rear wheels enhance driving stability and safety. In addition to the standard car with a cargo bed, there are two types available: a chassis with a cab and a chassis with cab for cold chain. The maximum load capacity is 1,610 kg for the standard model and 1,905 kg for the chassis with cab. Production takes place at the Hsinchu plant.</t>
    <phoneticPr fontId="1"/>
  </si>
  <si>
    <t>On October 25, Solaris Bus &amp; Coach announced that it will supply 25 innovative hydrogen-fueled buses to public transport operator MPK Poznań. These cutting-edge, zero-emission hydrogen units will join the fleet of MPK in the second half of 2023. This is by far the largest order for hydrogen Urbino hydrogen buses.</t>
    <phoneticPr fontId="1"/>
  </si>
  <si>
    <t>Dodge</t>
    <phoneticPr fontId="1"/>
  </si>
  <si>
    <t>https://www.marklines.com/en/global/2671</t>
    <phoneticPr fontId="1"/>
  </si>
  <si>
    <t>Canada</t>
    <phoneticPr fontId="1"/>
  </si>
  <si>
    <t>On October 27, the Dodge brand opened orders for the final production of the gasoline-powered Charger and Challenger muscle cars. Production will end in December 2023 at the Brampton Assembly Plant ahead of retooling at that plant for an electrified platform. Dodge will launch its next-generation muscle car, an all-electric vehicle, in 2024.</t>
    <phoneticPr fontId="1"/>
  </si>
  <si>
    <t>On October 27, Avtotor has begun developing and approving the layout of equipment placement at the battery production plant at a new technological site in Kaliningrad, as part of the investment project for the construction of plants for the production of electric vehicles and auto components. In the production building with an area of 1,500 square meters, work is currently underway to decorate part of the premises with non-combustible materials, and a plan for the placement of technical systems is being developed. Avtotor is also designing special equipment to ensure the operation of the battery transportation system between production sites. To produce batteries, the Avtotor plant will use lithium-ion storage devices manufactured by Renera.</t>
    <phoneticPr fontId="1"/>
  </si>
  <si>
    <t>https://www.marklines.com/en/global/9012</t>
    <phoneticPr fontId="1"/>
  </si>
  <si>
    <t>Uzbekistan</t>
    <phoneticPr fontId="1"/>
  </si>
  <si>
    <t>On October 27, UzAuto Motors signed several agreements with General Motors to expand cooperation. An agreement was reached to increase the production capacity of cars to 500,000 units in 2023. To achieve these indicators, in addition to the production of new models, it was decided to increase the production capacity of each of "Cobalt" and "Damas" cars to 150,000 units. In addition, the parties agreed to successfully organize small-scale automobile production (CKD) with Kazakhstan and Azerbaijan. Together with General Motors, the UzAuto Motors plant will further increase production volume, in the long term it will make 1 million cars.</t>
    <phoneticPr fontId="1"/>
  </si>
  <si>
    <t>UzAvtosanoat</t>
    <phoneticPr fontId="1"/>
  </si>
  <si>
    <t>On October 27, Stellantis announced that new investment at Hordain is scaling up production of the Peugeot Expert, Citroën Jumpy, and Opel Vivaro fuel cell light commercial vehicles to an industrial level. From 2024, the site will have a production capacity of 5,000 vehicles per year, reaffirming Stellantis' ambition to be the first mass-produced manufacturer of hydrogen-powered utility vehicles. These hydrogen-powered vehicles will be assembled on the site's multi-energy line. Using a reinforced platform from body-in-white onwards, the hydrogen-powered models will then follow the usual stages of paintwork and assembly, before they enter the new 8,000-square meters facility. A dedicated team will install the tank, the additional batteries, and the fuel cell on a production line at Hordain which halves the adjustment time compared to the previous small-scale process, where the fuel cell was assembled at a pilot workshop in Rüsselsheim. This industrialization of hydrogen-powered light commercial vehicles is accompanied by EUR 10 million in investments with financial support from the French government.</t>
    <phoneticPr fontId="1"/>
  </si>
  <si>
    <t>https://www.marklines.com/en/global/673</t>
    <phoneticPr fontId="1"/>
  </si>
  <si>
    <t>On October 26, multiple sources reported that Rostech expects to transfer its share of AvtoVAZ to FSUE NAMI, subordinated to the Ministry of Industry and Trade. Rostech now owns 32.3% of AvtoVAZ. In the current situation, it will be the only right decision, as the presence of a state corporation among the owners of AvtoVAZ under sanctions prevents the plant from ordering components abroad. Now NAMI owns 67.7% of the shares of AvtoVAZ, which it received for a 1 ruble from the Renault group. If NAMI acquires a stake in Rostec, it will consolidate 100% of AvtoVAZ shares.</t>
    <phoneticPr fontId="1"/>
  </si>
  <si>
    <t>https://www.marklines.com/en/global/1861</t>
    <phoneticPr fontId="1"/>
  </si>
  <si>
    <t>Romania</t>
    <phoneticPr fontId="1"/>
  </si>
  <si>
    <t>On October 26, Ford confirmed it will end production of its Fiesta compact in Cologne, Germany, by the end of June 2023, a year earlier than planned. Ford says it will also end production of the Ford S-Max and Galaxy minivans in Valencia, Spain, in April 2023, as it shifts its focus to accelerating EV production. Ford has been investing to build EV at the Cologne plant, including a new battery assembly facility scheduled to start operations in 2024. Ford plans to launch seven full-electric vehicles in Europe, including an-electric version of the Puma that will be built in Craiova, Romania in 2024.</t>
    <phoneticPr fontId="1"/>
  </si>
  <si>
    <t>Lotus</t>
    <phoneticPr fontId="1"/>
  </si>
  <si>
    <t>https://www.marklines.com/en/global/9860</t>
    <phoneticPr fontId="1"/>
  </si>
  <si>
    <t>On October 25, Lotus unveiled the prices and specifications of Eletre Hyper-SUV. It is the first of a new breed of pure electric SUVs. Three different versions of the car are available - Eletre, Eletre S, and Eletre R - with the choice of two powertrains. Eletre and Eletre S feature the 603 hp single-speed version, with a maximum range of 600 km. The Eletre R comes with the flagship 675 kW / 905 hp dual-speed system and a maximum range of 490 km (304 miles). The 112 kWh battery for both versions has a charging time (10%-80%) of just 20 minutes using a rapid charger. Customer deliveries will begin in 2023.</t>
    <phoneticPr fontId="1"/>
  </si>
  <si>
    <t>On October 22, Honda Atlas Cars launched the locally assembled HR-V in Pakistan. HR-V variants are equipped with a 1.5-liter engine that produces 121 horsepower and 145 Nm of torque. The engine is mated with a CVT transmission. Moreover, both variants VTi and VTi-S offer single Econ mode. The price of the VTi variant is PKR 6 million and VTi S variant is launched with the cost of PKR 6.2 million.</t>
    <phoneticPr fontId="1"/>
  </si>
  <si>
    <t>https://www.marklines.com/en/global/799</t>
    <phoneticPr fontId="1"/>
  </si>
  <si>
    <t>On October 19, multiple sources reported that the Interdepartmental Commission on Special Investment Contracts approved the termination of the SPIC of the parity joint venture of the Russian automotive group Sollers and Isuzu - Isuzu Sollers LLC. The application of the parties was considered on October 18 and received approval. The Kommersant publication, citing sources in the automotive industry, notes that formally, upon termination of the SPIC, the company must return all the benefits received from the state. After the termination of the SPIC, Isuzu Sollers may be liquidated. In 2021, local production produced 3.7 thousand cars. In 2022, it was planned to increase it by 50%. According to the Association of European Businesses, in 9 months of 2022, Isuzu sold 531 passenger cars and light commercial vehicles in Russia, which is 8% less than a year earlier.</t>
    <phoneticPr fontId="1"/>
  </si>
  <si>
    <t>https://www.marklines.com/en/global/9473</t>
    <phoneticPr fontId="1"/>
  </si>
  <si>
    <t>On October 26, the Russian Ministry of Industry and Trade announced that Mercedes-Benz intends to sell its shares in Russian subsidiaries to a local investor. After the completion of all approvals, the new owner of the Russian divisions of Mercedes-Benz, Avtodom, will be able to attract other companies as production partners to organize joint production based on a plant in the Esipovo industrial park. In turn, the ministry will provide support in the selection and search for a technology partner. It will ensure the efficiency of the plant and maintain highly qualified jobs and competencies. Avtodom will also carry out maintenance of Mercedes-Benz cars sold on the Russian market.</t>
    <phoneticPr fontId="1"/>
  </si>
  <si>
    <t>On October 26, Volvo Group announced that its truck plant in Ghent, Belgium will start to produce battery modules in 2025. The battery module manufacturing line in Ghent will be able to use battery cells both from partners and from the planned battery cell plant in Sweden. The building is expected to be 12,000 square meters and be located at the Volvo Group manufacturing site. The new high-tech module factory will consist of an almost fully automated process with robots. The investment frame for this first step of module manufacturing is EUR 75 million. In the second half of 2023, the plant in Ghent will also start to produce battery-electric heavy-duty trucks. The battery packs needed to power these electric trucks are built in the Ghent plant.</t>
    <phoneticPr fontId="1"/>
  </si>
  <si>
    <t>On October 25, Maserati announced that the new Maserati GranCabrio prototypes are now taking to the streets of Modena for the initial stages of development testing. GranTurismo and GranCabrio are the brand's first cars to adopt a 100% electric solution. Ahead of the launch of the new GranCabrio, expected next year, the prototype models are undergoing intensive testing (on the road, on the track, and in various usage conditions), aimed at gathering essential data for optimal final tuning.</t>
    <phoneticPr fontId="1"/>
  </si>
  <si>
    <t>GAZ</t>
    <phoneticPr fontId="1"/>
  </si>
  <si>
    <t>https://www.marklines.com/en/global/9285</t>
    <phoneticPr fontId="1"/>
  </si>
  <si>
    <t>On October 25, multiple sources reported that GAZ started production of commercial vehicles GAZelle Next at the AvtoVAZ Argun plant Chechenavto. At the initial stage, about 100 such vehicles per month will roll off the assembly line of the enterprise; the opening of a new assembly line has created 100 jobs. Currently, GAZ supplies assembly kits for all units of future light vehicles to Argun, Rossiyskaya Gazeta writes. The model can also serve as school buses and ambulances, serve housing and communal services.</t>
    <phoneticPr fontId="1"/>
  </si>
  <si>
    <t>https://www.marklines.com/en/global/3117</t>
    <phoneticPr fontId="1"/>
  </si>
  <si>
    <t>On October 25, Honda of Canada Mfg. (HCM) began mass production of the all-new 2023 Honda CR-V hybrid featuring a new two-motor hybrid system produced at Honda’s Ohio Transmission Plant (TMP-O), and a newly refined Atkinson-cycle engine produced at the Anna Engine Plant (AEP) in Ohio. The Indiana Auto Plant (IAP) and the East Liberty Auto Plant (ELP) will begin production of the 2023 CR-V hybrid in coming months. AEP will be increasing in-house production of engine components and local sourcing for parts previously supplied from Japan. TMP-O will be increasing production of the two-motor system 300% (from 500 to 1500 units per day).</t>
    <phoneticPr fontId="1"/>
  </si>
  <si>
    <t>https://www.marklines.com/en/global/3125</t>
    <phoneticPr fontId="1"/>
  </si>
  <si>
    <t>https://www.marklines.com/en/global/3133</t>
    <phoneticPr fontId="1"/>
  </si>
  <si>
    <t>https://www.marklines.com/en/global/2605</t>
    <phoneticPr fontId="1"/>
  </si>
  <si>
    <t>On October, 25, Ford presented its updated 2023 Escape SUV line with a new sporty ST-Line series. The 2023 Escape SUV is assembled at the Louisville Assembly Plant in Kentucky, available to order now, and will reach dealerships early in 2023.</t>
    <phoneticPr fontId="1"/>
  </si>
  <si>
    <t>Valmet</t>
    <phoneticPr fontId="1"/>
  </si>
  <si>
    <t>https://www.marklines.com/en/global/2749</t>
    <phoneticPr fontId="1"/>
  </si>
  <si>
    <t>Finland</t>
    <phoneticPr fontId="1"/>
  </si>
  <si>
    <t>On October 24, Lightyear, the high-tech company developing the world's first solar car, announced the asset acquisition from Next Level Electronics (NLE), a Dutch electronics development company specializing in the design of highly efficient power electronics. Lightyear sees the acquisition as an opportunity to further improve its technologies to get a step closer to its mission of clean mobility. After validating the technology of solar electric cars with their first car model, Lightyear 0, the drivetrain will be further developed for their more accessible mass-market model, Lightyear 2, which is intended for additional distribution in the US, UK, and eventually Asia.</t>
    <phoneticPr fontId="1"/>
  </si>
  <si>
    <t>https://www.marklines.com/en/global/1973</t>
    <phoneticPr fontId="1"/>
  </si>
  <si>
    <t>Reported on October 24, BMW Group Thailand, which has recently introduced the flagship i7 pure electric saloon that became  the first model from its new 7-Series line-up to be launched in Thailand, unveiled that a locally-assembled PHEV variant is also expected to join in 2023.</t>
    <phoneticPr fontId="1"/>
  </si>
  <si>
    <t>https://www.marklines.com/en/global/10438</t>
    <phoneticPr fontId="1"/>
  </si>
  <si>
    <t>Guangdong</t>
    <phoneticPr fontId="1"/>
  </si>
  <si>
    <t>On October 24, Toyota China announced the bZ3, the first sedan in its bZ series, which is scheduled to be produced and sold through FAW Toyota Motor Co., Ltd. (FAW Toyota) and its dealer network. Jointly developed by BYD TOYOTA EV TECHNOLOGY Co., Ltd. (BTET), a joint venture between Toyota and BYD, and FAW Toyota, the new vehicle is based on the Toyota e-TNGA. For the powertrain, the new vehicle combines BYD’s lithium iron LFP battery and Toyota’s electrification technologies and experience, and features newly designed battery structure, cooling, control and safety monitoring systems with the development goal of ensuring 90% capacity even after ten years. The maximum cruising range exceeds 600 km under the CLTC standard.</t>
    <phoneticPr fontId="1"/>
  </si>
  <si>
    <t>https://www.marklines.com/en/global/3493</t>
    <phoneticPr fontId="1"/>
  </si>
  <si>
    <t>Tianjin</t>
  </si>
  <si>
    <t>https://www.marklines.com/en/global/3497</t>
    <phoneticPr fontId="1"/>
  </si>
  <si>
    <t>https://www.marklines.com/en/global/10483</t>
    <phoneticPr fontId="1"/>
  </si>
  <si>
    <t>On October 24, Toyota China announced on its official website that it has held a groundbreaking ceremony in the Beijing Economic-Technological Development Area for the 1st phase of its fuel cell R&amp;D and production project. The main body of the project consists of United Fuel Cell System R&amp;D (Beijing) Co., Ltd. (FCRD) and Toyota Sinohytec Fuel Cell Co., Ltd. (FCTS), who will build a fuel cell system production line, testing line and R&amp;D center that manufacture fuel cell system products and conduct R&amp;D on fuel cell systems. The TPS method will be utilized during production to create an intelligent production system. FCRD and FCTS have so far launched two products in the Chinese market, the TL Power 100 and the TL Power 80. Other series of products that meet the commercial vehicle market’s demand are under development.</t>
    <phoneticPr fontId="1"/>
  </si>
  <si>
    <t>https://www.marklines.com/en/global/10585</t>
    <phoneticPr fontId="1"/>
  </si>
  <si>
    <t>Beijing</t>
    <phoneticPr fontId="1"/>
  </si>
  <si>
    <t>https://www.marklines.com/en/global/2849</t>
    <phoneticPr fontId="1"/>
  </si>
  <si>
    <t>On October 24, GM do Brasil announced that it has now produced 500,000 units of the new generation of Onix and Onix Plus at the GM plant in Gravataí. The Onix is Chevrolet's best-selling car globally, excluding the brand's pickup trucks and SUVs. The Onix was born in Brazil ten years ago, with the Gravataí plant building more than 2.2 million units, or approximately 80% of the nameplate’s accumulated global volume.</t>
    <phoneticPr fontId="1"/>
  </si>
  <si>
    <t>LYNK &amp; CO</t>
    <phoneticPr fontId="1"/>
  </si>
  <si>
    <t>https://www.marklines.com/en/global/10391</t>
    <phoneticPr fontId="1"/>
  </si>
  <si>
    <t>On October 23, Lynk &amp; Co officially launched its new mid-to-large-sized plug-in hybrid SUV “09 EM-P Voyage Edition”. Based on the SPA architecture and the LYNK E-Motive electric hybrid technology. For the powertrain, the new vehicle features a Drive-E 2.0TD T5 turbocharged engine with a maximum power of 187kW and a peak torque of 350Nm, mated to front (P2) and rear (P4) dual permanent magnet synchronous motors with a respective maximum power of 100kW/130kW and a respective peak torque of 320Nm/309Nm, 3-speed hybrid electric drive DHT Pro and a 40.1kWh CATL ternary lithium power battery, resulting in a respective pure electric range of 190km and 150km under the CLTC and WLTC standards and a 0 to 100 km/h acceleration time of 5.9s. For the standard configuration, the new vehicle is equipped with DAC driver fatigue warning system, DMS driver status monitoring system and other driver assistance systems.</t>
    <phoneticPr fontId="1"/>
  </si>
  <si>
    <t>Xpeng</t>
    <phoneticPr fontId="1"/>
  </si>
  <si>
    <t>https://www.marklines.com/en/global/9486</t>
    <phoneticPr fontId="1"/>
  </si>
  <si>
    <t>On October 22, XPeng announced that its battery electric sedan XPeng P5 received the third major OTA upgrade (corresponding Xmart OS version number 3.3.0), which added City NGP Intelligent Navigation Assisted Driving (available on some models) and upgraded and optimized functional modules including High-speed NGP Intelligent Navigation Assisted Driving (available on some models) and LCC Lane Centering Assistance Enhanced Version, after its launch. After the upgrade, users of the XPeng P5 will be able to use NGP Intelligent Navigation Assisted Driving on China-wide highways and expressways and on common urban roads (currently limited to Guangzhou only). City NGP features SR (Surrounding Reality) intelligent assisted driving environment simulation display on the instrument panel that include adjacent vehicle turn signal, drivable area guidance surface and turning point tips. LCC Enhanced Version upgrades capabilities of intersection passing, detouring and cornering, and is not restricted by the Advanced Driver Assistance Map.</t>
    <phoneticPr fontId="1"/>
  </si>
  <si>
    <t>Rimac</t>
    <phoneticPr fontId="1"/>
  </si>
  <si>
    <t>https://www.marklines.com/en/global/9844</t>
    <phoneticPr fontId="1"/>
  </si>
  <si>
    <t>Croatia</t>
    <phoneticPr fontId="1"/>
  </si>
  <si>
    <t>On October 21, Rimac Group announced that its campus on the outskirts of Zagreb is on track to hit its first major milestone in the first half of 2023. The 70,000 square meters production hall is scheduled to be completed and produce Rimac Technology projects mid-next year. It will also house 2,500 Rimac Group employees when it is completed. The Campus will become not only a base for the global production of Rimac components and vehicles but also the corporate HQ and R&amp;D center. Construction of the production facility has been prioritized over other areas of the 200,000 square meters Campus because of the rapid growth of the Rimac Technology arm of the Rimac Group. When completed, the entire Rimac Campus will be sustainable, carbon neutral, and geared around its inhabitants. The huge, flat roof of the production facility will be covered in solar panels to generate electricity and will be linked to the HQ and R&amp;D building. Upon completion, the entire Campus will be encircled by an on-site test track. Representing a total investment of more than EUR 200 million, with 100,000 square meters of built space on a 200,000 square meters site, the Campus is due to be fully operational in 2024.</t>
    <phoneticPr fontId="1"/>
  </si>
  <si>
    <t>On October 25, General Motors reported third-quarter net income attributable to stockholders of USD 3.3 billion, up 36.6% from the same period in 2021. GM earned more than 8% of the U.S. EV market in Q3 due to record sales of the Chevrolet Bolt EV and Bolt EUV, and will be increasing production of those two vehicles at the Orion assembly Plant from 44,000 units in 2022 to 70,000 units in 2023.</t>
    <phoneticPr fontId="1"/>
  </si>
  <si>
    <t>On October 25, Ford in Europe announced it is entering memorandum of understandings (MoUs) with Salzgitter Flachstahl GmbH, Tata Steel Nederland B.V. and ThyssenKrupp Steel Europe AG to secure supply of low carbon steel. Ford targets its first use of low carbon steel in its all-new, medium-sized electric crossover to be built at the Cologne Electrification Center starting in 2023.</t>
    <phoneticPr fontId="1"/>
  </si>
  <si>
    <t>Hanma</t>
    <phoneticPr fontId="1"/>
  </si>
  <si>
    <t>https://www.marklines.com/en/global/3893</t>
    <phoneticPr fontId="1"/>
  </si>
  <si>
    <t>On October 24, Farizon Auto announced that Zhejiang Farizon Methanol Technology Co., Ltd. (Methanol Technology), a subsidiary of Geely New Energy Commercial Vehicle Group, has held a signing ceremony with Yumen Xiangtian New Energy Industry Development Co., Ltd. (Yumen Xiangtian) and Gansu Guangao Automobile Trade Co., Ltd. As agreed upon, the first batch of 100 units of Farizon’s methanol-powered heavy-duty trucks will join Yumen Xiangtian’s energy transportation business. In the future, the three parties will jointly establish a perfect ecosystem of methanol-powered transport capacity and methanol refueling in Jiuquan, Gansu, and build a methanol-powered heavy-duty truck transport capacity network centering on Jiuquan and radiating to Shaanxi, Xinjiang, Inner Mongolia and other surrounding provinces and cities.</t>
    <phoneticPr fontId="1"/>
  </si>
  <si>
    <t>On October 22, Great Wall Motor announced that it will use its own funds to jointly establish Xindong Semiconductor Technology Co., Ltd. (tentative name, subject to the final business registration information) in Wuxi, Jiangsu with Jianjun WEI, its chairman, and Wensheng Technology (Tianjin) Co., Ltd. (Wensheng Technology). The joint venture has a registered capital of CNY 50 million, and will mainly be engaged in the design and manufacturing of integrated circuits. The subscribed capital contributions of Jianjun WEI, Great Wall Motor and Wensheng Technology are CNY 5 million (10%), 10 million (20%) and 35 million (70%), respectively. Jianjun WEI is the actual controller and chairman of Great Wall Motor. Wensheng Technology, which is directly controlled by Jianjun WEI and is a related party of Great Wall Motor, is mainly engaged in technical services and technology development.</t>
    <phoneticPr fontId="1"/>
  </si>
  <si>
    <t>On October 21, Toyota Motor Corporation (Toyota) announced its planned global production volume for November is expected to be approximately 800,000 units (about 250,000 units in Japan and 550,000 units overseas), due to the impact of semiconductor shortages. In Japan, Toyota will temporarily suspend production at 11 lines in 8 plants in November. Specifically, Toyota's Takaoka Plant will suspend production at Production Line #1 for 4 days, and at Production Line #2 for 5 days. The Tsutsumi Plant will suspend production at Production Line #2 for 6 days, and the Tahara Plant will suspend production at Production Lines #1 and #3 for 5 days. Toyota Motor Kyushu, Inc. will suspend production at the Miyata Plant's Production Lines #1 and #2 for 2 days. Toyota Motor East Japan, Inc. will suspend production at the Iwate Plant's Production Line #2 for 4 days and at the Miyagi Ohira Plant for 5 days. Toyota Auto Body Co., Ltd. will suspend production at the Fujimatsu Plant's Production Line #2 for 9 days. Hino Motors, Ltd. will also suspend production at the Hamura Plant's Production Line#1 for 2 days.</t>
    <phoneticPr fontId="1"/>
  </si>
  <si>
    <t>https://www.marklines.com/en/global/420</t>
    <phoneticPr fontId="1"/>
  </si>
  <si>
    <t>https://www.marklines.com/en/global/409</t>
    <phoneticPr fontId="1"/>
  </si>
  <si>
    <t>https://www.marklines.com/en/global/417</t>
    <phoneticPr fontId="1"/>
  </si>
  <si>
    <t>Gifu</t>
  </si>
  <si>
    <t>Toyota Motor Corporation (Toyota) announced on October 21 that it plans to launch a partially upgraded version of its Coaster small bus, which had been delayed, in March 2023, and it will be equipped with a Toyota-developed 1GD engine. The Hino Motors, Ltd. (Hino) small bus Hino Liesse II, which is the Coaster supplied on an OEM basis, is also scheduled to be released in March 2023 with some upgraded models equipped with the same 1GD engine. The launch of the redesigned models of the Coaster and Hino Liesse II has been delayed due to certification fraud involving the N04C (Urea-SCR system) light-duty engine, a Hino developed small engine that was scheduled to be installed in these models. The companies gave up on installing the N04C (Urea-SCR) light-duty engine in the upgraded models because the necessary fuel efficiency improvements are nowhere in sight. The companies will continue to consider alternatives to the N04C (Urea-SCR) light-duty engine, including the use of other engines for the versions that were planned to be equipped with it.</t>
    <phoneticPr fontId="1"/>
  </si>
  <si>
    <t>https://www.marklines.com/en/global/4125</t>
    <phoneticPr fontId="1"/>
  </si>
  <si>
    <t>On October 21, Denza announced that the first production unit of its all-new mid-to-large-sized MPV Denza D9 has officially gone offline.</t>
    <phoneticPr fontId="1"/>
  </si>
  <si>
    <t>BAIC Foton</t>
    <phoneticPr fontId="1"/>
  </si>
  <si>
    <t>https://www.marklines.com/en/global/3425</t>
    <phoneticPr fontId="1"/>
  </si>
  <si>
    <t>According to multiple press releases dated October 20, Beijing Kawen New Energy Vehicle Co., Ltd. has recently been registered and established in the Changping District of Beijing. The new company has a registered capital of CNY 500 million, with its business scope covering road motor vehicle production, automotive parts R&amp;D and auto parts and accessories manufacturing. The company is jointly dunded by Beiqi Foton Motor Co., Ltd., Beijing SinoHytec Co., Ltd. and Bosch (Shanghai) Venture Capital Co., Ltd.</t>
    <phoneticPr fontId="1"/>
  </si>
  <si>
    <t>https://www.marklines.com/en/global/4187</t>
    <phoneticPr fontId="1"/>
  </si>
  <si>
    <t>According to the disclosure on the official website of Liangjiang New Area of Chongqing dated October 20, SAIC Hongyan's intelligent factory in Liangjiang New Area, Chongqing will roll out the first batch of vehicles in early November. The factory has a total investment of CNY 1.1 billion, upon completion of which SAIC Hongyan's annual capacity will increase to 150,000 units and the additional annual output value will stand above CNY 20 billion. In addition, SAIC Hongyan is building a new energy heavy-duty truck base in the Inner Mongolia Autonomous Region, which is located in Ejin Horo Banner, Ordos and has a total investment of CNY 2 billion in two phases. The first phase commenced on June 8, 2022 and is scheduled to be commissioned in April 2023, while the second phase is scheduled to commence in 2023 and is expected to be commissioned in the end of 2024. After being commissioned, the base will have an annual capacity of new energy heavy-duty trucks of 24,000 units and an annual output value of over CNY 20 billion.</t>
    <phoneticPr fontId="1"/>
  </si>
  <si>
    <t>https://www.marklines.com/en/global/10582</t>
    <phoneticPr fontId="1"/>
  </si>
  <si>
    <t>Inner Mongolia</t>
    <phoneticPr fontId="1"/>
  </si>
  <si>
    <t>https://www.marklines.com/en/global/9303</t>
    <phoneticPr fontId="1"/>
  </si>
  <si>
    <t>Vietnam</t>
    <phoneticPr fontId="1"/>
  </si>
  <si>
    <t>Announced on October 20, Hyundai Thanh Cong Vietnam Automobile Joint Venture (HTV) officially introduced the all-new generation Hyundai Stargazer in Vietnam, imported in CBU form from Indonesia. The 4 variant choices are 1.5L Standard, 1.5L Special, 1.5L Premium, and 1.5L Premium 6 seats. The Stargazer will be produced in Vietnam from 2023. Hyundai Stargazer, which is inspired by the design of the Staria MPV, is powered by a naturally aspirated gasoline engine, a new Smartstream G 1.5L. The car drives the front wheels through Hyundai’s iVT (intelligently variable transmission).</t>
    <phoneticPr fontId="1"/>
  </si>
  <si>
    <t>https://www.marklines.com/en/global/9975</t>
    <phoneticPr fontId="1"/>
  </si>
  <si>
    <t>Yulon Motor</t>
    <phoneticPr fontId="1"/>
  </si>
  <si>
    <t>https://www.marklines.com/en/global/55</t>
    <phoneticPr fontId="1"/>
  </si>
  <si>
    <t>Luxgen Motor Co., Ltd. (Luxgen Motor), a subsidiary of Yulon Motor Co., Ltd., announced its lineup plan for the all-new n⁷ electric SUV at the Syntrend Creative Park shopping mall in Taipei City on October 20. The company plans to offer a one-motor version with a range of 420km, a long-distance version with a range of 700km, and a two-motor version that can accelerate from 0-100 km/h in 3.8 seconds. A new logo design for the Luxgen brand name was also unveiled on October 20, with the n⁷ logo displayed on the front and rear of the vehicle. Deliveries of the n⁷ are expected to begin in the second half of 2023.</t>
    <phoneticPr fontId="1"/>
  </si>
  <si>
    <t>On October 20, BYD announced that the first battery electric compact SUV Yuan PLUS (locally named as the YUAN PLUS EV) based on its BYD e-Platform 3.0 has recently been launched in Columbia. The model has previously entered the Latin American markets of Costa Rica, Uruguay and the Dominican Republic. Since 2020, BYD has been cooperating with a local dealer, Motorysa, in the sales of its full lineup of new energy passenger vehicles in Columbia, including the mid-to-large-sized luxury flagship sedan Han EV, the luxury battery electric SUV Tang EV, and high-end plug-in hybrid models such as the Qin PLUS DM-i and the Song PLUS DM-i.</t>
    <phoneticPr fontId="1"/>
  </si>
  <si>
    <t>https://www.marklines.com/en/global/3807</t>
    <phoneticPr fontId="1"/>
  </si>
  <si>
    <t>On October 20, Geely Technology Group signed a cooperation agreement with China Resources Microelectronics Limited (CR Micro). As agreed upon, the two parties will build an industrial cooperation mechanism for automotive-grade power semiconductors, launch joint solutions based on products or technologies including power modules, MEMS sensors and panel-level packaging, and help to improve the self-sufficiency rate of semiconductors for New Energy Vehicles and electric motorcycles. Also, the two will jointly establish the “Geely Technology - CR Micro Automotive Sensors and Applications Laboratory”.</t>
    <phoneticPr fontId="1"/>
  </si>
  <si>
    <t>On October 20, the Overseas Edition of Zotye Auto's small-sized SUV T300 reached mass production and went offline at Yongkang production base in Zhejiang Province. The Overseas Edition of the T300 is based on the i-AFA new energy platform, and is mainly for overseas markets including West Asia, South Asia, South America and the Middle East. The 2023 small-sized SUV T300L will be introduced to the Chinese domestic market simultaneously. So far, Zotye Auto has set up R&amp;D centers in Hangzhou of Zhejiang Province, Shanghai, and Guangzhou and Shenzhen of Guangdong Province, and has built three intelligent new energy platform architectures, the i-AFA, the i-BFA and the i-LFA, which realize the compatibility and scalability of architectures including body, chassis, engine and electrical equipment, and cover the markets of micro-sized, small-sized, compact, medium-sized and medium-to-large-sized vehicles. In the future, Zotye Auto will comprehensively lay out in vehicle production, power batteries, key parts and components and vehicle leasing, connect the upstream and downstream of these industries, form deep integrate with new technologies including big data, Internet of Things and cloud computing, and ultimately establish an industrial ecosystem.</t>
    <phoneticPr fontId="1"/>
  </si>
  <si>
    <t>On October 20, according to the disclosure of GAC Group, GAC Aion has completed Series A financing with a total of CNY 18.294 billion. Upon completion of the financing, GAC Aion’s registered capital increases from CNY 6.421 billion to 7.803 billion, and the combined direct and indirect ownership of GAC Group's stake in GAC Aion changes from 93.45% to 76.89%, with the Group remaining the controlling shareholder. Upon completion of the capital increase, the valuation of GAC Aion is estimated at CNY 103.239 billion. 53 strategic investors were introduced to the company’s Series A financing, providing financial support for its R&amp;D and industrialization layout of core technologies that include new product development, new-generation batteries, electric drive systems, intelligent driving and intelligent cabins, and contributing to accelerating its in-house “EV+ICV” (electrification + intelligentization) full-stack layout.</t>
    <phoneticPr fontId="1"/>
  </si>
  <si>
    <t>https://www.marklines.com/en/global/795</t>
    <phoneticPr fontId="1"/>
  </si>
  <si>
    <t>Multiple media reported on October 19 that Toyota Motor Corp. will begin laying off workers at the St. Petersburg plant in November-December. "It is planned to hold organizational and regular events at the Toyota plant in November-December. Employees who leave with the agreement of the parties will receive significant compensation and will retain VHI for a year after the dismissal," the St. Petersburg Deputy Governor said. Toyota also promises to offset the cost of training or retraining employees. In September of this year, the factory had 2.35 thousand employees. Popular models of the brand were produced here: Camry and RAV4.</t>
    <phoneticPr fontId="1"/>
  </si>
  <si>
    <t>Shaanxi Automobile</t>
    <phoneticPr fontId="1"/>
  </si>
  <si>
    <t>https://www.marklines.com/en/global/4271</t>
    <phoneticPr fontId="1"/>
  </si>
  <si>
    <t>Shaanxi</t>
  </si>
  <si>
    <t>On October 18, Sinochem International Corporation (Sinochem International) signed a strategic cooperation agreement with Dech Future Automotive Technology Co., Ltd. (Dech Future), a subsidiary of SAG. According to the agreement, the two parties will develop in-depth strategic cooperation in New Energy Vehicle power battery technology development, battery swapping system development, supporting use, new energy truck sales, brand promotion and business model exploration. The two parties will jointly carry out technology development and tests for existing and future battery and battery system related products for SAG’s electrified models, including and not limited to battery lightweighting, charging-swapping integrated fast charging power battery system and PACK integration.</t>
    <phoneticPr fontId="1"/>
  </si>
  <si>
    <t>On October 18, Isuzu Motors Limited (Isuzu) announced it will partially suspend production at the Fujisawa Plant as the procurement of parts has been disrupted. Specifically, the Fujisawa Plant will suspend production for heavy- and medium-duty trucks from day shift on October 19 to the night shift on October 20 (a total of 4 shifts).</t>
    <phoneticPr fontId="1"/>
  </si>
  <si>
    <t>On October 14, Hyundai Thanh Cong Vietnam has officially launched the all-new generation Hyundai Elantra 2023 in Vietnam in 4 versions, the 1.6 AT Standard, 1.6 AT, 2.0 AT, and N-line. The Elantra is equipped with new generation SmartStream engines. The 1.6 AT Stand and 1.6 AT versions feature the SmartStream 1.6L MPI petrol engine, while the 2.0 AT version uses the SmartStream 2.0l MPI petrol engine. The N-line variant comes with the SmartStream 1.6L T-GDi engine. The Elantra utilized a completely new chassis system K3 platform.</t>
    <phoneticPr fontId="1"/>
  </si>
  <si>
    <t>On October 23, Ford announced that as part of its ZAR 15.8-billion investment in its South African operations, its new Frame Line has started operations in preparation for the start of Next-Generation Ranger production later this year. Located in the Tshwane Automotive Special Economic Zone (TASEZ) adjacent to Ford’s Silverton Assembly Plant, the Frame Line is the only Ford-owned and operated chassis manufacturing facility in the world. It measures a vast 100,000m2 and boasts the most advanced robotic manufacturing and quality control systems currently available. The new Frame Line introduced the latest robotic technologies for the welding and handling of the frame components, along with a fully automated e-coat system and robotic wax application. The facility is 95-percent automated, relying on 585 robots to assemble and weld the frames. Once the frames are completed, they are stored in a below-ground finished goods area with a storage capacity for 6,000 units. Thereafter the frames are moved across to the Silverton Assembly Plant to mate with other components. A total of 387 hourly employees and 25 salaried staff run the Frame Line in a two-shift operating pattern – all of whom have undergone extensive in-plant training. </t>
    <phoneticPr fontId="1"/>
  </si>
  <si>
    <t>The Cadillac Lyriq is now in its eighth month of production in Springhill, Tennessee. Beginning in March, the company has ramped up production to reach 1,000 units in September representing a significant 58% of the 1,715 Lyriq units built to date. The recent increase is due to the opening of the first Ultium Cells plant in Warren, Ohio, increasing battery pack supply sharply.</t>
    <phoneticPr fontId="1"/>
  </si>
  <si>
    <t>https://www.marklines.com/en/global/9976</t>
    <phoneticPr fontId="1"/>
  </si>
  <si>
    <t>https://www.marklines.com/en/global/169</t>
    <phoneticPr fontId="1"/>
  </si>
  <si>
    <t>On November 3, Renault announced that it has installed the new 'Alliance Standard Line' assembly line at the Douai factory after seven weeks of construction. It has 38,000 square meters of emptied space, 100 heavy machinery units (robots and assistance equipment), and 400 redeployed workstations. The new assembly line is more compact than the previous one. The 20,000 square meters of floor space freed up by the works have been reused to set up a battery assembly shop. The Douai factory's sheet metal and assembly lines are now 'Alliance Standard Line' compliant - the most advanced production standard within the Renault-Nissan-Mitsubishi Alliance. The highly versatile facility can now produce both ICE and EV vehicles on the same line, with three different platforms. The output of 60 vehicles per hour before the works remains unchanged. The primary rationale behind upgrading the industrial complex was to improve the efficiency of the production process for enhanced ergonomics of workstations and improved operator safety. The parts are now delivered by robots known as 'AGV' (for Auto Guided Vehicle). Since reopening, 3,000 Megane E-TECH Electric cars, renowned for the quality of their manufacturing, have come off the line. The recent upgrade has also brought about energy savings with the installation of LED lights.</t>
    <phoneticPr fontId="1"/>
  </si>
  <si>
    <t>On November 3, Daimler Trucks announced that the Wiener Linien transport company has ordered 60 Mercedes-Benz eCitaro vehicles. Low-floor buses with zero local emissions will be delivered from next year until 2025. The approximately twelve-meter-long solo vehicle has the latest generation of lithium-ion batteries (NMC 3). The battery capacity of 392 kWh each ensures a long operating range.</t>
    <phoneticPr fontId="1"/>
  </si>
  <si>
    <t>https://www.marklines.com/en/global/2205</t>
    <phoneticPr fontId="1"/>
  </si>
  <si>
    <t>On November 3, BMW Group announced that it will be unveiling a Vision Vehicle for the NEUE KLASSE in January 2023 at the CES in Las Vegas. The newly-developed BMW round cell is optimized for the future vehicle architecture of NEUE KLASSE. It represents an enormous technological leap: an increase of 20% in energy density, a 30% increase in range, and a 30% increase in charging speed. The cost of the high-voltage battery will be reduced by up to 50%.</t>
    <phoneticPr fontId="1"/>
  </si>
  <si>
    <t>https://www.marklines.com/en/global/9879</t>
    <phoneticPr fontId="1"/>
  </si>
  <si>
    <t>https://www.marklines.com/en/global/10203</t>
    <phoneticPr fontId="1"/>
  </si>
  <si>
    <t>https://www.marklines.com/en/global/10316</t>
    <phoneticPr fontId="1"/>
  </si>
  <si>
    <t>https://www.marklines.com/en/global/293</t>
    <phoneticPr fontId="1"/>
  </si>
  <si>
    <t>Reported on November 3, PT Honda Prospect Motor revealed that the recently debuted new generation Honda WR-V’s production in Indonesia will commence in December, while the overseas shipments will begin in 2023, with the information of export destinations and volume set to be unveiled later. Total production can be up to 6,000 units annually, depending on the supply of components, such as semiconductor chips.</t>
    <phoneticPr fontId="1"/>
  </si>
  <si>
    <t>On November 2, Wuling Motors announced that its first new energy global vehicle, Air ev, has been named as Qingkong in Chinese. After being debuted and launched in Indonesia, the new vehicle will soon be launched in China.</t>
    <phoneticPr fontId="1"/>
  </si>
  <si>
    <t>https://www.marklines.com/en/global/10589</t>
    <phoneticPr fontId="1"/>
  </si>
  <si>
    <t>Hubei</t>
    <phoneticPr fontId="1"/>
  </si>
  <si>
    <t>Sunwoda announced that the construction of the Sunwoda-Dongfeng Power Battery manufacturing site in the Bio-Industrial Park of the Yichang High-tech Zone of Hubei Province has commenced. The project, with a total investment of CNY 12 billion and a planned annual power battery capacity of 30GWh, will be constructed in two phases, of which the 1st phase has an annual capacity of 20GWh. After reaching full production capacity, the plant will become a new energy power battery manufacturing site integrating the R&amp;D, manufacturing and sales of power battery cells and modules, with the annual output value expected to exceed CNY 24 billion.</t>
    <phoneticPr fontId="1"/>
  </si>
  <si>
    <t>https://www.marklines.com/en/global/499</t>
    <phoneticPr fontId="1"/>
  </si>
  <si>
    <t>On October 28, Shizuoka Prefecture, Makinohara City, and Suzuki Motor Corporation (Suzuki) signed a basic agreement regarding the development of the "Makinohara Hagima Industrial Site” (tentative name) adjacent to the Sagara Plant. Suzuki plans to acquire the land as soon as Shizuoka Prefecture completes the land development. The site covers an area of approximately 47 hectares. The company plans to expand its next-generation mobility research and development facilities for a wide range of products, including EVs and autonomous driving.</t>
    <phoneticPr fontId="1"/>
  </si>
  <si>
    <t>On October 27, Honda Motor Co., Ltd. (Honda) announced that its Suzuka Factory and Saitama Factory Automobile Plant are expected to resume normal production in early November. Due to a combination of factors, including the impact of COVID-19 and the shortage of semiconductors, the above two plants have been reducing production volume compared to the company’s previous plan. In October, the utilization rate compared to the production plan of the Suzuka Factory is about 80%, while the utilization rate of the Saitama Factory Automobile Plant is about 60%.</t>
    <phoneticPr fontId="1"/>
  </si>
  <si>
    <t>https://www.marklines.com/en/global/33</t>
    <phoneticPr fontId="1"/>
  </si>
  <si>
    <t>Hotai Motor Co., Ltd. (Hotai Motor), Toyota Motor Corporation’s distributor in Taiwan, held a media preview of the locally manufactured all-new Town Ace Van on October 26. It was introduced into the Taiwanese market following the launch of the locally manufactured Town Ace Truck in February. On the same day, order reservations were taken, and according to local media sources, the vehicle is expected to go on sale officially in December. The Town Ace Van is available in 2-seater and 5-seater specifications. The vehicle is equipped with a 1.5L inline 4-cylinder Dual VVT-i engine (maximum power 97ps, peak torque 13.7kg-m) and a 5-speed manual transmission (MT) in the 2-seater version and a 5-speed manual or 4-speed automatic transmission in the 5-seater. The vehicle has wide-opening sliding doors and back door (flip-up type) that make it easy for people to get in and out and to load and unload cargo. The two-seater version has a maximum load capacity of 880kg, while the five-seater version has 5:5 split rear seats to accommodate a variety of uses, and a maximum load capacity of 830kg (for the MT model).</t>
    <phoneticPr fontId="1"/>
  </si>
  <si>
    <t>NIO</t>
    <phoneticPr fontId="1"/>
  </si>
  <si>
    <t>https://www.marklines.com/en/global/9503</t>
    <phoneticPr fontId="1"/>
  </si>
  <si>
    <t>According to multiple press releases dated October 25, Nio recently established Nio Battery Technology (Anhui) Co., Ltd. in Hefei, Anhui. The new company’s registered address is the Hefei Economic &amp; Technological Development Area of Anhui Province with a registered capital of CNY 2 billion. It is 100% owned by Nio Holdings Ltd., with its business scope covering battery manufacturing, the R&amp;D and manufacturing of special materials for electronics, and the manufacturing of graphite and carbon products as well as automotive parts and accessories.</t>
    <phoneticPr fontId="1"/>
  </si>
  <si>
    <t>Sunwoda announced that its subsidiary, Sunwoda Electric Vehicle Battery Co., Ltd. (Sunwoda EVB), will sign an agreement with the Yichang Municipal Government of Hubei Province, Dongfeng Motor Group Co., Ltd. (Dongfeng Group), and Dongfeng Hongtai Holdings Group Co., Ltd. Under the agreement, Sunwoda will build a battery plant in Yichang High-tech Zone, focusing on the research and development, design, production, and sales of battery cells, modules, battery packs, and battery systems. With a total investment of CNY 12 billion, the proposed plant is designed to have an annual capacity of 30GWh. The plant will be built in two phases. The first one is designed to have an annual capacity of 20GWh with an investment of about CNY 8 billion. The second one will have an output of 10GWh per year with a cost of around CNY 4 billion.</t>
    <phoneticPr fontId="1"/>
  </si>
  <si>
    <t>https://www.marklines.com/en/global/10414</t>
    <phoneticPr fontId="1"/>
  </si>
  <si>
    <t>On November 2, Verkor announced that it has received support from the European Investment Bank (EIB) to ensure the financing of its innovation center, the construction of which is currently being finalized in Grenoble. For the inauguration of its R&amp;D Lab, Verkor is carrying out a financing round of more than EUR 250 million. The Verkor Innovation Center is Verkor's technological center. Construction is already well advanced, with completion scheduled for the first half of 2023.</t>
    <phoneticPr fontId="1"/>
  </si>
  <si>
    <t>Scania (TRATON)</t>
    <phoneticPr fontId="1"/>
  </si>
  <si>
    <t>https://www.marklines.com/en/global/2695</t>
    <phoneticPr fontId="1"/>
  </si>
  <si>
    <t>On November 2, Scania announced that it has inaugurated a production line for complete Voltage Class B (VCB) cable harnesses for BEV vehicles in Södertälje. The newly established 2,200 sqm workshop is next to the chassis assembly in Södertälje. It is now ready to start pre-series and prototype production of high-power cables and harnesses. It starts with cables and harnesses for electric trucks in the first phase to later moves on to cabling for bus applications. The start of production (SOCOP) of battery packs and cable harnesses is set for Q3 2023.</t>
    <phoneticPr fontId="1"/>
  </si>
  <si>
    <t>Ferrari</t>
    <phoneticPr fontId="1"/>
  </si>
  <si>
    <t>https://www.marklines.com/en/global/1315</t>
    <phoneticPr fontId="1"/>
  </si>
  <si>
    <t>On November 2, Ferrari announced that it will commence production of the Ferrari Daytona SP3 and Ferrari Purosangue in 2022 with deliveries starting in 2023. Ferrari is increasing depreciation and amortization in line with the start of production of new models. Industrial free cash flow generation is sustained by Daytona SP3 advances collection.</t>
    <phoneticPr fontId="1"/>
  </si>
  <si>
    <t>On November 2, Fisker Inc. announced a 42,400 Ocean unit production plan based on a detailed four-stage supplier ramp-up and vehicle assembly plan from November 17, 2022, to the end of 2023. This plan was developed to help ensure that parts suppliers would follow its anticipated production ramp volumes. The 2023 quarterly production plan is as follows: Q1 over 300, Q2 over 8,000, Q3 over 15,000, and Q4 remainder to get to 42,400. Fisker will deliver a small commercial fleet of 15 Fisker Oceans to Magna in December 2022.</t>
    <phoneticPr fontId="1"/>
  </si>
  <si>
    <t>https://www.marklines.com/en/global/1256</t>
    <phoneticPr fontId="1"/>
  </si>
  <si>
    <t>On November 2, Maruti Suzuki, India announced that it has achieved cumulative production of over 25 million units. This makes Maruti Suzuki the only Indian company to have achieved this significant milestone in passenger vehicle production.</t>
    <phoneticPr fontId="1"/>
  </si>
  <si>
    <t>https://www.marklines.com/en/global/1255</t>
    <phoneticPr fontId="1"/>
  </si>
  <si>
    <t>Haryana</t>
  </si>
  <si>
    <t>https://www.marklines.com/en/global/1253</t>
    <phoneticPr fontId="1"/>
  </si>
  <si>
    <t>Canoo</t>
    <phoneticPr fontId="1"/>
  </si>
  <si>
    <t>https://www.marklines.com/en/global/10491</t>
    <phoneticPr fontId="1"/>
  </si>
  <si>
    <t>Oklahoma</t>
    <phoneticPr fontId="1"/>
  </si>
  <si>
    <t>On November 2, Canoo announced it is establishing an EV Battery Module Manufacturing Facility in the MidAmerica Industrial Park in Pryor, Oklahoma. Renovations on an existing 100,000-square-foot building on a 10-acre campus will begin in Q4 2022 in preparation for delivery of manufacturing equipment in Q1 2023. The facility will produce proprietary battery modules, energy management system and thermal control technology for its MPP platform. The location was selected due to its proximity to Panasonic, Canoo’s battery cell provider, and its future MegaMicro Factory, a 400-acre campus also at the MidAmerica Industrial Park.</t>
    <phoneticPr fontId="1"/>
  </si>
  <si>
    <t>On November 2, Nikola Corp. announced that Zeem Solutions, a zero-emission EV “fleet-as-a-service” provider, has executed a purchase order for 100 Nikola Class 8 Tre battery-electric vehicles (BEVs) for its current customers at their California depot and other future national locations. Nikola has entered into commercial production of its Class 8 vehicles at its plant in Coolidge, Arizona and has immediate availability.</t>
    <phoneticPr fontId="1"/>
  </si>
  <si>
    <t>https://www.marklines.com/en/global/2615</t>
    <phoneticPr fontId="1"/>
  </si>
  <si>
    <t>On November 1, Convergent Energy and Power (Convergent) announced it was chosen to provide Ford’s Essex Engine Plant in Windsor, Ontario with an AI-powered 4 MW / 8 MWh battery energy storage system (BESS) for peak power consumption periods. Ford’s first application of a battery energy storage system at the plant level works to reduce the plant’s overall electricity consumption and carbon footprint.</t>
    <phoneticPr fontId="1"/>
  </si>
  <si>
    <t>https://www.marklines.com/en/global/8835</t>
    <phoneticPr fontId="1"/>
  </si>
  <si>
    <t>On November 1, Stellantis announced the closure of its Fiat Powertrain Technologies (FPT) engine plant in Campo Largo, Brazil, which had been producing engines of the E.torq family since 2009, as well as exporting 1.8-liter gasoline engine blocks to Italy. With the closing of the Campo Largo plant, the production of engines will be concentrated in the FPT engine plant in Betim, which produces the more modern Firefly and GSE engines.</t>
    <phoneticPr fontId="1"/>
  </si>
  <si>
    <t>https://www.marklines.com/en/global/2923</t>
    <phoneticPr fontId="1"/>
  </si>
  <si>
    <t>ZEEKR</t>
    <phoneticPr fontId="1"/>
  </si>
  <si>
    <t>https://www.marklines.com/en/global/10387</t>
    <phoneticPr fontId="1"/>
  </si>
  <si>
    <t>On October 31, Geely announced on the HKEX that it has submitted a proposal to The Stock Exchange of Hong Kong Limited (The SEHK) regarding the proposed spin-off of ZEEKR Intelligent Technology Holding Limited (Zeekr) and to list it separately. The SEHK has confirmed that the proposed spin-off may proceed. As the terms of the proposed spin-off (including the listing venue, size of the offering, price range and guaranteed quotas for Geely shareholders to receive the securities of Zeekr) have not yet been determined, Geely will disclose the progress of the spin-off in due course in subsequent announcements.</t>
    <phoneticPr fontId="1"/>
  </si>
  <si>
    <t>On October 31, Ora, a Great Wall Motor (GWM) sub-brand, held a launch event for the Lightning Cat all-new 4-door 5-seater battery electric supercar in Beijing. The new vehicle is based on the battery electric architecture of the Lemon platform. For the powertrain, the FWD models feature a permanent-magnet synchronous motor with a maximum power of 150kW and a peak torque of 340Nm, mated to a lithium iron phosphate or ternary lithium battery (capacity not disclosed), resulting in a respective range of 555km/705km under the CLTC standard. The 4WD model features dual permanent-magnet synchronous motors (front 150kW/340Nm, rear 150kW/340Nm), mated to a ternary lithium battery (capacity not disclosed), resulting in a range of 600km under the CLTC standard. In terms of configuration, the new vehicle features intelligent driving assistance systems (including ACC/ICA/LKA) as standard, with some models featuring ORA-PILOT 3.0 intelligent driving assistance system (whose hardware includes one ADAS intelligent front view camera, four side view cameras, four surround view cameras, five millimeter wave radars and twelve ultrasonic radars and is mated to the fusion solution of 5G multi-satellite high precision map).</t>
    <phoneticPr fontId="1"/>
  </si>
  <si>
    <t>https://www.marklines.com/en/global/9246</t>
    <phoneticPr fontId="1"/>
  </si>
  <si>
    <t>On October 28, the first unit of the 2023 Foton Big General pickup truck rolled off the line at the Foshan plant in Guangdong.</t>
    <phoneticPr fontId="1"/>
  </si>
  <si>
    <t>On October 28, Dongfeng Motor Corporation Passenger Vehicle Company (DFPV) officially commissioned its Plant No.2 in the Wuhan Economic &amp; Technological Development Zone of Hubei Province. The first model put into production at the plant is the Yixuan Mach Edition compact sedan. According to multiple press releases, DFPV’s Plant No.2 has three workshops for welding, painting and final assembly, with an annual vehicle capacity of 130,000 units and an annual output value of CNY 15 billion at full capacity. After it has been put into operation, the plant will produce models of the Dongfeng Aeolus lineup in mixed lines.</t>
    <phoneticPr fontId="1"/>
  </si>
  <si>
    <t>https://www.marklines.com/en/global/10587</t>
    <phoneticPr fontId="1"/>
  </si>
  <si>
    <t>Georgia</t>
    <phoneticPr fontId="1"/>
  </si>
  <si>
    <t>On October 25, a groundbreaking ceremony was held for the Hyundai Motor Group Metaplant (HMGMA), a dedicated electric vehicle (EV) and battery plant facility at the Bryan County Mega site near Savannah, Georgia. The USD 5.54 billion manufacturing complex is set to begin construction in January 2023 and begin production in the first half of 2025 with an installed annual capacity of 300,000 EVs.</t>
    <phoneticPr fontId="1"/>
  </si>
  <si>
    <t>Alexander Dennis</t>
    <phoneticPr fontId="1"/>
  </si>
  <si>
    <t>https://www.marklines.com/en/global/10472</t>
    <phoneticPr fontId="1"/>
  </si>
  <si>
    <t>On November 1, Alexander Dennis unveiled its Enviro400FCEV hydrogen-fuel cell double-decker at Euro Bus Expo 2022 in Birmingham. First announced last year, initial vehicles have now been completed and deliveries to launch customer Liverpool City Region are expected to begin in the coming weeks. It is fueled in just five minutes through fillers on both sides of the vehicle. Up to 29.4kg of hydrogen is stored in 350bar NPROXX composite pressure vessels safely mounted at the rear of the vehicle before being converted to electric energy in a Ballard FCmove-HD fuel cell power module that is rated at 45kW or 60kW depending on the operational application. A 30kWh battery from Impact Clean Power Technology provides onboard buffer storage between the fuel cell module and the motor. It boasts an operational range of up to 300 miles on a single fill.</t>
    <phoneticPr fontId="1"/>
  </si>
  <si>
    <t>https://www.marklines.com/en/global/1533</t>
    <phoneticPr fontId="1"/>
  </si>
  <si>
    <t>https://www.marklines.com/en/global/9812</t>
    <phoneticPr fontId="1"/>
  </si>
  <si>
    <t>Tesla is reportedly sending 200 engineers and production staff from its recently upgraded Gigafactory Shanghai to help boost production at its Fremont plant in California. The Shanghai plant upgrade, which entailed machinery maintenance and improvements overseen by automation and control engineers, took five weeks and doubled the factory's annual capacity of Models 3 and Y to around 1 million vehicles.</t>
    <phoneticPr fontId="1"/>
  </si>
  <si>
    <t>https://www.marklines.com/en/global/9243</t>
    <phoneticPr fontId="1"/>
  </si>
  <si>
    <t>On October 31, Stellantis announced that the shareholders of the GAC-FCA Joint Venture, Guangzhou Automobile Group Co., Ltd. and Stellantis N.V., have approved a resolution authorizing the Joint Venture to file for bankruptcy, in a loss-making context. Founded on March 9, 2010, GAC-FCA’s production and operation has come to a complete halt due to the decline in product competitiveness in recent years. As of September 30, 2022, GAC-FCA (unaudited) had total assets of USD 7.322 billion and total liabilities of USD 8.113 billion, translating to a gearing ratio of 110.80%, with the assets insufficient to settle all its debts and lacking solvency. Stellantis fully impaired the value of its investment in the GAC-FCA JV and other related assets in its first half of 2022 financial results. Stellantis will continue providing quality services to existing and future Jeep brand customers in China.</t>
    <phoneticPr fontId="1"/>
  </si>
  <si>
    <t>https://www.marklines.com/en/global/4035</t>
    <phoneticPr fontId="1"/>
  </si>
  <si>
    <t>On October 30, Tesla announced that it had produced 20,000 Model Y vehicles almost seven months after it officially opened on April 7. In the last 43 days, the production rate had risen to 233 vehicles per day, or about 1,630 a week. The plant aims to reach 5,000 Model Ys per week by the end of 2022/early 2023. The plant has already begun production of vehicles with a structural battery pack and 4680 cells.</t>
    <phoneticPr fontId="1"/>
  </si>
  <si>
    <t>https://www.marklines.com/en/global/2777</t>
    <phoneticPr fontId="1"/>
  </si>
  <si>
    <t>On October 26, Ford Argentina announced that it has reached production of the one millionth Ranger at the Pacheco plant in Argentina. Significant progress has been made on the Pacheco Plant Transformation, as part of the USD 580 million investment to manufacture of the next-generation Ranger in 2023, which is already raising the plant’s standards and daily production rates.</t>
    <phoneticPr fontId="1"/>
  </si>
  <si>
    <t>On October 25, Human Horizons announced that HiPhi, its sub-brand, has formed a cross-border cooperation with Epic Games in applying Unreal Engine to the in-vehicle system of the HiPhi Z battery electric flagship model for the first time based on HiPhi’s H-SOA open electrical and electronic architecture for a more intelligent and realistic human-machine interaction experience.</t>
    <phoneticPr fontId="1"/>
  </si>
  <si>
    <t>On November 1, Alexander Dennis, a subsidiary of NFI Group Inc., shared an exclusive preview of its next generation of battery-electric buses at Euro Bus Expo 2022 in Birmingham. Fully designed and built by Alexander Dennis, the first of the new battery-electric models will be the Enviro400EV double-decker and a new-size midibus, the Enviro100EV. Initial orders have been taken and the first vehicles are expected in 2023. The new future-proof Alexander Dennis battery system is assembled by Impact Clean Power Technology. In its initial application in the Enviro400EV and Enviro100EV, the battery system will use heavy-duty, high-density prismatic nickel-manganese-cobalt (NMC) cells.</t>
    <phoneticPr fontId="1"/>
  </si>
  <si>
    <t>On October 31, multiple sources reported that Tesla has started clearing 70 hectares of forest on its premises in Grünheide near Berlin. This preparation of land is for the 2nd phase of Giga Berlin construction. The company already employs 7,000 workers at the factory, but the number of workers is expected to increase to 12,000 at full scale.</t>
    <phoneticPr fontId="1"/>
  </si>
  <si>
    <t>Jaguar</t>
    <phoneticPr fontId="1"/>
  </si>
  <si>
    <t>https://www.marklines.com/en/global/2337</t>
    <phoneticPr fontId="1"/>
  </si>
  <si>
    <t>On October 31, Jaguar Land Rover and Wolfspeed announced a strategic partnership to supply Silicon Carbide semiconductors for next-generation electric vehicles, delivering increased powertrain efficiency and extended driving range. Wolfspeed's advanced Silicon Carbide technology will be used specifically in the vehicles' inverter, managing the transfer of power from the battery to the electric motors. The first Range Rover vehicles with this advanced technology will be available in 2024, and the new all-electric Jaguar brand the following year.</t>
    <phoneticPr fontId="1"/>
  </si>
  <si>
    <t>Land Rover</t>
    <phoneticPr fontId="1"/>
  </si>
  <si>
    <t>GM will build the last 2022 Chevrolet Trax and Buick Encore units on November 30 at the GM Bupyeong plant in Korea. The new-generation 2024 Chevrolet Trax that will launch in early 2023 in the U.S. is very similar to the new 2023 Chevrolet Seeker recently introduced in China, with differing front and rear fascias. There is no direct replacement announced yet for the Encore, but the all-new Buick Envista crossover, now on sale in China, is under consideration for the North American market.</t>
    <phoneticPr fontId="1"/>
  </si>
  <si>
    <t>Buick</t>
    <phoneticPr fontId="1"/>
  </si>
  <si>
    <t>Kia</t>
    <phoneticPr fontId="1"/>
  </si>
  <si>
    <t>https://www.marklines.com/en/global/3145</t>
    <phoneticPr fontId="1"/>
  </si>
  <si>
    <t>Georgia</t>
  </si>
  <si>
    <t>On October 27, Kia announced the launch of the revised 2023 Telluride SUV as it makes its way to dealerships across the U.S. with two new rugged trim levels (X-Line and X-Pro). The 2023 Telluride underwent exterior restyling with a revised vertical headlamp design, new front fascia and grille, and new rear fascia with revised tail lamps. The Telluride, except for HEV and PHEV models, is assembled in West Point, Georgia, alongside select trims of the K5, Sportage, and Sorento, from U.S. and globally sourced parts.</t>
    <phoneticPr fontId="1"/>
  </si>
  <si>
    <t>https://www.marklines.com/en/global/2837</t>
    <phoneticPr fontId="1"/>
  </si>
  <si>
    <t>On October 27, BYD confirmed that it has signed a letter of intent with the Government of the State of Bahia to take over Ford’s Camaçari plant, which was closed in 2021, for the installation of three new assembly lines.  According to the government, BYD would invest BRL 3 billion to make fully electric buses, trucks and passenger cars, in addition to electric and hybrid cars and a lithium and iron phosphate processing unit. BYD says adjustments still need to be made and it will only make an official statement “after these pending issues are resolved”.</t>
    <phoneticPr fontId="1"/>
  </si>
  <si>
    <t>https://www.marklines.com/en/global/10455</t>
    <phoneticPr fontId="1"/>
  </si>
  <si>
    <t>On October 22, Toyota North Carolina signed a nearly three-year sublease for a former Labcorp office building in Greensboro that will serve as its operational hub until its EV battery production plant opens, at 1701 Pinecroft Road, with a lease slated to expire on June 30, 2025. Production is projected to begin at the Liberty site in 2025. Toyota will begin hiring the first round of production employees for the battery plant in Liberty in late 2022 to early 2023.</t>
    <phoneticPr fontId="1"/>
  </si>
  <si>
    <t>TOGG</t>
    <phoneticPr fontId="1"/>
  </si>
  <si>
    <t>https://www.marklines.com/en/global/10416</t>
    <phoneticPr fontId="1"/>
  </si>
  <si>
    <t>On October 29, Turkey's Automobile Joint Venture Group "Togg" announced that it has become ready for mass production with the official opening of the Gemlik Campus. Commercial sales are planned to start in March 2023. The company, which will have a production capacity of 175 thousand units per year and will employ 4,300 people when these production numbers are reached, aims to produce a total of 1 million vehicles from 5 different models by 2030. Along with C-segment SUV and sedan models, Togg will produce vehicles in five different models - SUV, sedan, C-hatchback, B-SUV, and B-MPV - by 2030 on a joint e-platform, with fully owned intellectual and industrial property rights. The Togg plant has been built on an area of 1.2 million square meters in Bursa's Gemlik district.</t>
    <phoneticPr fontId="1"/>
  </si>
  <si>
    <t>On October 27, GAC Aion announced that Yinpai Battery Technology Co., Ltd., jointly invested by GAC Aion, GAC Motor and GAC Business and held by GAC Aion, has been officially registered and established in Guangzhou with a registered capital of CNY 1 billion. As a result, GAC Aion is about to complete a closed loop of the energy ecological industry chain. The company’s business scope covers New Energy Vehicle power battery manufacturing, battery material R&amp;D, and technical services for related products, with a total investment of CNY 10.9 billion in the manufacturing and sales of in-house developed batteries.</t>
    <phoneticPr fontId="1"/>
  </si>
  <si>
    <t>UralAZ</t>
    <phoneticPr fontId="1"/>
  </si>
  <si>
    <t>https://www.marklines.com/en/global/803</t>
    <phoneticPr fontId="1"/>
  </si>
  <si>
    <t>On October 26, the URAL automobile plant presented a prototype of the Ural electric truck with a 4x2 hybrid power plant. The power plant of the car consists of a generator based on an engine running on liquefied natural gas, traction batteries, and a traction motor. The stock of electric energy from traction batteries on this sample is enough for 100 km of track. The generator set on the liquefied gas stock available on board can supply electrical energy for another 400-500 km. The next one will be made entirely electric, without an internal combustion engine. The power reserve without recharging will be up to 300 km. The third model in the lineup will be a hydrogen fuel cell vehicle. Ural has also presented an unmanned vehicle created on the Ural-432067-73 chassis with a 4x4 wheel arrangement.</t>
    <phoneticPr fontId="1"/>
  </si>
  <si>
    <t>https://www.marklines.com/en/global/4073</t>
    <phoneticPr fontId="1"/>
  </si>
  <si>
    <t>GAC announced on its official website that on October 26, the GAC R&amp;D Center Europe and the GAC Advanced Design Milan were officially opened in Milan. Located in Via Tortona 16, Milan, Italy and covering a total floor area of over 470 square meters, the Center will initially focus on styling design, focusing on the design and development of production models’ interior and exterior styling concept as well as forward-looking research by combining the characteristics of automotive culture and the advantages of human resources in Europe. Later, the Center will explore and expand the field of forward-looking technology R&amp;D in line with the development needs. So far, GAC has built a global R&amp;D network with the GAC R&amp;D Center as the core and supported by the GAC R&amp;D Center America, the GAC R&amp;D Center Europe and the GAC Advanced Design Shanghai. GAC’s design team has forged a layout of global design innovation system covering Milan, Italy, Los Angeles, USA, and Shanghai and Guangzhou in China. Meanwhile, GAC is committed to promoting the internationalization process and actively expanding overseas markets, and has so far completed the business layout of 28 countries and regions in the Middle East, Asia, Europe, Africa, and the Americas.</t>
    <phoneticPr fontId="1"/>
  </si>
  <si>
    <t>On October 26, BYD announced that it has recently opened its first store in Brasilia, the capital of Brazil, with Saga Group, Brazil’s largest dealer. In Brazil, BYD has launched models including the Tang EV luxury battery electric SUV, the Han EV battery electric sedan, and the D1, and will commence the presales of the Song PLUS DM-i hybrid SUV soon.</t>
    <phoneticPr fontId="1"/>
  </si>
  <si>
    <t>On October 26, Great Wall Motor signed a strategic cooperation agreement with China Mobile Communications Group Co., Ltd. (CMCC) in Baoding, Hebei. According to the agreement, both parties will cooperate in the field of vehicle networking that includes intelligent connectivity, high-precision positioning, vehicle-road coordination, big data, and on-board contents, and actively promote the innovative application pilot of 5G fully connected factory (by making full use of the new generation of information and communication technologies represented by 5G). In the future, both paties will jointly support the automotive industry in accelerating the transformation and upgrading of intelligentization, network connectivity, and electrification.</t>
    <phoneticPr fontId="1"/>
  </si>
  <si>
    <t>On October 26, GWM announced that it has held a signing ceremony in Manila, Philippines with SQ Group’s High Hope Automotive Industrial Co., Ltd. to jointly explore the Philippine market, which marks another progressive move for GWM in the ASEAN region after it entered the Thai and Malaysian market. According to the agreement, the two parties will jointly explore innovative channel construction and service models in the Philippines, where GWM plans to lay out SUVs, pickup trucks and other flagship models and launch a product matrix covering a wide range of energy power and with high intelligence.</t>
    <phoneticPr fontId="1"/>
  </si>
  <si>
    <t>https://www.marklines.com/en/global/9327</t>
    <phoneticPr fontId="1"/>
  </si>
  <si>
    <t>On October 26, Geely officially launched its Bo Yue L compact SUV, which is based on the GEEA 2.0 evolvable intelligent electronic and electrical architecture. For the powertrain, the ICE model features a 1.5TD turbocharged engine (133kW/290Nm) or a 2.0TD turbocharged engine (160kW/325Nm), mated to a 7DCT transmission. The hybrid model features a 1.5TD Thor hybrid engine (110kW/225Nm) and an electric motor (100kW/320Nm), mated to a 3-speed inverter electric drive DHT Pro, with a combined system power of 180kW, a combined system torque of 545Nm, and a combined fuel consumption of 4.7L/100km under the WLTC standard (4.2L/100km under the NEDC standard). The drive mode of the new vehicle is FWD. For the standard configuration, the new vehicle is installed with a Qualcomm Snapdragon 8155 chip, the Geely Galaxy OS Air Version, and Level 2 Basic Intelligent Driving Assistance System (with ACC adaptive cruise control and LKA lane keeping).</t>
    <phoneticPr fontId="1"/>
  </si>
  <si>
    <t>On October 26, Farizon announced that it has completed its Pre-A round of financing of over USD 300 million. The financing was led by GLP’s Hidden Hill Capital, with other investors including Transfar, CITIC Securities Investment, Hunan Xiangtan Industrial Fund, GLy Capital, and Mirae Asset. The funds raised will mainly be used for R&amp;D investment and market ecology construction. Based on new energy commercial vehicle urban delivery logistics and cold chain vehicles in which Farizon is involved, and relying on GLP’s 70 regional markets, over 400 logistics warehouse infrastructures, and rich industrial ecological resources in China, Hidden Hill Capital, the lead investor of the financing, supports Farizon in vehicle sales and leasing, cold chain vehicle promotion and new business model exploration in customer development and urban delivery. Also, Farizon announced its carbon neutrality targets of achieving operational carbon neutrality by 2025 and full life-cycle carbon neutrality by 2030.</t>
    <phoneticPr fontId="1"/>
  </si>
  <si>
    <t>https://www.marklines.com/en/global/9594</t>
    <phoneticPr fontId="1"/>
  </si>
  <si>
    <t>Shanxi</t>
  </si>
  <si>
    <t>On October 25, the signing ceremony of Nio’s international headquarters project was held in Jiangqiao Town, Jiading District, Shanghai. The target site of the project is Lot D2-10 in the north community of Jiangqiao Town, with a site area of approximately 65,900 square meters and a buildable area of approximately 178,000 square meters. The site will be planned to lay out R&amp;D, offices and exhibition halls for the landing point of Nio’s international business such as vehicle exports.</t>
    <phoneticPr fontId="1"/>
  </si>
  <si>
    <t>https://www.marklines.com/en/global/10482</t>
    <phoneticPr fontId="1"/>
  </si>
  <si>
    <t>On October 25, FAW Toyota officially launched its bZ4X mid-sized crossover battery electric SUV. The new vehicle, based on the BEV-dedicated platform co-developed by Toyota and Subaru utilizing the e-TNGA architecture. For the powertrain, the FWD model features a permanent-magnet synchronous motor with a maximum power of 150kW, while the 4WD model features front and rear dual electric motors with a maximum power of 80kW both, and the X-MODE 4WD off-road assistance. The new vehicle is installed with a CATL ternary Li-ion battery with a capacity of 50.3kWh/66.7kWh, resulting in a combined maximum cruising range of 615km under the CLTC standard. For the standard configuration, the new vehicle features the 3rd generation of Toyota Safety Sense, with some models featuring PVM (Paronamic View Monitor).</t>
    <phoneticPr fontId="1"/>
  </si>
  <si>
    <t>https://www.marklines.com/en/global/3353</t>
    <phoneticPr fontId="1"/>
  </si>
  <si>
    <t>On October 25, GAC Trumpchi announced on its official website that the Empow hybrid sports sedan has been officially launched. For the powertrain, the new vehicle features a 2.0L ATK engine with a maximum power of 103 kW and a peak torque of 180 Nm, and a GMC2.0 integrated dual-motor multi-shift DHT with a maximum power of 134 kW and a peak torque of 300 Nm. The fuel consumption is 4.33L/100km under the WLTC standard. In terms of configuration, the vehicle is equipped with ABS and EBD system, etc. </t>
    <phoneticPr fontId="1"/>
  </si>
  <si>
    <t>On October 25, GAC Aion announced that Ruipai Power Technology Co., Ltd., jointly invested by GAC Group, GAC Aion and GAC Motor and held by GAC Aion, has officially been registered and established in Guangzhou with a registered capital of CNY 900 million. The company will focus on the in-house R&amp;D and industrialization of the IDU electric drive system to realize the integration of in-house R&amp;D, trial production, testing and mass production of electric drives, and is expected to invest CNY 2.16 billion in the next few years, bringing GAC Aion to the new stage of self-developed and self-produced electric drives as a result. In the future, GAC Aion will comprehensively open up the layout of the energy ecological industry chain including upstream raw materials, R&amp;D, manufacturing, battery recycling and cascade utilization.</t>
    <phoneticPr fontId="1"/>
  </si>
  <si>
    <t>https://www.marklines.com/en/global/9273</t>
    <phoneticPr fontId="1"/>
  </si>
  <si>
    <t>On October 25, Kaiyi Auto, a Chery sub-brand, held an offline ceremony for the Kunlun new mid-sized SUV at its intelligent factory in Yibin, Sichuan, and commenced blind pre-orders of the model. The Kunlun, the first model based on Kaiyi’s new advanced modular architecture i-FA platform, is available in two power options of 1.6T and 2.0T, and is equipped with features such as Tencent’s TAI 4.0 Intelligent Cockpit, Huawei’s HiCar Ecosystem, and 540-degree panoramic view.</t>
    <phoneticPr fontId="1"/>
  </si>
  <si>
    <t>https://www.marklines.com/en/global/10358</t>
    <phoneticPr fontId="1"/>
  </si>
  <si>
    <t>On October 25, HTWO Guangzhou, Guangzhou Hengyun Enterprises Holdings Limited (Hengyun), and Guangzhou Development District Communications Investment Group Co., Ltd. (GDDCI) signed a letter of intent (LOI) in Guangzhou. According to the LOI, the three parties will establish a hydrogen energy joint venture to conduct business in Guangzhou, including the external sales of hydrogen fuel cell systems based on Hyundai’s technologies and adapted to the Chinese market, the provision of hydrogen fuel cell vehicle leasing services to vehicle operating companies and terminal vehicle companies, and the joint R&amp;D of electric vehicle charging systems and backup power generation systems utilizing hydrogen fuel cell systems based on Hyundai’s technologies. In the future, the three parties also plan to promote more than 4,500 hydrogen fuel cell systems in the Guangzhou Fuel Cell Vehicle Demonstration City Cluster during the demonstration period.</t>
    <phoneticPr fontId="1"/>
  </si>
  <si>
    <t>On October 24, Renault announced that HYVIA presented Master Van H2-TECH in Brussels during the European hydrogen week. It is equipped with a 30 kW fuel cell, a 33 kWh battery, and tanks containing 6.4 kg of hydrogen (4 tanks of 1.6 kg). Master Van H2-TECH is manufactured in France: production of the vehicle at the Batilly plant, assembly, and testing of the fuel cell at the HYVIA plant in Flins, and integration of the fuel cell at Gretz-Armainvilliers, near Paris. HYVIA has recently been confirmed as part of the Important Project of Common European Interest (IPCEI) "Hy2Tech", a major step to develop partnerships with many French and European players.</t>
    <phoneticPr fontId="1"/>
  </si>
  <si>
    <t>https://www.marklines.com/en/global/9485</t>
    <phoneticPr fontId="1"/>
  </si>
  <si>
    <t>On October 24, the 4th “1024 XPeng Tech Day” officially opened, where XPeng shared its intelligent driving promotion plan. Overall, XPeng will mainly lay out single-scenario assisted driving in 2022 and full-scenario assisted driving from 2023 to 2025 and will expand to fully autonomous driving and unmanned driving from 2025 onwards. Currently, XPeng is promoting the implementation of the urban high-level assisted driving City NGP and the full-scene intelligent assisted driving system XNGP. According to the implementation plan for the XNGP, in addition to the delivery of the existing High-speed NGP, Memory Parking, LCC, and Intelligent Parking, XPeng will open capabilities on the G9 Max including Traffic Light Recognition and Intersection Straight Passage in China-wide cities without corresponding HD maps before H1 2023, while City NGP will cover the three cities of Guangzhou, Shenzhen, and Shanghai.</t>
    <phoneticPr fontId="1"/>
  </si>
  <si>
    <t>https://www.marklines.com/en/global/2075</t>
    <phoneticPr fontId="1"/>
  </si>
  <si>
    <t>Samut Prakan</t>
  </si>
  <si>
    <t>Reported on October 22, along with the launch of Vito 119 CDI Tourer Select multi-purpose van, Mercedes-Benz Thailand also introduced the new C 350 e AMG Dynamic PHEV. This locally-assembled C-Class PHEV followed the great feedback of its diesel-engine versions, launched in the first quarter of 2022. The PHEV can be fully charged within 2 hours via AC charger, while DC charger takes around 30 minutes for a full charge.</t>
    <phoneticPr fontId="1"/>
  </si>
  <si>
    <t>https://www.marklines.com/en/global/911</t>
    <phoneticPr fontId="1"/>
  </si>
  <si>
    <t>On October 27, VW announced it will invest USD 763.5 million in the modernization of its Puebla plant to start production of a new gasoline-powered midsize SUV by the end of 2024 and electric vehicles starting in 2025. The investment will include the modernization of the paint shop and development of its stamping area.</t>
    <phoneticPr fontId="1"/>
  </si>
  <si>
    <t>https://www.marklines.com/en/global/4313</t>
    <phoneticPr fontId="1"/>
  </si>
  <si>
    <t>On October 26, Ford Motor Co. announced it has finalized the exit of its operations in Russia through the sale of its 49% share in the Sollers Ford Joint Venture, following the full suspension of all operations in Russia, including manufacturing, since March 2022. The company’s business had been downsized since Ford announced in 2019 that it was closing three factories in Russia.</t>
    <phoneticPr fontId="1"/>
  </si>
  <si>
    <t>On October 25, GM CEO Mary Barra noted that GM was pushing back its EV production target of 400,000 units by six months to early 2024 as battery and cell production ramps up slower than anticipated. Production recently started at the Ultium Cells battery plant in Warren, Ohio, which provides batteries for the GMC Hummer EV, Cadillac Lyriq, and BrightDrop Zevo 600 delivery van, with new battery plants in Michigan and Tennessee under construction. In September, 750 GMC Hummer EVs were produced at the GM Factory Zero plant, and 1,000 Cadillac Lyriqs were produced at the Spring Hill plant.</t>
    <phoneticPr fontId="1"/>
  </si>
  <si>
    <t>https://www.marklines.com/en/global/10564</t>
    <phoneticPr fontId="1"/>
  </si>
  <si>
    <t>https://www.marklines.com/en/global/10475</t>
    <phoneticPr fontId="1"/>
  </si>
  <si>
    <t>At the end of October, General Motors do Brasil will complete production of the final volumes for export of the Chevrolet Joy, thus bringing to an end to production of the compact at the São Caetano do Sul plant, opening up physical space for the new Montana pickup, which debuts in 2023. Beginning in 2023, the Joy will be assembled at the GM Colmotores plant in Colombia, which received USD 50 million of investment earlier in 2022.</t>
    <phoneticPr fontId="1"/>
  </si>
  <si>
    <t>https://www.marklines.com/en/global/2967</t>
    <phoneticPr fontId="1"/>
  </si>
  <si>
    <t>Colombia</t>
    <phoneticPr fontId="1"/>
  </si>
  <si>
    <t>https://www.marklines.com/en/global/2209</t>
    <phoneticPr fontId="1"/>
  </si>
  <si>
    <t>On November 11, the BMW Group started production for the fully-electric BMW iX1 in the Regensburg plant. By 2024, at least one in three BMWs coming out of its Bavarian plants will be an electric car. The start of production for the new BMW iX1 means BMW Group Plant Regensburg is now manufacturing all drive technologies on a single line as part of its flexible production process – for combustion-engine, plug-in hybrid, and fully-electric models. BMW has already commissioned five coating lines for battery cells at the Regensburg electric component production facility in April 2021. The plant is already supplying the neighboring vehicle plant with high-voltage batteries for the BMW iX1.</t>
    <phoneticPr fontId="1"/>
  </si>
  <si>
    <t>https://www.marklines.com/en/global/10394</t>
    <phoneticPr fontId="1"/>
  </si>
  <si>
    <t>On November 10, Skoda celebrated three production milestones since the start of the month: the 750,000th KODIAQ SUV rolled off the production line in Kvasiny, while the carmaker had also produced four million EA211 engines and 15 million of the latest-generation transmissions in Mladá Boleslav. Both of these components are installed in vehicles of other Volkswagen Group brands, as well.</t>
    <phoneticPr fontId="1"/>
  </si>
  <si>
    <t>https://www.marklines.com/en/global/1837</t>
    <phoneticPr fontId="1"/>
  </si>
  <si>
    <t>Ukraine</t>
    <phoneticPr fontId="1"/>
  </si>
  <si>
    <t>https://www.marklines.com/en/global/9096</t>
    <phoneticPr fontId="1"/>
  </si>
  <si>
    <t>https://www.marklines.com/en/global/1306</t>
    <phoneticPr fontId="1"/>
  </si>
  <si>
    <t>https://www.marklines.com/en/global/1739</t>
    <phoneticPr fontId="1"/>
  </si>
  <si>
    <t>Czech Republic</t>
    <phoneticPr fontId="1"/>
  </si>
  <si>
    <t>https://www.marklines.com/en/global/1741</t>
    <phoneticPr fontId="1"/>
  </si>
  <si>
    <t>On November 10, Alexander Dennis Limited (ADL), a subsidiary of NFI Group Inc., announced that it has received an order for 200 low-emission Enviro400 double-deck buses from Stagecoach. This represents the UK bus industry's largest single order by the number of vehicles since 2019. Stagecoach's 200 new buses will be built in Britain. All are expected to be delivered in 2023 and to be allocated to depots across England.</t>
    <phoneticPr fontId="1"/>
  </si>
  <si>
    <t>Nissan has communicated to dealerships that key models assembled in Canton, Mississippi, including the Frontier, Titan and Altima, with minor adjustments in other models.The plant is currently running on a single shift.It will produce EVs for Nissan and Infiniti; this includes two electric CUVs, one for each brand, starting from mid-decade.</t>
    <phoneticPr fontId="1"/>
  </si>
  <si>
    <t>https://www.marklines.com/en/global/9563</t>
    <phoneticPr fontId="1"/>
  </si>
  <si>
    <t>As a result of low unemployment in Alabama and the ongoing supply chain issues, the Mazda/Toyota JV plant is currently operating on only one shift. A second shift was slated to begin before the end of 2022, but this has been delayed indefinitely. Mazda has the capacity to build 150,000 vehicles at this plant. Historically high inflation and interest rates are causing many drivers to delay or purchase a lower-priced vehicle. The CX-50 is the only Mazda currently produced at this location.</t>
    <phoneticPr fontId="1"/>
  </si>
  <si>
    <t>https://www.marklines.com/en/global/4311</t>
    <phoneticPr fontId="1"/>
  </si>
  <si>
    <t>On November 9, Kia China announced that its EV6 compact battery electric SUV was exhibited at the CIIE and is scheduled for launch in China in 2023. Additionally, Kia is to accelerate its electrification layout according to its New Kia strategic plan released in 2021, scheduling to launch 1-2 EVs per year in China from 2023 and expand its EV lineup to 6 models by 2027. For its hybrid lineup, Kia will successively launch 5 hybrid models in China by 2026, starting with the HEV model of the 5th generation Sportage compact SUV.</t>
    <phoneticPr fontId="1"/>
  </si>
  <si>
    <t>https://www.marklines.com/en/global/3765</t>
    <phoneticPr fontId="1"/>
  </si>
  <si>
    <t>On November 9, Rivian Motors reported that it produced 7,363 vehicles in Q3 2022, up from the 4,467 units in Q2, and delivered 6,584 vehicles, generating USD 536 million of revenue. It reaffirmed its 2022 production guidance of 25,000 total units produced for its three vehicles, the R1T, R1S and EDV delivery vans. Rivian recently started a second shift at its plant in Normal, Illinois, and is working on details for its new plant Georgia, where it expects to launch its new, smaller R2 platform in 2026.</t>
    <phoneticPr fontId="1"/>
  </si>
  <si>
    <t>According to multiple press releases and BYD’s official account dated November 8, BYD’s new luxury car brand was named “Yangwang”.</t>
    <phoneticPr fontId="1"/>
  </si>
  <si>
    <t>On November 8, Hyundai Truck &amp; Bus inked a cooperation framework agreement with CICC Capital Operation Co., Ltd. (CICC Capital) to jointly explore the new energy commercial vehicle market in response to the demand for electrification and intelligent transformation of the Chinese commercial vehicle market. Hyundai Truck &amp; Bus will develop and produce new energy commercial vehicles through its cutting-edge plants, vehicle testing centers and advanced automated and intelligent equipment. CICC Capital will build new sales channels for Hyundai Truck &amp; Bus leveraging its affiliated funds covering various industrial networks that include the Chinese government, Chinese state-owned enterprises and large logistics enterprises. In addition, Hyundai Truck &amp; Bus and CICC Capital plan to sign a share transaction agreement within the year, and the Hyundai Motor Group plans to introduce hydrogen fuel cell commercial vehicles through cooperation between Hyundai Truck &amp; Bus and its first overseas site for hydrogen fuel cell system R&amp;D, production and sales, HTWO Guangzhou.</t>
    <phoneticPr fontId="1"/>
  </si>
  <si>
    <t>https://www.marklines.com/en/global/4239</t>
    <phoneticPr fontId="1"/>
  </si>
  <si>
    <t>On November 7, GAC announced that GAC Component Co., Ltd. (GAC Component), its wholly-owned subsidiary, has signed a joint venture contract with Tongzi County Shixi Coal Industry Co., Ltd. (Shixi Coal Industry) and Zunyi Energy &amp; Minerals (Group) Co., Ltd. (Zunyi Energy) to establish a joint venture (JV) in Zunyi, Guizhou. The JV is tentatively named as Guizhou HEC New Energy Technology Co., Ltd. (subject to the final industrial and business registration name), with a registered capital of CNY 200 million, of which 47.5%, 47.5% and 5% are held by GAC Component, Shixi Coal Industry and Zunyi Energy, respectively. The company is mainly engaged in the geological exploration of relevant minerals and the investment, management and operation of mineral resources. The three parties will, in compliance with national laws and regulations and relevant industrial policies, orderly promote the JV to obtain the prospecting rights of aluminum polymetallic (lithium resources) deposits in Shixi Town, Tongzi County, Zunyi City, Guizhou Province and implement the geological exploration of minerals and subsequent acquisition of mining rights. The cooperation is conducive to further perfecting GAC’s strategic layout in upstream raw materials for lithium battery new energy, enhancing its supply capacity in the sectors of key components and further improving its comprehensive competitiveness and profitability.</t>
    <phoneticPr fontId="1"/>
  </si>
  <si>
    <t>On November 4, according to multiple press releases, Geely Automobile Group held a distribution agreement signing ceremony with Grand Automotive Central Europe (GACE) in Budapest, marking Geely’s first entry into the EU market. According to the agreement, GACE will sell the Geometry C battery electric model in Hungary, the Czech Republic and Slovakia, with the sales of the first lot expected to commence in H1 2023.</t>
    <phoneticPr fontId="1"/>
  </si>
  <si>
    <t>Geometry</t>
    <phoneticPr fontId="1"/>
  </si>
  <si>
    <t>https://www.marklines.com/en/global/2709</t>
    <phoneticPr fontId="1"/>
  </si>
  <si>
    <t>On November 10, Volvo Truck announced that the first electric trucks with fossil-free steel are now being delivered to customers. In September this year, it started series production of heavy-duty electric, 44-ton trucks. Some of the electric trucks will also be the first trucks in the world that are built with fossil-free steel. The first steel produced with hydrogen is being used in the electric truck's frame rails, the backbone of the truck upon which all other main components are mounted. As the availability of fossil-free steel increases, it will also be introduced in other parts of the truck. The fossil-free steel is produced by SSAB by using a completely new technology with fossil-free electricity and hydrogen.</t>
    <phoneticPr fontId="1"/>
  </si>
  <si>
    <t>https://www.marklines.com/en/global/1965</t>
    <phoneticPr fontId="1"/>
  </si>
  <si>
    <t>On November 9, SEAT S.A., the Volkswagen Group, PowerCo, and the Future: Fast Forward partners accepted the PERTE VEC (Strategic Projects for Economic Recovery and Transformation) resolution by Spain Government. Together, they will invest EUR 10 billion in Spain. SEAT S.A. is leading, from Spain, the development of vehicles based on the Small BEV platform for the Volkswagen Group. This project will democratize access to sustainable mobility in Europe with electric cars made in Spain. The Volkswagen Group will electrify the Martorell and Pamplona factories. Spain will have its first battery plant in Sagunto (Valencia) through the PowerCo.</t>
    <phoneticPr fontId="1"/>
  </si>
  <si>
    <t>SEAT</t>
    <phoneticPr fontId="1"/>
  </si>
  <si>
    <t>https://www.marklines.com/en/global/1955</t>
    <phoneticPr fontId="1"/>
  </si>
  <si>
    <t>https://www.marklines.com/en/global/9519</t>
    <phoneticPr fontId="1"/>
  </si>
  <si>
    <t>Morocco</t>
    <phoneticPr fontId="1"/>
  </si>
  <si>
    <t>On November 9, Stellantis announced an over EUR 300 million investment in its Kenitra manufacturing facility to double its production capacity, reaching 400,000 vehicles per year along with 50,000 electric mobility objects: Citroën Ami and Opel Rocks-e. This enhanced capacity supports the Company's growth plans for the Middle East and Africa region, as it pushes to a production capacity of one million vehicles per year by 2030 while reaching 70% local integration. The "smart car" platform is intended to further support Stellantis' product offerings and will represent 40% of the region's mobility offerings by 2030. The investment will create nearly 2,000 new local positions. The plant is a model of energy optimization with low energy consumption per vehicle produced (425 KWh/vehicle) and will soon access renewable energies supported by the Moroccan national strategy for energy transition and sustainable development.</t>
    <phoneticPr fontId="1"/>
  </si>
  <si>
    <t>On November 8, Arrival announced that it can not make a margin on the current L Van product given the high cost of parts associated with being on low-volume (or "soft") tooling, and lack of funds to finance hard tooling. It will continue to build a small number of Vans in Bicester (UK). Arrival plans to further right-size the organization including cutting cash-intensive activities primarily related to third-party spending and costs related to ramping up production of the L Van in Bicester to extend the cash runway. The result of these proposals is expected to have a sizable impact on their workforce, predominantly in the UK. Arrival has also opted not to access the At the Market (ATM) Platform to achieve these targets.</t>
    <phoneticPr fontId="1"/>
  </si>
  <si>
    <t>On November 8, Geely Holding, Geely Auto (collectively referred as “Geely”), and Renault Group signed a non-binding framework agreement to create a new global leader to develop, manufacture and supply best-in-class hybrid powertrains and highly efficient ICE powertrains. Geely and Renault Group will hold 50% stakes in the new company. The new company will be a standalone global supplier of propulsion system solutions. It will produce next-generation hybrid propulsion systems and develop carbon-free and low-emission technologies from five global R&amp;D centers. It is expected to supply multiple industrial customers including Renault, Dacia, Geely Auto, Volvo Cars, Lynk &amp; Co, Proton, and also Nissan and Mitsubishi Motors. In the future, the partnership could also offer powertrain technologies to third-party car brands. The new company is planned to operate 17 powertrain plants on 3 continents. It will have a combined capacity of over 5 million internal combustions, hybrid and plug-in hybrid engines, and transmissions per year, supplying over 130 countries and regions. The new company's joint product portfolio and regional footprint could offer solutions for 80% of the global ICE market. This framework agreement is expected to lead to a formal combination in 2023.</t>
    <phoneticPr fontId="1"/>
  </si>
  <si>
    <t>On November 8, Lucid reported record quarterly production in Q3 of 2,282 vehicles and it is on track for 6,000-7,000 units for 2022 at its AMP-1 plant in Casa Grande, Arizona, with an installed annual production capacity of 34,000 units, now producing 300 cars per week. The AMP-1 Phase 2 expansion in 2023 will increase installed capacity to 90,000 units per year. Construction is now underway at the AMP-2 plant in Saudi Arabia, where re-assembly of imported pre-manufactured Lucid Air sedans will take place.</t>
    <phoneticPr fontId="1"/>
  </si>
  <si>
    <t>On November 6, HiPhi, a Human Horizons sub-brand, inked a cooperation agreement on low-carbon intelligence with Covestro, a German chemicals company, at the 5th China International Import Expo (CIIE) to jointly explore the future of sustainable intelligent mobility. In addition, HiPhi exhibited the HiPhi Z, its flagship battery electric model. The HiPhi Z on display adopts a recyclable carbon fiber composite material jointly developed by HiPhi and Covestro. The vehicle is also equipped with Aisin’s 13.2-degree rear wheel steering, Nvidia’s Orin chip, an intelligent cockpit built with Epic Games’ Unreal Engine, and a number of innovative products from Bosch, Continental and Dow. Additionally, for the HiPhi X, HiPhi’s first flagship supercar SUV, HiPhi and Covestro jointly developed a complete set of combination materials for intelligent interactive surfaces.</t>
    <phoneticPr fontId="1"/>
  </si>
  <si>
    <t>On November 5, SAIC Group announced on its official website that the 5th World Laureates Forum is being held in the Lingang Special Area of the China (Shanghai) Pilot Free Trade Zone from November 3 to 6, where SAIC AI LAB officially launched the RoboMPV, the first Level 4 Autonomous Driving MPV. Specially designed for high-end business travel, the RoboMPV is front-loaded based on SAIC Maxus’ MIFA 9 battery electric MPV and is equipped with SAIC AI LAB’s in-house developed High-level Autonomous Driving 2.0 technical architecture, and is equipped with a remote driving control system. In addition, SAIC Mobility’s Robotaxi 2.0, whose R&amp;D was led by SAIC AI LAB, will soon start operation in the Lingang Special Area of Shanghai.</t>
    <phoneticPr fontId="1"/>
  </si>
  <si>
    <t>MAXUS</t>
    <phoneticPr fontId="1"/>
  </si>
  <si>
    <t>https://www.marklines.com/en/global/9598</t>
    <phoneticPr fontId="1"/>
  </si>
  <si>
    <t>Stellantis has been seen testing a camouflaged Ram medium-size pickup in Brazil, which will be produced alongside the Fiat Toro pickup at the Pernambuco plant and is expected to enter the market in 2024, positioned in size above the Ram 700 built for regional markets at the Betim plant along the Fiat Strada, and slightly larger than the Toro.</t>
    <phoneticPr fontId="1"/>
  </si>
  <si>
    <t>https://www.marklines.com/en/global/2833</t>
    <phoneticPr fontId="1"/>
  </si>
  <si>
    <t>https://www.marklines.com/en/global/10225</t>
    <phoneticPr fontId="1"/>
  </si>
  <si>
    <t>Israel</t>
    <phoneticPr fontId="1"/>
  </si>
  <si>
    <t>On November 9, Porsche announced that Porsche Digital GmbH is intensifying its presence in Tel Aviv in cooperation with Porsche Ventures. It is expanding its investment activities to include a focus on cybersecurity; and second, it intends to further expand its team in the Israeli city with several highly qualified experts.</t>
    <phoneticPr fontId="1"/>
  </si>
  <si>
    <t>https://www.marklines.com/en/global/2253</t>
    <phoneticPr fontId="1"/>
  </si>
  <si>
    <t>On November 8, Stellantis announced that Opel has reached the production milestone of 75 million units. As a representative of 75 million Opel cars, an electrified, locally emission-free "jubilee" Grandland GSe rolled off the assembly line in Eisenach. The Grandland GSe combines a 1.6 turbocharged gasoline engine and two electric motors - one at each axle - for a strong system power output of up to 221 kW/300 hp.</t>
    <phoneticPr fontId="1"/>
  </si>
  <si>
    <t>On November 8, multiple sources reported that Stellantis will halt the production activity of the entire plant in Melfi on November 9 and 10, due to a shortage of a component that uses microchips.</t>
    <phoneticPr fontId="1"/>
  </si>
  <si>
    <t>On November 8, the mayor of Moscow announced that authorities of the capital has agreed with Russian Railways, the Moscow Automobile Plant, and KAMAZ on the creation of a new transport and logistics center (TLC) "Southern Port" in Pechatniki, to provide the Moskvich automobile plant with the necessary resources. A container and multi-purpose platform for heavy cargo, as well as a warehouse complex, will be built. After the opening, the main load of the TLC will be provided by Moskvich.</t>
    <phoneticPr fontId="1"/>
  </si>
  <si>
    <t>On November 8, Scania announced that it has developed its first fuel cell trucks for delivery to customers; the Swiss companies Emmi AG, Genossenschaft Migros Zürich, Gysin Tiefbau AG, and TRAVECO Transporte AG. The fuel cell trucks, with a total operating weight of between 40 to 70 tonnes, will be delivered to Switzerland in 2024 and 2025. Scania has previously developed fuel cell trucks in research projects and collaborations. However, the Swiss trucks are Scania's first to be sold commercially to customers.</t>
    <phoneticPr fontId="1"/>
  </si>
  <si>
    <t>https://www.marklines.com/en/global/10215</t>
    <phoneticPr fontId="1"/>
  </si>
  <si>
    <t>California</t>
    <phoneticPr fontId="1"/>
  </si>
  <si>
    <t>On November 7, the BMW Group announced it has moved the U.S. headquarters of its design studio to Santa Monica, California. The move takes Designworks US square footage down from 70,000 square feet to 16,000 square feet in the new space with 65 employees.</t>
    <phoneticPr fontId="1"/>
  </si>
  <si>
    <t>On November 7, Lordstown Motors and Foxconn announced that they reached an agreement in which Foxconn will invest USD 70 million in LMC’s Class A common stock, and USD 100 million in Preferred Stock to fund development of a new EV program within LMC in Ohio, noting that the Foxconn EV ecosystem, including the Mobility-in-Harmony (MIH) open-source platform, offers tremendous opportunities.</t>
    <phoneticPr fontId="1"/>
  </si>
  <si>
    <t>On November 7, Joon Georgia, Inc. announced it will invest USD 317 million and create 630 new jobs at a new manufacturing facility in Statesboro, Georgia, to support the Hyundai Motor Group Metaplant America, where a ground breaking ceremony was held on October 25. Joon Georgia operations are expected to begin in mid-2024.</t>
    <phoneticPr fontId="1"/>
  </si>
  <si>
    <t>https://www.marklines.com/en/global/3475</t>
    <phoneticPr fontId="1"/>
  </si>
  <si>
    <t>On November 6, Nissan (China) Investment Co., Ltd. (Nissan China) announced at the 5th China International Import Expo (CIIE) the establishment of Nissan Mobility Service Co., Ltd., which focuses on mobility services in China. Headquartered in Suzhou, Jiangsu, the new company is dedicated to the operation of mobility services and Robotaxis, and will cooperate with the Suzhou High-speed Rail New Town.</t>
    <phoneticPr fontId="1"/>
  </si>
  <si>
    <t>On November 5, Beijing Hyundai released its 2025 New Plan that clearly defines the company’s progression path in three major areas of product transformation, brand renewal and service innovation. At the same time, the company announced an annual sales target of over 500,000 units in 2025. Concurrently, BAIC Group and Hyundai Motor Group reached a series of cooperation agreements and jointly injected CNY 6 billion into Beijing Hyundai. Since Hyundai Motor has mastered cutting-edge technologies in electrification, hydrogen energy and intelligent driving, Beijing Hyundai will accelerate the introduction of new products and advanced technologies from it to achieve full hybridization of ICE vehicles by 2025 and introduce new battery electric vehicle brands and new models. For the hybrid product lineup, Beijing Hyundai will launch one MPV model, two sedan models and three SUV models, and will comprehensively apply 48V light hybrid and full hybrid technologies to its sedan and SUV models. At present, the Tucson L SUV Hybrid Edition is equipped with Hyundai Motor’s ASC (Active Shift Control) technology and new-generation TMED hybrid technology. For electric vehicles, Beijing Hyundai will launch EV models based on Hyundai Motor’s E-GMP battery electric platform in 2023 and introduce 4-5 battery electric models in the next 2-3 years. Beijing Hyundai will feature all newly launched products with OTA technology from H2 2023 and all products in the lineup with the technology by 2025. The company will also cooperate with top ICT (Information and Communication Technology) enterprises.</t>
    <phoneticPr fontId="1"/>
  </si>
  <si>
    <t>https://www.marklines.com/en/global/10539</t>
    <phoneticPr fontId="1"/>
  </si>
  <si>
    <t>On November 8, Northvolt announced that the joint venture (JV) between Northvolt and Volvo Cars will enable collaboration across the entire battery technology space, from research and cell design to production. Work during the first year will focus on growing the team and setting up some essential functions. The most essential function is the internal cell build, which begins with coin and single-layer pouch cells. In the next five years, the JV plans to take the design of the small battery developed over the first two years and scale that up into a full-size battery. The JV is divided into two parts: R&amp;D and battery production. R&amp;D will test new technologies to design the best possible cells to meet Volvo Cars' product needs. These cell designs will eventually be handed over to the production side of the venture. Here they will be produced sustainably through the joint venture's battery gigafactory under development in Gothenburg.</t>
    <phoneticPr fontId="1"/>
  </si>
  <si>
    <t>On November 8, Volvo Cars announced that it will divest its 33% holding in Aurobay to Geely Holding. It also makes Volvo Cars the first car manufacturer to fully exit its participation in the development and manufacturing of internal combustion engines. During this period of transition to a fully electric future, Aurobay will remain a strategic partner to Volvo Cars and the sole provider of hybrids and mild-hybrid powertrains. The proceeds from the divestment will be used in Volvo Cars' transformation to a fully electric company, including its new production line for electric motors in Skövde, Sweden. The transaction is expected to be closed before year-end of 2022, provided necessary regulatory approvals have been obtained.</t>
    <phoneticPr fontId="1"/>
  </si>
  <si>
    <t>Dacia</t>
    <phoneticPr fontId="1"/>
  </si>
  <si>
    <t>https://www.marklines.com/en/global/1849</t>
    <phoneticPr fontId="1"/>
  </si>
  <si>
    <t>On November 8, Renault Group, on its Capital Market Day, announced that Dacia, currently a B-segment champion will boldly enter the C-segment. After Jogger this year, Dacia Bigster will embody this move and 2 other vehicles will follow, allowing Dacia to double its profit pool coverage. In parallel, Dacia will also keep lowering costs and will benefit from the doubling of the volume of the global CMF-B platform across brands which will reach 2 million units by 2030. Dacia already generates an operating margin above 10% and aims to reach 15% by 2030. Dacia will contribute to reinventing the ICE value chain through cooperation with the Horse project by developing breakthrough powertrains adaptation for alternative &amp; synthetic fuels.</t>
    <phoneticPr fontId="1"/>
  </si>
  <si>
    <t>https://www.marklines.com/en/global/1263</t>
    <phoneticPr fontId="1"/>
  </si>
  <si>
    <t>On November 7, Tata Motors announced that it rolled out its 50,000th EV, from its Pune facility. They mentioned that with the well-calibrated product mix, and strong consumer-facing initiatives, they have been able to address barriers to EV adoption. They have created an entire EV ecosystem with Tata Group companies to provide simple, cost-effective solutions for their customers.</t>
    <phoneticPr fontId="1"/>
  </si>
  <si>
    <t>https://www.marklines.com/en/global/1169</t>
    <phoneticPr fontId="1"/>
  </si>
  <si>
    <t>Uttar Pradesh</t>
  </si>
  <si>
    <t>On November 7, Honda Cars India announced that the company has reached the 2-million-unit milestone in cumulative production of Honda cars in India. The company's premium sedan Honda City formally rolled out of the assembly line at its state-of-the-art manufacturing plant in Tapukara - Rajasthan, making it the 2 millionth Honda car made in India.</t>
    <phoneticPr fontId="1"/>
  </si>
  <si>
    <t>https://www.marklines.com/en/global/1173</t>
    <phoneticPr fontId="1"/>
  </si>
  <si>
    <t>Rajasthan</t>
  </si>
  <si>
    <t>https://www.marklines.com/en/global/1279</t>
    <phoneticPr fontId="1"/>
  </si>
  <si>
    <t>On November 7, Jeep India announced the start of production of the 5th generation Grand Cherokee at its manufacturing facility in Ranjangaon, Pune making it the Jeep's fourth model to be made in India. The company has opened bookings for the Jeep Grand Cherokee on the Jeep India website and at select Jeep dealerships across the country. The SUV will go on display in showrooms soon while deliveries will start by the end of the month.</t>
    <phoneticPr fontId="1"/>
  </si>
  <si>
    <t>https://www.marklines.com/en/global/3121</t>
    <phoneticPr fontId="1"/>
  </si>
  <si>
    <t>On November 7, Honda Motor Co. unveiled the fourth-generation 2023 Pilot mid-size SUV as the company’s largest and most powerful SUV ever. Compared to its predecessor, the 2023 Pilot is 3.4 inches longer overall and has a 2.8-inch longer wheelbase. The Honda Pilot features a new engine manufactured at Honda’s plant in Lincoln, Alabama. The powertrain comprises of a DOHC 3.5-liter V6 combined with a 10-speed automatic transmission, generating 285 hp and 262 lb-ft of torque. The 2023 Honda Pilot will be manufactured at Honda’s assembly plant in Lincoln, Alabama, U.S. The Pilot will go on sale in December.</t>
    <phoneticPr fontId="1"/>
  </si>
  <si>
    <t>https://www.marklines.com/en/global/2045</t>
    <phoneticPr fontId="1"/>
  </si>
  <si>
    <t>On November 3, Vietnam Automotive Industry Development Co., Ltd (VAD) officially launched the all-new Nissan Kicks e-POWER in Vietnam. Designed to be energetic and modern, the model with the 2nd Generation e-POWER technology, imported directly from Thailand, will be available in Vietnam in 2 variants, the Kicks e-POWER E and Kicks e-POWER V.</t>
    <phoneticPr fontId="1"/>
  </si>
  <si>
    <t>On November 3, Kia officially launched the 5th generation of the Sportage compact SUV in China, which is based on the 3rd generation of Kia’s i-GMP platform. For the powertrain, the new vehicle has three sets of powertrains of 1.5T (maximum power 200Ps and peak torque 253Nm) + 8AT, 2.0T (maximum power 236Ps and peak torque 353Nm) + 8AT, and 2.0L HEV (maximum power 150Ps and peak torque 186Nm) + 6AT, of which the 1.5T + 8AT version features the 4th generation of Kia’s proprietary CVVD technology. The vehicle’s drive mode is FWD. The minimum fuel consumption is 5.60L/100km under the WLTC comprehensive standard. In terms of configuration, the new vehicle features LFA (Lane Following Assist) system and front and rear parking radars as standard, with some models featuring dual SVM 360-degree panoramic view, RCCA (Rear Cross-Traffic Collision-Avoidance Assist) system, and OTA upgrades.</t>
    <phoneticPr fontId="1"/>
  </si>
  <si>
    <t>On November 3, according to a GAC Aion official press release and multiple press releases, GAC Aion’s AEP3.0 dedicated high-end battery electric platform was officially launched and put into mass production, with models of the Hyper series to feature it first. The AEP3.0 inherits the AEP2.0’s three advantages of long range, large space and high security and has comprehensive upgrades including an energy consumption reduction of 15%, a range improvement of 10% at low temperatures, and a parts commonality rate of 78%. The AEP3.0 draws on the supercar body layout of low center of gravity and light weight to achieve track-level RWD and support extended 4WD. The installed AION Intelligence Chassis System (AICS) can dynamically control the torque, braking and suspension based on parameters including wheel speed and steering angle. In addition, with the proprietary X-pin flat wire technology and intelligent multi-mode gearshift system, the AEP3.0 achieves respective 0 to 100km/h acceleration times of 4.9s and 1.9s for a single motor and multiple motors as well as a maximum speed of 300km/h.</t>
    <phoneticPr fontId="1"/>
  </si>
  <si>
    <t>https://www.marklines.com/en/global/3621</t>
    <phoneticPr fontId="1"/>
  </si>
  <si>
    <t>On November 3, Buick announced the official launch of the Century, the brand’s all-new flagship MPV. It will be manufactured at the Jiaoqiao plant in Shanghai. The Century was developed on an all-new large MPV architecture. The Century is powered by the eighth-generation Ecotec 2.0T turbocharged engine paired with a nine-speed HYDRA-MATIC intelligent transmission and 48V mild-hybrid system. It delivers 174kW of maximum power and 350 Nm of maximum torque. It is equipped with Qualcomm Snapdragon 8155 flagship chips, an all-new virtual cockpit system eConnect and eCruise Pro, as standard.</t>
    <phoneticPr fontId="1"/>
  </si>
  <si>
    <t>Lamborghini</t>
    <phoneticPr fontId="1"/>
  </si>
  <si>
    <t>https://www.marklines.com/en/global/1357</t>
    <phoneticPr fontId="1"/>
  </si>
  <si>
    <t>On November 7, Automobili Lamborghini bid farewell to the "pure" V12 combustion engine in anticipation of the landmark transformation phase due to start next year with the hybridization of the entire range by 2024. A final farewell to the pure combustion engine will be made at the end of the year at Art Basel in Miami with an all-terrain version of the Huracán. Automobili Lamborghini has an order portfolio that already covers the first quarter of 2024, and this allows it to work with peace of mind, looking thoughtfully ahead to the challenges facing in the future, such as the first step towards hybridization from 2023.</t>
    <phoneticPr fontId="1"/>
  </si>
  <si>
    <t>On November 5, UzAuto Motors rolled out its four millionth car. The four millionth car is a domestic crossover Chevrolet Tracker, which began production at the Asaka plant in July of this year. It took 22 years to reach the previous three millionth car. It took only 4 years to reach four million. In 2023, the company has set a goal of producing 500,000 cars, and then this figure will increase to 1,000,000. Ahead of it is the production of the most anticipated Chevrolet Onix car and further expansion in the countries of Central Asia.</t>
    <phoneticPr fontId="1"/>
  </si>
  <si>
    <t>https://www.marklines.com/en/global/285</t>
    <phoneticPr fontId="1"/>
  </si>
  <si>
    <t>On November 3, Wuling Motors officially launched its first hybrid vehicle in Indonesia, the Almaz Hybrid, which was previously showcased at the Indonesia Electric Motor Show (IEMS) 2022 event. The Almaz Hybrid carries a 2,000-cc petrol engine, a competent electric motor, and is supported by a 1.8 kWh battery. Dedicated Hybrid Transmission (DHT) technology was also developed specifically.</t>
    <phoneticPr fontId="1"/>
  </si>
  <si>
    <t>https://www.marklines.com/en/global/10357</t>
    <phoneticPr fontId="1"/>
  </si>
  <si>
    <t>According to multiple press releases dated November 3, two Nio plants in Hefei, Anhui, which were previously shut down due to COVID-19 prevention and control measures, have now resumed production.</t>
    <phoneticPr fontId="1"/>
  </si>
  <si>
    <t>https://www.marklines.com/en/global/10444</t>
    <phoneticPr fontId="1"/>
  </si>
  <si>
    <t>Livan</t>
    <phoneticPr fontId="1"/>
  </si>
  <si>
    <t>https://www.marklines.com/en/global/10480</t>
    <phoneticPr fontId="1"/>
  </si>
  <si>
    <t>On November 2, the first unit of the Livan 9, Livan Automobile’s first battery swappable SUV, rolled off the line at the Chongqing plant.</t>
    <phoneticPr fontId="1"/>
  </si>
  <si>
    <t>On November 1, Irizar presented four latest generation vehicles: the new Irizar i6S Efficient, an Irizar i8, an Irizar i4, and the Irizar ie tram electric bus at the Euro Bus Expo 2022. This is the first time Irizar is showing to the UK market those vehicles focused on efficiency, making the brand a leader in the sustainable mobility sector. The Irizar ie tram presented at the fair is one of the 20 buses that Irizar e-mobility will supply to Go Ahead London, together with the charging infrastructure to electrify route 358 in south London, the first ultra-fast opportunity charging route in the capital. In addition, Irizar will also have on the stand the first light weighted Irizar i4 with 71 seats and PSVAR compliance; and the first mirrorless Irizar i8, 14 meters long, with a seating capacity of 50 seats.</t>
    <phoneticPr fontId="1"/>
  </si>
  <si>
    <t>On November 1, Zeekr officially launched the ZEEKR 009 new large 6-seater battery electric MPV. For the powertrain, the new vehicle features an AWD drive system with dual permanent-magnet synchronous motors with a maximum power of 400kW, a peak torque of 686Nm and a maximum efficiency of 98.5%. The installed battery is the CTP3.0 ternary lithium Qilin battery with a capacity of 116kWh or 140kWh. The vehicle has a maximum range of 822km (reference value) under the CLTC comprehensive standard and a 0 to 100km/h acceleration time of 4.5s (reference value). In terms of configuration, the new vehicle features the ZEEKR AD basic intelligent driving assistance system with LCC and ACC, a Snapdragon 8155 chip, OTA upgrading for the whole vehicle, two 7nm process Mobileye EyeQ5H high-performance chips, and the Falcon Eye Vidar system, which can realize NZP autonomous pilot assisted driving.</t>
    <phoneticPr fontId="1"/>
  </si>
  <si>
    <t>https://www.marklines.com/en/global/10449</t>
    <phoneticPr fontId="1"/>
  </si>
  <si>
    <t>On October 28, Maruti Suzuki announced that it can add about 100,000 capacity on a short-term basis in Manesar to meet intermediate demand. As per the company, the upgrade in Manesar might come by April 2024 and in Kharkhoda in the subsequent year. The company is not looking at any kind of reduction in Gurgaon and in the shorter term they might have to increase production in Gurgaon. It further mentioned that they have about 2.25 million capacity at Haryana plus Gujarat and production at the Toyota plant in Karnataka is over and above this. They are in process of working on the Kharkhoda plant, which will be up and running in the year 2025. Their first plant should be commissioned by the first quarter of calendar 2025 and further, they mentioned that they have to start thinking about the second plant if demand growth continues in India.</t>
    <phoneticPr fontId="1"/>
  </si>
  <si>
    <t>https://www.marklines.com/en/global/1287</t>
    <phoneticPr fontId="1"/>
  </si>
  <si>
    <t>On October 27, Neta Auto signed a cooperation agreement with NVIDIA, an AI chip enterprise, at its plant in Tongxiang, Zhejiang to equip subsequent Neta models with the NVIDIA DRIVE Orin chip. Adopting a new GPU and a 12-core ARM, the NVIDIA DRIVE Orin chip has a computing power of 254Tops per chip (254 trillion operations per second) and a typical power consumption of 45W. Additionally, Neta Auto plans to equip its XPC central computing platform with the DRIVE Thor chip. Neta Auto is developing a new generation of central computing EE architecture-based core technology and models currently, and will cooperate with NVIDIA on the central supercomputing platform under the EE architecture in the future.</t>
    <phoneticPr fontId="1"/>
  </si>
  <si>
    <t>https://www.marklines.com/en/global/3141</t>
    <phoneticPr fontId="1"/>
  </si>
  <si>
    <t>On November 4, Genesis held the North American debut of the Electrified GV70 in Los Angeles. The Electrified GV70 is expected to start production in December at the company’s Montgomery, Alabama manufacturing facility. It is the first Genesis model to be built in the U.S. and the first-ever Genesis production to take place outside of South Korea.</t>
    <phoneticPr fontId="1"/>
  </si>
  <si>
    <t>https://www.marklines.com/en/global/2517</t>
    <phoneticPr fontId="1"/>
  </si>
  <si>
    <t>Missouri</t>
  </si>
  <si>
    <t>On November 4, American Axle &amp; Manufacturing (AAM) announced it has been selected as the new axle supplier for GM's next-gen 2023 Chevrolet Colorado and GMC Canyon pickups. The new vehicles, assembled at GM’s Wentzville Assembly Plant, will debut for model year 2023. Axles supporting this truck program will be built at AAM's Three Rivers Manufacturing Facility in Michigan.</t>
    <phoneticPr fontId="1"/>
  </si>
  <si>
    <t>On November 3, Nikola Corp. reported that on its revenues of USD 24.2 million for Q3, it had a net loss of USD 236.2 million. It has completed six Tre FCEV beta trucks in Q3 and expects to complete 17 beta trucks for the full year by the end of Q4. It produced 75 Nikola Tre BEVs in the U.S., delivering 63 of those. At its Coolidge, Arizona plant it is currently producing three trucks on one shift and has the capability to produce five trucks per shift. Upon completing the Phase 2 assembly expansion by the end of Q1 2023, its production capacity will be up to 20,000 units per year, producing the BEV and FCEV on the same line, in addition to the Bosch Fuel Cell Power Module.</t>
    <phoneticPr fontId="1"/>
  </si>
  <si>
    <t>On October 31, the United Auto Workers (UAW) announced that it has filed a petition for election with the National Labor Relations Board (NLRB) in an effort to gain official representation for the 900 workers at the recently opened GM Ultium Cells plant in Warren, Ohio. The Ohio plant is the first of four Ultium Cells facilities, with others under construction in Spring Hill, Tennessee, and Lansing, Michigan, and a fourth plant, which may be built in Indiana.</t>
    <phoneticPr fontId="1"/>
  </si>
  <si>
    <t>https://www.marklines.com/en/global/3215</t>
    <phoneticPr fontId="1"/>
  </si>
  <si>
    <t>On November 17, Subaru of America revealed to the world the all-new 2024 Impreza at the 2022 Los Angeles Auto Show. The sixth-generation 2024 Impreza will be available exclusively as a 5-door hatchback when it arrives in U.S. retailers in spring 2023.The Impreza is built at the company’s plant in Lafayette, Indiana. Base and Sport trims are equipped with a 2.0-liter 4-cylinder BOXER engine, while the new RS has a 2.5-liter BOXER engine.</t>
    <phoneticPr fontId="1"/>
  </si>
  <si>
    <t>https://www.marklines.com/en/global/10366</t>
    <phoneticPr fontId="1"/>
  </si>
  <si>
    <t>On November 16, Sazgar Engineering, Pakistan announced that they have successfully assembled and locally manufactured the first hybrid electric vehicle under the Haval brand. The H6 is built on Haval Great Wall Motors' latest global platform which is called 'L.E.M.O.N' – for lightweight, electrification, multi-purpose, Omni-protection, and network.</t>
    <phoneticPr fontId="1"/>
  </si>
  <si>
    <t>https://www.marklines.com/en/global/8808</t>
    <phoneticPr fontId="1"/>
  </si>
  <si>
    <t>On November 15, GAC Mitsubishi’s Outlander new-generation compact SUV officially rolled off the line at its plant in Changsha, Hunan. For the powertrain, the new vehicle features Mitsubishi’s new-generation 1.5T 4B40 engine and 48V light hybrid system with an increased maximum torque of 280Nm, mated to a new-generation intelligent CVT. The 4WD models feature Mitsubishi’s S-AWC (Super-All Wheel Control) system. In terms of configuration, the new vehicle is equipped with 360-degree HD panoramic view system, and PFCW (Predictive Forward Collision Warning) system.</t>
    <phoneticPr fontId="1"/>
  </si>
  <si>
    <t>On November 15, BYD announced on the Shenzhen Stock Exchange (SZSE) that at the 29th meeting of the 7th Board of Directors and the 13th meeting of the 7th Supervisory Board, it has agreed to terminate the spin-off of BYD Semiconductor, its subsidiary, for listing on the GEM Board of the SZSE and withdraw the relevant listing application documents. According to the announcement, BYD Semiconductor has invested in a power semiconductor capacity construction project in Jinan to expand its wafer capacity. Currently, the Jinan project has been successfully put into production, yet the new wafer capacity is still far from meeting the downstream demand in the face of the continuous growth of the New Energy Vehicle industry. To improve the capacity supply capability and independent controllability as soon as possible, BYD Semiconductor intends to carry out large-scale investment and construction of wafer capacity and further increase large investments, which is expected to have a large impact on its future asset and business structures. After comprehensive consideration of the industry development and future business strategy positioning, BYD finally agreed to terminate the spin-off, and will restart it at a later time when the investments and capacity expansions are completed and conditions are mature. Additionally, the termination of the spin-off will not have a material adverse impact on either BYD’s existing production and operation activities and financial position or its future development strategy.</t>
    <phoneticPr fontId="1"/>
  </si>
  <si>
    <t>On November 11, Skoda announced that VW Group is considering building one of six gigafactories in the Czech Republic to produce battery cells for battery-electric vehicles (BEV). The Pilsen–Líně site is only location in the Czech Republic that would meet the needs of a gigafactory in terms of size, water resources or essential transport infrastructure. If the VW Group confirms the project, it will be the largest private investment in the history of the independent Czech Republic. With the agreement of all stakeholders, construction of the gigafactory would commence in the third quarter of 2024, with production possibly ramping up as early as 2027.</t>
    <phoneticPr fontId="1"/>
  </si>
  <si>
    <t>https://www.marklines.com/en/global/1737</t>
    <phoneticPr fontId="1"/>
  </si>
  <si>
    <t>https://www.marklines.com/en/global/51</t>
    <phoneticPr fontId="1"/>
  </si>
  <si>
    <t>https://www.marklines.com/en/global/503</t>
    <phoneticPr fontId="1"/>
  </si>
  <si>
    <t>Hiroshima</t>
  </si>
  <si>
    <t>On November 2, Mazda Motor Corporation (Mazda) began accepting order reservations for the CX-8, a three-row crossover SUV that has undergone a major product upgrade. The CX-8 is scheduled to go on sale in late December. The upgraded CX-8 features Mazda's latest design changes to the front and rear bumpers, front grille, front and rear lamps, and other components. The front grille now features a sharp, modern block mesh pattern. In addition, the new model has improved comfort by reducing sway in all passenger positions, with the aim of achieving dynamic performance that minimizes fatigue even after long hours of driving. Moreover, the "MAZDA INTELLIGENT DRIVE SELECT" (Mi-DRIVE) allows the driver to switch driving modes at will with the touch of a switch, depending on the driving situation.</t>
    <phoneticPr fontId="1"/>
  </si>
  <si>
    <t>https://www.marklines.com/en/global/465</t>
    <phoneticPr fontId="1"/>
  </si>
  <si>
    <t>According to a Nissan Motor Co., Ltd. (Nissan) announcement and several media reports, Nissan has stopped taking orders for the Sakura, a mini-car type electric vehicle (EV), and the X-Trail, a compact SUV, from the end of October. Sales are strong, but delivery times are lengthening due to shortages of semiconductors. The date for resumption of order-taking is reportedly undecided. </t>
    <phoneticPr fontId="1"/>
  </si>
  <si>
    <t>https://www.marklines.com/en/global/3112</t>
    <phoneticPr fontId="1"/>
  </si>
  <si>
    <t>On November 16, the final Acura NSX Type S was completed at the Performance Manufacturing Center (PMC) in Marysville, Ohio. The highly-skilled associates at the PMC now have begun production of a limited 300-unit run of the 2023 Acura TLX Type S PMC Edition.</t>
    <phoneticPr fontId="1"/>
  </si>
  <si>
    <t>On November 15, the Lucid Group announced new details about Gravity, the first luxury electric SUV from Lucid. Gravity will launch in 2024, with reservations opening in early 2023. Lucid is currently finalizing the vehicle design and specifications, in parallel with continuing the expansion of its AMP-1 factory in Casa Grande, Arizona.</t>
    <phoneticPr fontId="1"/>
  </si>
  <si>
    <t>Karma</t>
    <phoneticPr fontId="1"/>
  </si>
  <si>
    <t>https://www.marklines.com/en/global/3095</t>
    <phoneticPr fontId="1"/>
  </si>
  <si>
    <t>On November 15, Karma Automotive held its first customer handover of production commercial vehicles electrified by Karma under the Powered by Karma brand, which can take existing fleet vehicles and electrify them with a commercial grade powertrain system in days, utilizing Karma's OEM expertise as an automaker. Karma offers products and services that include electric powertrain systems and customized manufacturing at the Karma Innovation and Customization Center (KICC) in Moreno Valley, California.</t>
    <phoneticPr fontId="1"/>
  </si>
  <si>
    <t>https://www.marklines.com/en/global/9570</t>
    <phoneticPr fontId="1"/>
  </si>
  <si>
    <t>According to Great Wall Motor (GWM)’s official account dated November 12, the 46th Baghdad International Fair was held in Iraq from November 2 to 10 local time. GWM participated in the Fair with its Haval, Tank and Poer sub-brands. At the Fair, Tank officially unveiled the Tank 300 compact SUV and planned to launch it in Iraq in the near future. This is the first step for Tank to enter Iraq, and Tank will further explore the Middle East market later.</t>
    <phoneticPr fontId="1"/>
  </si>
  <si>
    <t>Tank</t>
    <phoneticPr fontId="1"/>
  </si>
  <si>
    <t>https://www.marklines.com/en/global/10344</t>
    <phoneticPr fontId="1"/>
  </si>
  <si>
    <t>On November 11, JMEV officially launched the Xiaoqilin all-new 5-door 4-seater battery electric microcar, which, based on JMEV’s pure electric platform. For the powertrain, the new vehicle features a permanent-magnet synchronous motor with a maximum power of 26kW and a peak torque of 84Nm as well as a 15.86kWh Sunwoda lithium iron phosphate battery with a maximum range of 175km. In terms of configuration, the new vehicle features ABS, EBD and HSA.</t>
    <phoneticPr fontId="1"/>
  </si>
  <si>
    <t>https://www.marklines.com/en/global/3373</t>
    <phoneticPr fontId="1"/>
  </si>
  <si>
    <t>On November 11, the signing ceremony of BMW’s new power battery project was held in Shenyang, Liaoning. According to the agreement, BMW’s Shenyang production site will undergo a large-scale expansion of power battery production. The project will be invested by BMW Brilliance with some CNY 10 billion in total. Located in the Sino-German (Shenyang) High-end Equipment Manufacturing Industrial Park of the Shenyang Economic and Technological Development Zone, the project follows the BMW iFACTORY production strategy and focuses on digitalization and sustainability. The project will significantly increase BMW’s local production capacity and production scale of power batteries, promote BMW’s electrification and further advance the implementation of BMW Group’s latest technologies in China.</t>
    <phoneticPr fontId="1"/>
  </si>
  <si>
    <t>https://www.marklines.com/en/global/8952</t>
    <phoneticPr fontId="1"/>
  </si>
  <si>
    <t>On November 10, Farizon officially shipped its E200S mini-trucks from the Shenzhen Port of Guangdong Province to Chile. This is the second batch of mass exports to South America after that to Costa Rica in June 2022. The export to Chile is a renewed partnership between Farizon and Voltera. In the future, Farizon will continue to expand its overseas strategic structure and open up new energy commercial vehicle markets in South America and other countries around the world.</t>
    <phoneticPr fontId="1"/>
  </si>
  <si>
    <t>https://www.marklines.com/en/global/3539</t>
    <phoneticPr fontId="1"/>
  </si>
  <si>
    <t>On November 10, Changan Auto commenced the presale of the new Pioneer pickup truck. For the powertrain, the diesel-powered model features a 2.0L HYCET (a Great Wall Motor subsidiary) GW4D20M engine (maximum power 120kW and peak torque 400Nm), mated to a 6MT transmission, and has a drive mode of 2WD or 4WD. The gasoline-powered model features a 2.0L Blue Whale high-pressure direct injection engine (maximum power 171kW and peak torque 390Nm), mated to a 6MT or ZF 8AT transmission, and has a drive mode of 2WD or 4WD. In terms of configuration, the new vehicle is equipped with Changan’s new-generation in-vehicle system for pickup trucks. Some models are equipped with a transparent chassis or 540-degree view system, HDC (Hill Descent Control) and AYC (Active Yaw Control).</t>
    <phoneticPr fontId="1"/>
  </si>
  <si>
    <t>https://www.marklines.com/en/global/4307</t>
    <phoneticPr fontId="1"/>
  </si>
  <si>
    <t>On November 10, Denza exhibited the Denza D9 mid-to-large-sized MPV and the Inception mid-sized battery electric concept SUV at the China (Tianjin) International Automobile Exhibition 2022 held at the National Convention &amp; Exhibition Center (Tianjin).</t>
    <phoneticPr fontId="1"/>
  </si>
  <si>
    <t>On November 9, according to multiple press releases, the Baoji Municipal Government of Shaanxi Province and BYD held signing ceremonies for strategic cooperation and the New Energy Vehicle (NEV) parts production site project. According to the agreement, BYD will invest in the construction of NEV parts production site in Fufeng County, Baoji City, with the 1st phase covering the construction of production lines of NEV parts that include vehicle wiring harnesses, shock absorbers, sunroofs, seat covers and power battery-related components. The project will be located in the Fufeng Emerging Industrial Park, which has a planned area of 6 square kilometers and is located in the southern section of the new area of Fufeng County.</t>
    <phoneticPr fontId="1"/>
  </si>
  <si>
    <t>On November 8, GAC Trumpchi officially launched the M8 Master series new-generation mid-to-large-sized MPV. For the powertrain, the ICE model is equipped with a 2.0TGDI engine with a maximum power of 185kW and a peak torque of 400Nm mated to an Aisin 8-speed transmission, yielding a fuel consumption of 8.95L/100km under the WLTC standard. The hybrid model is equipped with a 2.0TM engine with a maximum power of 140kW, a peak torque of 330Nm and a thermal efficiency of over 40% as well as an electric motor with a maximum power of 134kW and a peak torque of 270Nm mated to Toyota’s 4th-generation THS (E-CVT), yielding a fuel consumption of 5.91L/100km under the WLTC standard. The new vehicle features Level 2 ADiGO Pilot assisted driving system, OTA online upgrade and DMS driver fatigue detection system.</t>
    <phoneticPr fontId="1"/>
  </si>
  <si>
    <t>On November 15, Thanh Cong Group (TC Group) and Hyundai Motor Group officially inaugurated Hyundai Thanh Cong Vietnam Factory No. 2 (HTMV2) at Gian Khau Industrial Park, Gia Vien District, Ninh Province. Spanning over 50-ha, HTMV2 owns a factory area of 87,000 sqm and test track length of 1.5 km. It has a total designed annual capacity of 100,000 vehicles, and when combined with factory No. 1, the total production capacity of Hyundai cars will reach 180,000 vehicles per year, making the Hyundai Thanh Cong Vietnam joint venture the largest car maker in the region. Highlights of the Factory No.2 include the welding workshop with equipment from Obara and robots from Hyundai Robotic, the robotic painting workshop designed by KOTEC Korea with 3C1B method, the real-time quality management assembly workshop, etc.</t>
    <phoneticPr fontId="1"/>
  </si>
  <si>
    <t>On November 15, the Lucid Group unveiled its production-specification Lucid Air Pure and Air Touring and delivered the first Air Touring to a customer. Lucid Air Pure is launching with a dual-motor, all-wheel drive version with a solid aluminum roof that begins production in December at the Casa Grande plant, with customer deliveries expected before the end of 2022. Lucid Air Touring will also be available with a standard solid aluminum roof, as well as optional Glass Canopy.</t>
    <phoneticPr fontId="1"/>
  </si>
  <si>
    <t>https://www.marklines.com/en/global/1561</t>
    <phoneticPr fontId="1"/>
  </si>
  <si>
    <t>On November 11, Ford officially launched production of the new-generation Ranger pickup at the Silverton Assembly Plant in South Africa, joining two plants in Thailand. Operations in Vietnam and Cambodia also started to build the pickup, with plants in the U.S. and Argentina starting production of the new-gen Ranger in 2023. Ford launched Ranger production in South Africa in 2011, Ford built 873,751 P375-generation Rangers, of which over 270,000 were delivered to local South African customers, at Silverton since 2011.</t>
    <phoneticPr fontId="1"/>
  </si>
  <si>
    <t>https://www.marklines.com/en/global/2569</t>
    <phoneticPr fontId="1"/>
  </si>
  <si>
    <t>https://www.marklines.com/en/global/615</t>
    <phoneticPr fontId="1"/>
  </si>
  <si>
    <t>https://www.marklines.com/en/global/10495</t>
    <phoneticPr fontId="1"/>
  </si>
  <si>
    <t>On November 15, the BMW Group concluded further agreements for the supply of CO2-reduced steel in the USA and China. For the Americas region, it has partnered with Steel Dynamics (SDI) and Big River Steel, a U. S. Steel facility, to use renewable energy sources in their local steel production. In the US and Mexico, about half of the BMW Group's flat steel requirements are supplied by the electric arc furnace (EAF) steelmaking process, which relies on electrical energy to melt down iron and steel scrap. The CO2-reduced steel is then used at BMW Group Plants Spartanburg and San Luis Potosí to create car bodies for BMW vehicles. Due to its material properties, steel from electric arc furnaces is particularly suitable for use in structural components such as the underbody. In China, the BMW Group already signed an agreement with HBIS Group, which will supply the BMW Group plants in Shenyang with CO2-reduced steel from 2023. The HBIS Group is gradually transitioning to a hydrogen-based method in combination with electric arc furnace steelmaking to enable further CO2 savings from 2026.</t>
    <phoneticPr fontId="1"/>
  </si>
  <si>
    <t>https://www.marklines.com/en/global/9255</t>
    <phoneticPr fontId="1"/>
  </si>
  <si>
    <t>https://www.marklines.com/en/global/3377</t>
    <phoneticPr fontId="1"/>
  </si>
  <si>
    <t>https://www.marklines.com/en/global/3375</t>
    <phoneticPr fontId="1"/>
  </si>
  <si>
    <t>https://www.marklines.com/en/global/9602</t>
    <phoneticPr fontId="1"/>
  </si>
  <si>
    <t>On November 15, multiple sources reported that the Motorinvest enterprise, which produces Evolute electric cars in the Lipetsk region, produced more than 380 electric cars as of November 11 this year. The production plan of the Motorinvest plant provides for the production of 3,000 electric vehicles in 2022. In 2023, the company plans to produce up to 15,000 electric vehicles. At present, it is manufacturing only the Evolute I-Pro sedan. Until the end of 2022, the I-Joy crossover and the I-Van minivan will appear in the Evolute lineup.</t>
    <phoneticPr fontId="1"/>
  </si>
  <si>
    <t>On November 14, BMW announced the opening of the new USD 25 million Vehicle Accessories Center in Greer, South Carolina which will enable the company to “factory install” a range of vehicle accessories on BMW vehicles built nearby at Plant Spartanburg prior to the vehicles being delivered to dealers. </t>
    <phoneticPr fontId="1"/>
  </si>
  <si>
    <t>Faraday Future</t>
    <phoneticPr fontId="1"/>
  </si>
  <si>
    <t>https://www.marklines.com/en/global/9603</t>
    <phoneticPr fontId="1"/>
  </si>
  <si>
    <t>On November 14, Faraday Future Intelligent Electric Inc. announced that it has reached an agreement for a new USD 200-350 million standby equity line of credit (ELOC) with an affiliate of Yorkville Advisors Global, LP. The ELOC will significantly improve Faraday Future’s financial flexibility and advance its progress toward launching the FF 91 EV from its manufacturing plant in Hanford, California.</t>
    <phoneticPr fontId="1"/>
  </si>
  <si>
    <t>On November 13, workers at Mercedes-Benz plant in in São Bernardo do Campo approved a proposal to reduce the impact of outsourcing part of its operations announced in September. The agreement provides for a Voluntary Dismissal Plan (PDV) for all 3,600 factory employees, in addition to retraining these workers, with the possibility to be rehired if production volumes grow. Mercedes-Benz will be outsourcing of some processes at the plant, including production of front axles and medium transmission, as well as logistics, maintenance and tooling services.</t>
    <phoneticPr fontId="1"/>
  </si>
  <si>
    <t>https://www.marklines.com/en/global/10548</t>
    <phoneticPr fontId="1"/>
  </si>
  <si>
    <t>On November 11, CARIAD announced that, on the VW.AC - the Volkswagen Automotive Cloud, it is offering developers a toolkit as a kind of middleware between their development work and the vehicle. By removing the need for in-depth knowledge of specific vehicles and platforms, CARIAD is also opening up the possibility for third-party developers to build apps and functions for use in Volkswagen Group vehicles. With over-the-air updates via VW.AC, allows CARIAD to achieve faster development cycles. It has already reduced development time from one and a half years down to just 12 weeks. VW.AC is available in all regions and for all brands. CARIAD is working on putting the cloud platforms for vehicles on the MEB and MQB platforms on a uniform technical basis. After that, it will synchronize with the new systems that will be used for the next generations of vehicles.</t>
    <phoneticPr fontId="1"/>
  </si>
  <si>
    <t>https://www.marklines.com/en/global/8751</t>
    <phoneticPr fontId="1"/>
  </si>
  <si>
    <t>On November 11, multiple sources reported that Sollers Auto will restart the car plant in Vladivostok in 2023. Sollers Auto will purchase Mazda Motor's stake in the joint venture. The production of a new model line will begin next year. Reductions of workers have not been planned. Sollers continues to pay salaries to employees in full.</t>
    <phoneticPr fontId="1"/>
  </si>
  <si>
    <t>Freightliner</t>
    <phoneticPr fontId="1"/>
  </si>
  <si>
    <t>https://www.marklines.com/en/global/3073</t>
    <phoneticPr fontId="1"/>
  </si>
  <si>
    <t>Oregon</t>
  </si>
  <si>
    <t>On November 11, Daimler Truck North America (DTNA) delivered its first series-produced battery electric Freightliner eCascadia to Sysco Corp.at the DTNA manufacturing plant in Portland, Oregon. The production eCascadia debuts the Detroit ePowertrain, powered by multiple battery and drive axle options that provide a typical range of 155, 220 or 230 miles depending on configuration.</t>
    <phoneticPr fontId="1"/>
  </si>
  <si>
    <t>On November 11, Mazda announced that it has decided to transfer all of its equity interest in MAZDA SOLLERS Manufacturing Rus LLC (MSMR), an automobile manufacturing and sales company in Vladivostok, Russia, to SOLLERS PJSC, its joint venture partner, and signed a transfer agreement on October 24, 2022. Transfer price will be EUR 1. The transfer procedure will be executed as soon as possible after receiving approval from the relevant authorities. Mazda will record an extraordinary loss of approximately JPY 12.0 billion for this transaction. The transfer agreement includes the right for Mazda to repurchase its equity interest in MSMR at the transfer price, which can be exercised over the next three year.</t>
    <phoneticPr fontId="1"/>
  </si>
  <si>
    <t>On November 9, Changan Auto signed equity transfer agreements with shareholders of Changan New Energy. The shareholders are Chongqing Changxin Equity Investment Fund Partnership (L.P.) (Changxin Fund) and Chongqing Liangjiang New Area Chengwei Equity Investment Fund Partnership (L.P.) (Chengwei Fund). According to the agreements, Changan Auto will acquire 7.71% and 2.63% equity interests in Changan New Energy currently held by Changxin Fund and Chengwei Fund, respectively. Upon completion of the transactions, the shareholdings of Changan Auto, Changxin Fund and Chengwei Fund will increase from 40.66% to 51.00%, decrease from 11.08% to 3.37% and decrease from 8.20% to 5.57%, respectively. Changan Auto claimed that upon completion of the transactions, Changan New Energy will become its holding subsidiary and be included in its consolidated financial statements. Changan Auto will strengthen the synergy effect with Changan New Energy in research, production, supply, sales and capital to improve its competitiveness and sustainable profitability and accelerate the strategic goal of intelligent new energy transformation.</t>
    <phoneticPr fontId="1"/>
  </si>
  <si>
    <t>https://www.marklines.com/en/global/9875</t>
    <phoneticPr fontId="1"/>
  </si>
  <si>
    <t>On November 7, the Shanghai Municipal Government, together with the Ministry of Transport (MOT) of China, launched the “Detailed Implementation Rules for the Demonstration Operation of Intelligent Connected Vehicles in Shanghai” and issued the first batch of licenses for the demonstration operation of intelligent connected vehicles in Shanghai at the 5th CIIE - 2nd Intelligent Transportation Forum (Shanghai). Shanghai Utopilot Technology Company (Utopilot), a SAIC Group subsidiary engaged in the science and technology innovation of intelligent driving for commercial vehicles, obtained the first batch of licenses and published the results of its 3-year demonstration operation of intelligent heavy-duty trucks in the Yangshan Port. The company’s in-house developed UTOPILOT advanced intelligent assistance system has achieved mass production on SAIC Maxus’ MIFA 9 battery electric MPV.</t>
    <phoneticPr fontId="1"/>
  </si>
  <si>
    <t>On November 4, Livan Auto announced that the global presales of the Livan 9, its first battery swappable SUV, has commenced. For the powertrain, the new vehicle features a capsule battery and the Super Heat Pump system. In terms of configuration, equipped with ADAS hardware, the new vehicle has over 10 intelligent driving features including Intelligent Navigation, Full Speed Adaptive Cruise Control, Urban Pre-collision Safety, Pedestrian Recognition and Protection, Lane Keeping Assistance and Lane Departure Warning and realizes Level 2 Intelligent Assisted Driving.</t>
    <phoneticPr fontId="1"/>
  </si>
  <si>
    <t>On October 26, VW announced that it will no longer invest in Argo AI. In individual mobility, CARIAD continues to drive development of highly automated and autonomous driving in China together with Horizon Robotics and in the rest of the world with Bosch. CARIAD and Bosch aim to make partially and highly automated driving and the first functions from alliance between Bosch and CARIAD is planned for 2023. The development of autonomous driving is a core component of the Volkswagen NEW AUTO strategy. Within the Group, Volkswagen Commercial Vehicles is responsible for implementing this development specifically for the Mobility and Transportation as a Service (MaaS / TaaS) areas, while the technology company CARIAD is responsible for developing partially and highly automated driving functions (up to SAE Level 4) for the Group's passenger car brands. Volkswagen Commercial Vehicles' goal for autonomous driving remains: In 2025, customers are expected to be able to use MOIA to book the autonomously driving ID. Buzz in Hamburg.</t>
    <phoneticPr fontId="1"/>
  </si>
  <si>
    <t>On October 13, CARIAD and Horizon Robotics, announced a partnership to accelerate the regional development of Advanced Driver Assistance System (ADAS) and Autonomous Driving (AD) systems for the Chinese market. As part of the cooperation, CARIAD and Horizon Robotics plan to also establish a joint venture, with CARIAD being the majority shareholder. Volkswagen Group will overall invest approximately EUR 2.4 billion in cooperation with Horizon Robotics. The transaction is expected to be completed in the first half of 2023. Together CARIAD and Horizon Robotics plan to develop cutting-edge, highly optimized full-stack ADAS/AD solutions for China to drive forward the integration of numerous functions on one chip, increasing the stability of the system, saving costs, and reducing energy consumption. The partnership of CARIAD and Horizon Robotics foresees the formation of a joint venture, in which CARIAD shall hold a 60% stake.</t>
    <phoneticPr fontId="1"/>
  </si>
  <si>
    <t>Otokar</t>
    <phoneticPr fontId="1"/>
  </si>
  <si>
    <t>https://www.marklines.com/en/global/1436</t>
    <phoneticPr fontId="1"/>
  </si>
  <si>
    <t>On November 14, Otokar won the tender for the electric bus of the Romanian Municipality of Mogoşoaia. The delivery of 12-meter, environmentally friendly e-KENTs, which have been tested by public transportation companies and municipalities in many European countries, especially Italy, France, and Spain, will be delivered in 2023. Depending on the topography and usage profile, e-KENT, which can reach a range of more than 300 kilometers on a full charge, offers better vision and comfort for passengers with its large interior volume. It will deliver 12 electric e-KENT buses.</t>
    <phoneticPr fontId="1"/>
  </si>
  <si>
    <t>https://www.marklines.com/en/global/2437</t>
    <phoneticPr fontId="1"/>
  </si>
  <si>
    <t>On November 14, Hyundai Europe announced that ahead of the official launch of the IONIQ 6 at the end of 2022 and the beginning of 2023, pre-sales of the First Edition model started on November 9, 2022, in Hyundai's key EV markets – Germany, the UK, France, Norway, and the Netherlands. Within less than 24 hours, the 2,500 exclusively limited units of IONIQ 6 First Edition were sold out. Customers who could secure this exclusive edition online will obtain their vehicle between March and April 2023.</t>
    <phoneticPr fontId="1"/>
  </si>
  <si>
    <t>Mahindra &amp; Mahindra</t>
    <phoneticPr fontId="1"/>
  </si>
  <si>
    <t>Mahindra</t>
    <phoneticPr fontId="1"/>
  </si>
  <si>
    <t>https://www.marklines.com/en/global/1209</t>
    <phoneticPr fontId="1"/>
  </si>
  <si>
    <t>Telangana</t>
  </si>
  <si>
    <t>On November 11, Mahindra Auto announced its per-month capacity plans for its passenger vehicles. The company announced that its Thar family would have an exit capacity of 4,000 vehicles per month by Q4 2022 ending March, will reach 6,000 by Q4 FY 2023, remain at 6,000 till Q4 FY 2024, and will further add capacity in H1 F2025. The XUV 300 and XUV 400 will have an exit capacity of 5,000 vehicles per month by Q4 2022, will reach 7,500 by Q4 FY 2023, remain at 9,500 till Q3 FY 2024 and they will further add capacity in H1 F2025. The XUV 700 on the other hand, will have an exit capacity of 6,000 vehicles per month by Q4 2022, will remain at 6,000 by Q4 FY 2023, and will expand to 10,000 by Q3 FY 2024. However, the monthly capacity of the Bolero family and Scorpio Classic (including IO PU) will remain at 9,500 vehicles and 5,500 vehicles for the coming period. However, for Scorpio-N, the company plans to increase its to 6,000 vehicles by Q4 FY 2023 and 10,000 by Q4 FY 2024. The company's overall capacity by Q4 FY 2022 will be 29,000 and will reach 39,000 by Q4 FY 2023 and 49,000 by Q4 FY 2024.</t>
    <phoneticPr fontId="1"/>
  </si>
  <si>
    <t>https://www.marklines.com/en/global/1203</t>
    <phoneticPr fontId="1"/>
  </si>
  <si>
    <t>https://www.marklines.com/en/global/1201</t>
    <phoneticPr fontId="1"/>
  </si>
  <si>
    <t>https://www.marklines.com/en/global/1211</t>
    <phoneticPr fontId="1"/>
  </si>
  <si>
    <t>https://www.marklines.com/en/global/1205</t>
    <phoneticPr fontId="1"/>
  </si>
  <si>
    <t>On November 11, multiple sources reported that the Head of the Ministry of Industry and Trade of the Russian Federation stated that the ministry is not discussing a transfer of Toyota's assets to the NAMI Central Research and Development Automobile and Engine Institute, a federal state unitary enterprise. The Ministry of Industry and Trade noted that the ministry and city authorities are working on possible scenarios for the development of this site.</t>
    <phoneticPr fontId="1"/>
  </si>
  <si>
    <t>Ou Ling</t>
    <phoneticPr fontId="1"/>
  </si>
  <si>
    <t>https://www.marklines.com/en/global/3681</t>
    <phoneticPr fontId="1"/>
  </si>
  <si>
    <t>On November 9, Radar Auto officially launched its first product, the Radar RD6 new battery electric pickup truck. The new vehicle is built with the M.A.P pure electric platform. The platform adopts new outdoor battery, motor and controller systems, which can be adapted to single-motor or dual-motor drives, with a maximum power of 400kW and a peak torque of 768Nm. Products based on the platform have a 0 to 100km/h acceleration time of as fast as 4 seconds. The vehicles can be equipped with a 140kWh battery pack, with a range of over 800km, a maximum discharge power of 15kW, a carrying capacity of 800kg, and a maximum towing capacity of 3,000kg. Additionally, the platform, based on Geely Holding Group’s in-house developed chips and cloud computing technologies, can provide a one-stop solution for building an outdoor intelligent IoT ecology. For the powertrain, the new vehicle features a 200kW high-performance permanent-magnet synchronous motor and a 63kWh lithium iron phosphate or 86kWh/100kWh ternary lithium battery. The ranges under the CLTC standard (reference values) are 400km, 550km and 632km, respectively, and the fastest 0 to 100km/h acceleration time is 6.9s. In terms of configuration, the new vehicle has 12 Level 2+ Intelligent Assisted Driving systems, a discharge power of 6kW, the Galaxy OS intelligent ecosystem. Moreover, Radar Auto will build outdoor life-based richer product lineups, including mid-sized battery electric pickup trucks, mid-to-large-sized new energy pickup trucks, full-size battery electric pickup trucks and full-size new energy off-road vehicles.</t>
    <phoneticPr fontId="1"/>
  </si>
  <si>
    <t>On November 8, XPeng AeroHT, XPeng’s flying car subsidiary, held a signing ceremony for strategic cooperation between banks and enterprises at its headquarters in Guangzhou. At the ceremony, four banks, including the Agricultural Bank of China Guangdong Branch, jointly provided a total credit line of CNY 6 billion to XPeng AeroHT to support the R&amp;D and future manufacturing of the company’s flying cars. Previously, at the XPeng Tech Day held on October 24, XPeng AeroHT released the latest development progress of the world’s first electric vertical take-off and landing flying car (internally codenamed the X3), involving the product configuration and a video of the successful test flight of the prototype.</t>
    <phoneticPr fontId="1"/>
  </si>
  <si>
    <t>On November 7, Geely’s Geometry Auto sub-brand announced the official launch of the G6 and M6 electric models. For the powertrain, G6 and M6 adopts a 3-in-1 electric drive system, with a maximum motor power of 150kW and a peak motor torque of 310Nm, mated to a 53kWh or 70kWh battery. In terms of standard configuration, the G6 and M6 feature a Level 2 Intelligent Driving Assistance system.</t>
    <phoneticPr fontId="1"/>
  </si>
  <si>
    <t>On November 7, Farizon, Geely New Energy Commercial Vehicles Group’s sub-brand, held a brand day event. At the event, Farizon launched the Homtruck cockpit-less heavy-duty truck and the SuperVAN for urban scenarios. The Homtruck cockpit-less heavy-duty truck will be first put on trial in ports in 2023, and will gradually cover logistics parks, mine lots and trunk lines. The new truck is Geely’s first cockpit-less vehicle and features Level 4 Autonomous Driving technology. The SuperVAN is built with Farizon’s GMA drive-by-wire intelligent architecture and adopts a modular design that realizes free variation of wheelbase and front and rear overhangs as well as free matching of powertrain, braking system, suspension system and steering system. The battery electric model of the SuperVAN will be launched first, with battery swappable, Leishen hybrid and methanol-powered extended-range models to be launched in the future. The SuperVAN is expected to be delivered in small batches for trial in H2 2023 and in bulk in H1 2024, and will gradually be sold globally. In the future, the SuperVAN’s electronic and electrical architecture can be easily iterated to the next-generation central supercomputing architecture platform, which, with the support of new 5G intelligent terminals and satellite communication, can deliver a more intelligent digital cockpit interaction experience and higher-order autonomous driving features. In addition, with the SuperVAN as the starting point, Farizon will explore the recycled remanufacturing of parts and the application of bio-based eco-friendly plastics. Farizon is accelerating its overseas business structure, with a range of new energy products exported to the regions of the Asia Pacific, South America and the Middle East that include Korea, Israel, Japan, the Netherlands, New Zealand and Denmark, and will strategically and comprehensively enter Europe and gradually establish and improve an overseas product compliance development system, localized R&amp;D centers, core KD plants and localized operating companies in the future to strive to achieve the goal of being the champion exporter of new energy commercial vehicles by 2027.</t>
    <phoneticPr fontId="1"/>
  </si>
  <si>
    <t>https://www.marklines.com/en/global/2935</t>
    <phoneticPr fontId="1"/>
  </si>
  <si>
    <t>On November 11, Volkswagen presented the compact Polo Track, which will replace the VW Gol, which will be discontinued at the end of 2022. To consolidate production costs in Taubaté, which from January 2023 onwards will only produce the Polo Track on the MQB platform. Taubaté currently operates in three shifts with around 2,900 employees, and is ready to produce the Polo Track now, at least in low volumes.</t>
    <phoneticPr fontId="1"/>
  </si>
  <si>
    <t>On November 25, Ebusco announced that it has received confirmation that the option of 76 Ebusco 3.0 18-meter buses for Métropole Rouen Normandie is converted into a fixed order. Out of the 76 buses, 28 will be delivered by the end of 2023. The remaining 48 buses will be delivered in 2024 and 2025. The large battery pack, combined with the lightweight design, ensures low energy consumption and therefore an extra-long range that is needed for successful BRT transport.</t>
    <phoneticPr fontId="1"/>
  </si>
  <si>
    <t>On November 25, Toyota Kirloskar Motor unveiled the Innova HyCross based on the new global architecture (TNGA). The new Innova HyCross is powered by a 5th generation self-charging strong hybrid electric system with TNGA 2.0 Litre 4-cylinder gasoline engine and a monocoque frame with an e-drive sequential shift delivering a max power output of 137 kW (186 PS), providing rapid acceleration and best in segment fuel economy of 21.1 km/l.</t>
    <phoneticPr fontId="1"/>
  </si>
  <si>
    <t>On November 24, EAS Batteries supported the BMW Group's "Battery Cell Competence Center" in the development of its first cylindrical battery cells. The round cells have a diameter of 46 millimeters and are used for the purely electric drive of future BMW models. EAS Batteries provided BMW with both mechanical and electrochemical support so that BMW could decide on the design and cell chemistry of the new cell at an early stage and define the corresponding processes on time. BMW will continue to rely on the technology partnership with EAS in the future.</t>
    <phoneticPr fontId="1"/>
  </si>
  <si>
    <t>https://www.marklines.com/en/global/2243</t>
    <phoneticPr fontId="1"/>
  </si>
  <si>
    <t>On November 24, Mercedes-Benz Trucks announced that it has set the ambitious goal of 100% electrification of delivery traffic to its largest truck plant (Wörth plant) by the end of 2026, making a significant part of direct supply chain CO2-neutral. Several freight forwarders will be participating in the pilot phase, which is scheduled for implementation in 2023. In the pilot phase electrically powered Mercedes-Benz eActros 300 tractors will be utilized. Later, the eActros LongHaul and other models will be added. It is also planning to set up a charging infrastructure in the Wörth plant, which will be available to both suppliers and the company's vehicles. Approximately 50 charging columns, including megawatt charging stations, are planned at key points for delivery traffic near production at the Wörth plant.</t>
    <phoneticPr fontId="1"/>
  </si>
  <si>
    <t>On November 24, Nissan announced that it has formally completed the sale of its Russian legal entity to NAMI, the Central Research and Development Automobile and Engine Institute. As previously announced, the sale includes all Nissan operations in Russia under the Nissan Manufacturing Russia LLC (NMGR) legal entity to NAMI for future passenger vehicle projects. This covers Nissan's manufacturing and R&amp;D facilities in St. Petersburg, and the sales and marketing center in Moscow.</t>
    <phoneticPr fontId="1"/>
  </si>
  <si>
    <t>https://www.marklines.com/en/global/10055</t>
    <phoneticPr fontId="1"/>
  </si>
  <si>
    <t>https://www.marklines.com/en/global/1514</t>
    <phoneticPr fontId="1"/>
  </si>
  <si>
    <t>On November 23, Audi launched cutting-edge plastic covers for seatbelt buckles in its Q8 e-tron models; the casings are partially manufactured from mixed automobile plastic waste using a chemical recycling process. It is the first time Audi is installing safety components made in this way, and in conjunction with the PlasticLoop project, has established an innovative process with plastics manufacturer LyondellBasell, based on the findings from a pilot project. This operation will allow Audi to use fossil raw materials for longer and reduce its purchasing of additional primary materials.</t>
    <phoneticPr fontId="1"/>
  </si>
  <si>
    <t>According to multiple press releases dated November 23, XPeng has recently established a new company named Guangzhou Pengbo Automotive Technology Co., Ltd. in Panyu District, Guangzhou. The new company, which is wholly-owned by Guangzhou Pengyi Automotive Technology Co., Ltd., has a registered capital of CNY 5 billion, with its business scope covering automotive parts and accessories manufacturing, battery manufacturing, battery parts and accessories production, electric machinery manufacturing and motor manufacturing.</t>
    <phoneticPr fontId="1"/>
  </si>
  <si>
    <t>https://www.marklines.com/en/global/1426</t>
    <phoneticPr fontId="1"/>
  </si>
  <si>
    <t>On November 22, Anadolu Isuzu achieved a record success by exporting a total of 151 buses in its first year to Germany, the world's third and Europe's largest bus market. The buses are produced with the "Tailor-made Manufacturing" method in Anadolu Isuzu's modern facilities. The order consists of Isuzu Citiport and NovoCiti Life bus and midibus models with lengths ranging from 8 to 18 meters.</t>
    <phoneticPr fontId="1"/>
  </si>
  <si>
    <t>https://www.marklines.com/en/global/737</t>
    <phoneticPr fontId="1"/>
  </si>
  <si>
    <t>On November 22, KAMAZ announced the launch of a project for the reengineering of aggregate production at the KAMAZ automobile plant. The main part of the aggregate production equipment park is made up of automatic lines. The reengineering project also provides for the overhaul of automatic lines. The modernization program includes the crankcase lines of the front, middle and rear axles. There is a great demand for all-wheel drive vehicles and KAMAZ is planning to increase the rate of assembly of the main assembly line. At the same time, it is very important to accurately calculate the capacity utilization during the modernization work - most of them will take place in 2023, and the project itself should be completed before the end of 2022.</t>
    <phoneticPr fontId="1"/>
  </si>
  <si>
    <t>On November 22, BYD announced that it has recently launched the Song Plus DM-i and Yuan Plus (Atto 3) models in Brazil, where it will commence local production. Products launched by BYD in Brazil cover new energy passenger vehicles, light-duty battery electric commercial vehicles, electric trucks and electric buses. In the future, BYD will continue expanding its strategic layout in the Americas, and will bring all its new energy passenger vehicle lineups to 17 countries including Mexico, Chile and Colombia in addition to Brazil.</t>
    <phoneticPr fontId="1"/>
  </si>
  <si>
    <t>https://www.marklines.com/en/global/4269</t>
    <phoneticPr fontId="1"/>
  </si>
  <si>
    <t>https://www.marklines.com/en/global/3427</t>
    <phoneticPr fontId="1"/>
  </si>
  <si>
    <t>On November 22, Beijing Benz officially signed the “Memorandum of Understanding on Creating a Low-carbon and Green Steel Supply Chain” (hereinafter referred to as the “MoU”) with Baoshan Iron &amp; Steel Co., Ltd. (Baosteel) to use greener raw materials in the process of vehicle manufacturing and jointly build a green automotive steel supply chain. The cooperation will prompt both parties to reduce carbon emissions throughout the supply chain and lifecycle of production and manufacturing. According to the MoU, Beijing Benz will gradually use low-carbon steel with significantly lower carbon emission intensity in 2023 and gradually reduce the carbon emission intensity of its automotive steel by 50%-80% from 2026 with the technology path of hydrogen-based shaft furnace - electric arc furnace. Subsequently, it will use green steel with 95% lower carbon emissions. Baosteel’s hydrogen-based shaft furnace units will be completed and put into operation in 2023, which will further reduce carbon emissions from its production process to deliver greener ultra-low-carbon automotive steel sheets to Beijing Benz. Beijing Benz has formulated the “Supply Chain 2039 Carbon Neutrality Action Plan” (the “Plan”). According to the Plan, the company will focus on the main raw materials and components (steel, aluminum, plastic particles, batteries, etc.) that emit large amounts of carbon dioxide during production, put forward carbon emission reduction requirements to suppliers, continuously lead its partners to accelerate low carbon transition, and achieve the goal of carbon neutrality throughout the supply chain by 2039.</t>
    <phoneticPr fontId="1"/>
  </si>
  <si>
    <t>FAW</t>
    <phoneticPr fontId="1"/>
  </si>
  <si>
    <t>https://www.marklines.com/en/global/8907</t>
    <phoneticPr fontId="1"/>
  </si>
  <si>
    <t>On November 12, FAW Trucks announced that the 10,000th FAW truck has rolled out of the FAW Trucks assembly plant in Gqeberha. FAW Trucks said that there are plans in place to ramp up production, to meet demand, which should see us surpass the 15,000 mark before the end of 2023. The current production variety includes seven different models, which are produced at a capacity of approximately 200 units per month.</t>
    <phoneticPr fontId="1"/>
  </si>
  <si>
    <t>https://www.marklines.com/en/global/187</t>
    <phoneticPr fontId="1"/>
  </si>
  <si>
    <t>On November 24, Renault Group announced that Renault Group and Voltalia signed the largest long-term supply contract for electricity from renewable sources in France for a capacity of 350 megawatts representing the production of approximately 500 gigawatt hours per year by 2027. It will enable Renault Group to cover up to 50% of the electricity consumption of its production activities in France by 2027. Voltalia will install photovoltaic panels for a power of 100 megawatts in 2025. This agreement will cover Cléon's electrical activities as well as all the sustainable electricity needs of the ElectriCity cluster.</t>
    <phoneticPr fontId="1"/>
  </si>
  <si>
    <t>On November 24, Renault Group announced three strategic partnerships to achieve its energy transition objectives for its industrial sites, as part of its Renaulution strategy. Renault Group and ENGIE are developing a deep geothermal project at the Douai plant to replace 70% of its gas needs with local and renewable sources. This partnership would extend over a period of 15 years. From the end of 2023, ENGIE will begin drilling work on the Douai plant to draw hot water (130-140°C) from a depth of 4,000 meters to capture the calories needed for the needs of the industrial process and heating of the factory from 2025. It would provide a power of nearly 40 MW continuously.</t>
    <phoneticPr fontId="1"/>
  </si>
  <si>
    <t>On November 24, Renault Group announced three strategic partnerships to achieve its energy transition objectives for its industrial sites, as part of its Renaulution strategy. Renault Group and Dalkia, an EDF Group subsidiary, have signed a 15-year partnership to supply carbon-free heat to the Renault plant in Maubeuge by installing a biomass boiler and heat recovery systems on site. With a power of 15 MW, this boiler should enable the plant to cover 65% of its gas needs from local and renewable sources by 2025.</t>
    <phoneticPr fontId="1"/>
  </si>
  <si>
    <t>On November 24, Lightyear announced that it recently shipped out its patented solar arrays, which it manufactures in its dedicated factory in Venray, the Netherlands, to the Valmet facilities in Finland. There, starting next week, the first Lightyear 0 models will be rolled out. Lightyear 0 is officially the most aerodynamic production car in history with a low drag coefficient of 0.175 Cd.</t>
    <phoneticPr fontId="1"/>
  </si>
  <si>
    <t>On November 24, Valmet Automotive and Mapvision introduced a flexible welding cell demonstration. The pilot welding cell was taken into use in Valmet Automotive's new Innovation Center at the Uusikaupunki car plant. Valmet Automotive and Mapvision have combined their expertise in the welding cell project. The result is a closed-loop welding cell without traditional jigs that offers much-enhanced flexibility in manufacturing. The solution enables the robots to use the integrated inspection system for measuring the location and orientation of each component before welding and for checking the quality after every process stage.</t>
    <phoneticPr fontId="1"/>
  </si>
  <si>
    <t>On November 23, Renault Trucks unveiled the models of its heavy-duty all-electric range. The Renault Trucks E-Tech T and C, which are the first to bear the manufacturer's new logo, will be produced in Bourg-en-Bresse from 2023. They are already available for pre-order. Renault Trucks is now the only company to provide an electric mobility offer for all uses: from a 650 kg cargo bike to a 44-t electric tractor and construction truck. To increase safety, the front of the vehicles has been brought forward by 115 mm and radars have been placed on the sides. The chassis is also equipped with a retractable step which maximizes the space dedicated to the batteries.</t>
    <phoneticPr fontId="1"/>
  </si>
  <si>
    <t>On November 22, URAL automobile plant announced that by 2025, it plans to fully master the production of bridges (axles) at its plant. It will be able to increase the carrying capacity of its equipment by up to 50 tons. Besides, the largest investment project at the URAL plant is the project for the production of bridges with a carrying capacity of 10 to 16 tons and axles with a carrying capacity of 7.5 to 9 tons for cars and road construction equipment. Financial state support for its implementation is about RUB 7 billion. URAL is now purchasing Chinese-made bridges. In the future, the plant will fully cover its needs, as well as supply axles and axles for other industrial enterprises and special equipment plants. The production capacity will be 25,000 sets of axles and 10,000 axles for special equipment.</t>
    <phoneticPr fontId="1"/>
  </si>
  <si>
    <t>https://www.marklines.com/en/global/9129</t>
    <phoneticPr fontId="1"/>
  </si>
  <si>
    <t>On November 22, BAIC ORV officially launched its new BJ60 mid-to-large-sized luxury off-road SUV. For the powertrain, the new vehicle features a 2.0T turbocharged engine, a 48V mild hybrid system and an 8AT transmission, with a maximum comprehensive system power of 196kW and a peak comprehensive system torque of 406Nm. The drive mode is part-time 4WD. In terms of configuration, the new vehicle is equipped with FOTA (Firmware Over-The-Air), with some models equipped with four-screen linkage (instrument panel + central display + start display + HUD) and Level 2 Assisted Driving Assistance features such as LKA (Lane Keeping Assistance), FCW (Forward Collision Warning) and APA (Automatic Parking Assist).</t>
    <phoneticPr fontId="1"/>
  </si>
  <si>
    <t>https://www.marklines.com/en/global/2675</t>
    <phoneticPr fontId="1"/>
  </si>
  <si>
    <t>From November 23, Stellantis cancelled shifts at its Windsor, Canada minivan plant. It was unclear how long the downtime could last at the plant that employs more than 4,000 people on two shifts. A Stellantis spokesperson cited supply issues, and said, "As the situation continues to be very fluid, we are making production adjustments as necessary to minimize additional production impact."</t>
    <phoneticPr fontId="1"/>
  </si>
  <si>
    <t>https://www.marklines.com/en/global/6451</t>
    <phoneticPr fontId="1"/>
  </si>
  <si>
    <t>On November 21, SAIC Maxus officially launched its new Lingdi mid-to-large-sized SUV. For the powertrain, the new vehicle features SAIC Maxus’ mild hybrid diesel-powered Xuanyuan Power Technology consisting of a 2.0T SAIC “π” Bi-Turbo diesel engine (maximum power 160kW and peak torque 500Nm), an 8AT transmission and a 48V hybrid architecture (peak motor torque 44Nm). The drive mode is 4WD, and the maximum range is over 1,000km, with a comprehensive fuel consumption of 9.1L/100km under the NEDC standard. In terms of configuration, some models equipped with ACC (Adaptive Cruise Control), APA (Automatic Parking Assist) and 12 detection radars. The vehicle features ATS (All-Terrain System) 2.0, the Spiderweb Intelligent Connected System 2.0 and Tencent’s TAI system as well.</t>
    <phoneticPr fontId="1"/>
  </si>
  <si>
    <t>Letin</t>
    <phoneticPr fontId="1"/>
  </si>
  <si>
    <t>https://www.marklines.com/en/global/10529</t>
    <phoneticPr fontId="1"/>
  </si>
  <si>
    <t>Shandong</t>
    <phoneticPr fontId="1"/>
  </si>
  <si>
    <t>On November 21, Letin Motor announced the completion of its Series A financing with CNY 3.2 billion, which will successively be available from the end of November. With Weicheng West Investment Development Group of Weifang, Shandong being the lead investor of the financing and provincial and municipal state-owned capital and industries and private capital being the followers, the funds raised will mainly be used for product R&amp;D, marketing investments, channel support and expansion and production capacity construction of vehicles. After the financing, Letin Motor will start subsequent financing depending on the specific situation. </t>
    <phoneticPr fontId="1"/>
  </si>
  <si>
    <t>SEHOL</t>
    <phoneticPr fontId="1"/>
  </si>
  <si>
    <t>On November 20, Sehol officially launched its new Sehol X8 Plus mid-sized SUV. In terms of configuration, the new vehicle is equipped with ABS (Antilock Brake System), EBD (Electronic Brakeforce Distribution) and Bosch’s 9.3ESP vehicle stabilization and control system as standard, with some models equipped with iFLYTEK's intelligent voice system.</t>
    <phoneticPr fontId="1"/>
  </si>
  <si>
    <t>smart</t>
    <phoneticPr fontId="1"/>
  </si>
  <si>
    <t>https://www.marklines.com/en/global/9568</t>
    <phoneticPr fontId="1"/>
  </si>
  <si>
    <t>On November 19, Geely Holding Group announced on its official website that its plant in Xi’an, Shaanxi has recently received the first Type I Zero-carbon Plant Five-star Certificate issued by Ti Testing and Certification Group, making it the first zero-carbon OEM plant in China. At the production end, Geely has achieved power carbon neutrality by building photovoltaic power plants and purchasing the I-REC (International Renewable Energy Certificate). The construction of the 52MW super photovoltaic power plant of the Xi’an plant was completed in September 2022, and the average annual power generation is expected to reach 47.5 million kWh with a carbon dioxide emission reduction of 27,000 tons after it is put into operation. At the technology end, Geely uses equipment with high efficiency and low energy consumption, monitors the economic parameters of major equipment, actively explores technical energy-saving measures, and makes full use of waste heat and pressure to improve energy efficiency. At the management end, Geely has combined technical transformation with energy conservation management through the establishment of an energy management system to reduce energy consumption per vehicle by 6% in H1 2022 compared to H2 2021. At the product end, Geely has built diversified new energy technology paths including battery electric, hybrid, methanol power and battery swapping. Particularly, with two models under the Leishen series, the Xingyue L Hi-F hybrid SUV and the Xingyue L Hi-P extended-range electric SUV, put into production, energy efficiency is improved and carbon emissions during use keep dropping. At the recycling end, Geely explores material recycling to promote circular economy and carbon emission reduction at the material end. By H1 2022, 65% of Geely’s vehicle plants have been equipped with distributed photovoltaic power generation facilities, with a total installed capacity of 146MW and 300MW expected by the end of 2022. The use of renewable electricity in the plants has reached 25%.</t>
    <phoneticPr fontId="1"/>
  </si>
  <si>
    <t>On November 18, Hino Motors, Ltd. announced that it has resubmitted an application for the "Profia" heavy-duty truck equipped with the A09C engine, one of the models subject to type designation cancellation by the Ministry of Land, Infrastructure, Transport and Tourism due to the engine certification fraud issue.</t>
    <phoneticPr fontId="1"/>
  </si>
  <si>
    <t>Lexus launched the all-new RX, a luxury crossover SUV, in Japan on November 18. The new model, the fifth generation, adopts the GA-K modified platform. It measures 4,890 mm in length, 1,920 mm in width, 1,700/1,705 mm in height, and 2,850 mm in wheelbase. The lineup includes the "RX500h "F SPORT Performance", a performance model equipped with a newly developed hybrid system, the "RX450h+" equipped with a plug-in hybrid system, and the "RX350" with a 2.4L inline four-cylinder turbo engine. The hybrid system of the RX500h consists of a 2.4-liter turbocharged inline-4 engine and motor front unit and a rear-mounted high-power rear motor "eAxle". Combined with the DIRECT4 AWD system, which precisely controls the driving force of all four wheels according to the ground load, the hybrid system delivers both high response to the accelerator and stable cornering performance. The RX450h+ is powered by a highly thermally efficient 2.5-liter inline four-cylinder engine, lithium-ion batteries with a total power output of 18.1 kWh, and front and rear motors. The AWD system is the "E-Four" motor-driven AWD. The RX350 is available in both AWD and FWD versions.</t>
    <phoneticPr fontId="1"/>
  </si>
  <si>
    <t>On November 18, FAW-VW announced the official launch of its new Tavendor mid-to-large-sized 5-seater SUV. The 4WD models feature BorgWarner’s latest Haldex 6th-generation 4WD system.</t>
    <phoneticPr fontId="1"/>
  </si>
  <si>
    <t>Honda Motor Co., Ltd. announced on November 17 that it will launch the all-new compact SUV ZR-V in Japan on April 21, 2023. The ZR-V measures 4,570 mm (L) x 1,840 mm (W) x 1,620 mm (H) with a wheelbase of 2,655 mm (H) and features a front vertical grille that is continuous with the surrounding shape and sharp, horizontal headlights. The hybrid model is equipped with the Sport e:HEV, which combines the 2.0-liter direct injection engine (maximum output 104 kW, maximum torque 182 Nm) newly developed for the Civic e:HEV and the advanced 2-motor hybrid system (e-CVT). The gasoline model is powered by a 1.5L direct injection VTEC TURBO engine (maximum output 131kW, maximum torque 240Nm) combined with a CVT. In addition, real-time AWD is available on all types of both hybrid and gasoline models. The ZR-V will be produced at Saitama Factory Automobile Plant.</t>
    <phoneticPr fontId="1"/>
  </si>
  <si>
    <t>According to a November 17 investigation by MarkLines, Hino Motors, Ltd. has been gradually resuming production of buses, which had been halted due to the engine certification fraud issue, since October 10. When Hino announced on September 16 the resumption date of production of the Ranger medium-duty truck (certain models) and the Dutro light-duty truck, the company stated that the bus models were "under adjustment. The models that were listed as "under adjustment" include the S'elega (certain models), the Melpha, the Blue Ribbon Hybrid, and the Poncho. Of these four models, specific models that have resumed production as of November 17 have not been confirmed. The truck and bus models that have already resumed production are equipped with the truck and bus engines that the Ministry of Land, Infrastructure, Transport and Tourism approved for resumption of shipments on September 9.</t>
    <phoneticPr fontId="1"/>
  </si>
  <si>
    <t>https://www.marklines.com/en/global/595</t>
    <phoneticPr fontId="1"/>
  </si>
  <si>
    <t>Toyota Motor Corporation unveiled the fully remodeled new Prius for the first time in the world on November 16. The new model is based on the second-generation TNGA platform, which has achieved a lower center of gravity and 19-inch large-diameter tires. The new model inherits the iconic "monoform silhouette" of the Prius, but has been redesigned with more stylish proportions. Three types of powertrains are available: a 2.0L plug-in hybrid system and a 2.0L/1.8L series parallel hybrid system. The plug-in hybrid system achieves a maximum system output of 164kW, and the EV driving range is improved by more than 50% compared to the previous model. As for the series-parallel hybrid system, the maximum system output of the 2.0L model is 144kW, 1.6 times that of the previous model, and that of the 1.8L model is 103kW. In Japan, the series parallel hybrid vehicle (HV) is scheduled to be launched in the winter of FY2022, and the plug-in hybrid vehicle (PHEV) in the spring of 2023.</t>
    <phoneticPr fontId="1"/>
  </si>
  <si>
    <t>Subaru Corporation (Subaru) released its all-new SUV "Rex" on November 11. Order-taking began on the same day, and the company aims to sell 150 units per month. The Rex is based on Daihatsu Motor Co., Ltd.'s (Daihatsu’s) Rocky and is supplied to Subaru on an OEM basis. Production has already begun at Daihatsu's Shiga (Ryuo) Plant. Overall vehicle dimensions are length 3,995mm, width 1,695 mm, height 1,620 mm, and wheelbase 2,525mm. The Rex has a compact body with a minimum turning radius of 5.0m (with 17-inch tires) for easy maneuverability, and a spacious interior thanks to the rear seat overhead space and seat shape. The powertrain is a 1.2L NA engine (maximum output 64kW / maximum torque 113Nm) mated to a CVT with 7-speed sequential shift.</t>
    <phoneticPr fontId="1"/>
  </si>
  <si>
    <t>https://www.marklines.com/en/global/531</t>
    <phoneticPr fontId="1"/>
  </si>
  <si>
    <t>On November 10, Honda Motor Co., Ltd. (Honda) announced its Suzuka Factory and Saitama Factory Automobile Plant are expected to return to normal operations during the month of November. Due to a combination of factors, including the impact of COVID-19 and a shortage of semiconductors, the utilization rate in October compared to the production plan of the Suzuka Factory was about 80%, while in the same month the utilization rate of the Saitama Factory Automobile Plant was about 60%.</t>
    <phoneticPr fontId="1"/>
  </si>
  <si>
    <t>https://www.marklines.com/en/global/10436</t>
    <phoneticPr fontId="1"/>
  </si>
  <si>
    <t>According to a MarkLines survey, Toyota Industries Corporation (Toyota Industries) started operations at its Ishihama Plant in October. The plant produces bipolar nickel-hydrogen batteries for Toyota's hybrid vehicles. The monthly production capacity is equivalent to batteries for 20,000 hybrid vehicles.</t>
    <phoneticPr fontId="1"/>
  </si>
  <si>
    <t>On November 23, KAMAZ and the Government of Moscow launched the production of the Moscow Automobile Plant Moskvich. PJSC KAMAZ acts as a technological partner of the project. In 2023-2024, the production of Moskviches will be based on SKD technology. The first Moskvich cars will roll off the assembly line in December 2022, and by the end of this year, 600 cars will be assembled at the plant - 400 cars with internal combustion engines and 200 electric cars. Sales of Moskvich cars in Russia will begin in December 2022.</t>
    <phoneticPr fontId="1"/>
  </si>
  <si>
    <t>https://www.marklines.com/en/global/1889</t>
    <phoneticPr fontId="1"/>
  </si>
  <si>
    <t>Slovenia</t>
    <phoneticPr fontId="1"/>
  </si>
  <si>
    <t>On November 22, Slovenia Business Development Agency announced that Renault has included its Slovenian factory Revoz in its development plans, ending the uncertainty the Novo Mesto-based plant experienced at the start of the year when it was speculated that it might even be closed given the challenges in the global supply chain of semiconductors. Revoz confirmed that the factory has become one of Renault's 14 car assembly plants included in Power - Renault's entity focussing on the group's traditional core business and continuing to develop innovative low-emission thermal and hybrid vehicles under the Renault, Dacia, and Renault LCV brands. Irregular deliveries of electronic components forced Revoz to switch to a single shift and lay off around 350 workers until last March. Since March, Revoz has been on one shift producing up to 330 cars a day. By the end of the year, another 100 workers are expected to be gradually laid off, leaving Revoz with a workforce of around 1,600, while it numbered around 2,100 in February.</t>
    <phoneticPr fontId="1"/>
  </si>
  <si>
    <t>On November 22, Ebusco signed a contract with Dutch public transport operator EBS for 31 Ebusco 3.0 13.5-meter buses. The delivery of these buses is planned for the end of 2023. The Ebusco 3.0 13.5-meter is a new addition to the line-up of the innovative, lightweight Ebusco 3.0 and reaches the maximum length on one rear axle.</t>
    <phoneticPr fontId="1"/>
  </si>
  <si>
    <t>On November 22, multiple sources reported that the Stellantis plant in Sochaux is producing more cars in Sochaux plant than it can ship for several days. Several thousand finished vehicles are struck in the parking lot of the plant due to a shortage of lorry drivers from Eastern Europe.</t>
    <phoneticPr fontId="1"/>
  </si>
  <si>
    <t>https://www.marklines.com/en/global/2931</t>
    <phoneticPr fontId="1"/>
  </si>
  <si>
    <t>On November 22, Volkswagen do Brasil inaugurated the R&amp;D unit named Way to Zero Center, which is installed inside the São Bernardo do Campo plant in Brazil. The center will cover projects and technologies that contribute to decarbonization in the South America region and can be exported to markets in Asia and Africa. Further projects will include the recyclability of materials from manufacturing through to vehicle decommissioning.</t>
    <phoneticPr fontId="1"/>
  </si>
  <si>
    <t>Force Motors</t>
    <phoneticPr fontId="1"/>
  </si>
  <si>
    <t>https://www.marklines.com/en/global/1151</t>
    <phoneticPr fontId="1"/>
  </si>
  <si>
    <t>Madhya Pradesh</t>
  </si>
  <si>
    <t>On November 22, Force Motors named its next-generation shared mobility platform Urbania which was previously codenamed T1N. The Urbania is powered by the Mercedes-derived 115 hp, BS6 compliant, common rail diesel engine, offering a peak torque of 350Nm over a wide range starting from 1,400/2,200 rpm. The Urbania platform has been designed with a 2-box construction keeping the engine fully outside ensuring the least NVH in the passenger compartment. The creation and development of this ground-up modular monocoque van and the setting up of new state-of-the-art manufacturing facilities have been done with a total investment of over INR 1 billion. The Phase 1 installed capacity is 1,000 vehicles per month which can be increased to 2,000 vehicles per month.</t>
    <phoneticPr fontId="1"/>
  </si>
  <si>
    <t>A U.S. National Labor Relations Board filing from November 21 informs that an election to unionize the first General Motors Co. and LG Energy Solution battery cell manufacturing plant is scheduled for December 7 and December 8, at the Ultium Cells LLC plant in Warren, Ohio. Two other Ultium plants, in Spring Hill, Tennessee, and in Delta Township near Lansing, are under construction. GM and LG are looking at New Carlisle, Indiana, as the location for their fourth battery plant in the U.S.</t>
    <phoneticPr fontId="1"/>
  </si>
  <si>
    <t>On November 21, Domino's Pizza announced it will have 855 custom-branded Chevrolet Bolt EVs on U.S. roads delivering pizza by the end of 2023. Domino’s currently has 112 Bolts on U.S. roadways.GM makes the Bolt and Bolt EUV at Orion Assembly in Orion Township, where it will increase production from 40,000 a year to more than 70,000 starting in 2023.</t>
    <phoneticPr fontId="1"/>
  </si>
  <si>
    <t>On November 20, Anadolu Isuzu announced that the solar power plant (GES) installed on the roofs of its modern production facilities in Çayırova was successfully put into operation. The photovoltaic solar power plant provides 55% of the green energy needed by Anadolu Isuzu's modern midibus, bus, and truck production facilities with its 5,500 MWp installed capacity. Anadolu Isuzu aims to increase this rate to 70% in the second phase of the project.</t>
    <phoneticPr fontId="1"/>
  </si>
  <si>
    <t>On November 19, GAC Mitsubishi officially launched the Outlander next-generation compact SUV.</t>
    <phoneticPr fontId="1"/>
  </si>
  <si>
    <t>On November 18, the left-hand drive version of the Air ev, Wuling’s first new energy global vehicle, officially rolled off the line at the Baojun site in Liuzhou, Guangxi, and will soon be launched in China. The new vehicle has a range of 300km, with its 2- and 4-seater models equipped with 30kW and 50kW drive motors, respectively. The vehicle features main driver airbags, tire pressure monitoring, 360-degree panoramic view, and the Ling OS. On the same day, at the Baojun site, Wuling also held a groundbreaking ceremony for its battery electric vehicle manufacturing plant. The plant is a final assembly base adopting the “assembly island” mode, which upends the conventional assembly line production mode of automobiles and will refresh the production efficiency of the industry with process flexibility, automation of assembly and logistics, personalization of customization and digitalization of management to significantly improve the reliability and stability of products. The plant also applies Wuling’s in-house developed robots. So far, Wuling has independently developed advanced robot products including IMRs (Intelligent Mobile Robots), unmanned forklifts, warehouse-type AGVs, industrial robots and collaborative robots.</t>
    <phoneticPr fontId="1"/>
  </si>
  <si>
    <t>https://www.marklines.com/en/global/10481</t>
    <phoneticPr fontId="1"/>
  </si>
  <si>
    <t>According to Chery Holding Group’s official account and multiple press releases, on November 18, Chery’s Qingdao gigafactory located in the Qingdao Automobile Industry New Town in Jimo District, Qingdao, Shandong was officially completed and rolled its first vehicle off the line. The gigafactory covers four major processes of stamping, welding, painting and final assembly and facilities such as R&amp;D centers, test and inspection workshops and test tracks.</t>
    <phoneticPr fontId="1"/>
  </si>
  <si>
    <t>Voyah</t>
    <phoneticPr fontId="1"/>
  </si>
  <si>
    <t>https://www.marklines.com/en/global/9165</t>
    <phoneticPr fontId="1"/>
  </si>
  <si>
    <t>On November 18, Voyah announced the completion of the signing and delivery of the agreement for the Series A introduction of strategic investments with nearly CNY 5 billion, after which the company’s market valuation stands at nearly CNY 30 billion. There were 10 investors in the financing, with the State-owned Enterprises Mixed Ownership Reform Fund and BOC Financial Assets Investment being the co-lead investors and ICBC Financial Asset Investment, the Wuhan Economic Development Fund, Ganfeng Lithium Industry and Sunwoda being the followers. Dongfeng Motor Group (DFM) followed up simultaneously. Upon completion of the financing, DFM, Series A investors and the Voyah Employee Stock Ownership Platform hold 78.88%, 12.37% and 8.75%, respectively. The funds raised will be used to support Voyah’s technological R&amp;D, marketing investments, digital system construction and production capacity construction. After the financing, Voyah will start subsequent financing depending on the specific situation.</t>
    <phoneticPr fontId="1"/>
  </si>
  <si>
    <t>https://www.marklines.com/en/global/3983</t>
    <phoneticPr fontId="1"/>
  </si>
  <si>
    <t>On November 18, DPCA’s Dongfeng Fukang ES600 compact battery electric sedan officially rolled off the line. Jointly developed by DPCA and Contemporary Amperex Technology Co., Ltd. (CATL) as the first battery swappable model for the B-end mobility market. Featuring CATL’s ternary lithium Choco-SEBs (Swapping Electric Blocks) with a capacity of 26.5kWh for each block, the new vehicle has a range of 410km.</t>
    <phoneticPr fontId="1"/>
  </si>
  <si>
    <t>https://www.marklines.com/en/global/1329</t>
    <phoneticPr fontId="1"/>
  </si>
  <si>
    <t>On November 16, Comau announced that it has designed and deployed a flexible Body-In-White (BIW) manufacturing solution for the all-new Alfa Romeo Tonale. The new and enhanced 20 lines are designed to allow the automaker to assemble its mid-size Tonale in a random mix of up to 4 different versions while maintaining the desired throughput. As the SUV chassis is significantly larger than the compact car, Comau was asked to make the necessary changes without sacrificing the production of either vehicle. The Comau-designed solution fully assembles the entire BIW from start to finish. The process involves the insertion of roughly 2,800 welding spots for each model. The entire system features 468 welding robots, 148 of which are completely new and 320 taken from existing lines.</t>
    <phoneticPr fontId="1"/>
  </si>
  <si>
    <t>On November 22, Maruti Suzuki India announced the launch of New Eeco at a starting price of INR 510 thousand and going to INR 813 thousand. The new Eeco features a new 1.2L Advanced K-Series Dual Jet, Dual VVT Engine with an enhanced power output of 59.4kW at 6,000 rpm and a torque output of 104.4Nm at 3,000 rpm (for gasoline variants) while the S-CNG engine produces a max power of 52.7 kW at 6,000 rpm and a max torque of 95 Nm at 3,000 rpm. The gasoline-powered Eeco is 25% more efficient with a fuel efficiency of 20.20kml/ while the Eeco S-CNG offers 29% improved fuel efficiency of CNG 27.05 km/kg.</t>
    <phoneticPr fontId="1"/>
  </si>
  <si>
    <t>https://www.marklines.com/en/global/9867</t>
    <phoneticPr fontId="1"/>
  </si>
  <si>
    <t>On November 22, Polestar achieved the production milestone of 100,000 Polestar 2 which was recently produced in Luqiao, China. The car in question is destined for a customer in Ireland, one of the newest Polestar markets.</t>
    <phoneticPr fontId="1"/>
  </si>
  <si>
    <t>https://www.marklines.com/en/global/1419</t>
    <phoneticPr fontId="1"/>
  </si>
  <si>
    <t>On November 22, Ford Pro revealed the all-new E-Tourneo Custom. The all-new Tourneo Custom range will be produced by Ford Otosan in Kocaeli, Turkey, with deliveries to European customers from mid-2023. E-Tourneo Custom targets both personal use and business customers, offering spacious accommodation for up to eight occupants. All-electric powertrain offers up to 370 km range and 125 kW DC fast charging. Tourneo Custom line-up also includes PHEV and all-wheel drive diesel options.</t>
    <phoneticPr fontId="1"/>
  </si>
  <si>
    <t>https://www.marklines.com/en/global/10410</t>
    <phoneticPr fontId="1"/>
  </si>
  <si>
    <t>On November 21, Porsche Engineering announced the official opening of its new physical location in Timișoara. In 2023, Porsche Engineering Romania plans to recruit more than 100 new employees at its two locations in Cluj-Napoca and Timișoara, with a focus on areas such as AI, Big Data, Cloud, Infotainment, ADAS, Connectivity, and more future-oriented subjects of the automotive IT era. 50 of these software developers and engineers are planned to be hired in Timișoara.</t>
    <phoneticPr fontId="1"/>
  </si>
  <si>
    <t>VinFast</t>
    <phoneticPr fontId="1"/>
  </si>
  <si>
    <t>Vinfast</t>
    <phoneticPr fontId="1"/>
  </si>
  <si>
    <t>https://www.marklines.com/en/global/10443</t>
    <phoneticPr fontId="1"/>
  </si>
  <si>
    <t>On November 18, VinES Energy Solutions Joint Stock Company and Gotion High-tech held the groundbreaking ceremony for the LFP rechargeable battery cell factory project worth VND 6,330 billion (USD 275 million), located at Vung Ang Economic Zone on an area of 14 hectares with a design annual capacity of 5 GWh, equivalent to about 30 million battery cells. Its mass production is set to begin in Q3/2024, becoming the first LFP battery factory in Vietnam and will create hundreds of new jobs locally. The new plant, which is situated right next to VinES battery pack factory, will complete the closed production cycle of LFP batteries in Vietnam and increase the localization rate of VinFast’s EVs. VinES battery pack plant is currently in the final stages of completion before officially going into operation from December 2022, providing Lithium batteries for electric cars and buses.</t>
    <phoneticPr fontId="1"/>
  </si>
  <si>
    <t>On November 18, FAW Toyota commenced the presale of its new Granvia mid-to-large-sized 7-seater MPV. For the powertrain, the new vehicle features Toyota’s 2.5L dual-engine hybrid powertrain consisting of an engine with a maximum power of 141kW and a peak torque of 238Nm, an E-CVT transmission and a permanent-magnet synchronous motor with a maximum power of 134kW and a peak torque of 270Nm, resulting in a maximum system power of 183kW and a fuel consumption of 5.9L/100km under the WLTC comprehensive standard. In terms of configuration, the new vehicle features DRCC (Dynamic Radar Cruise Control) and an intelligent voice interaction system as standard.</t>
    <phoneticPr fontId="1"/>
  </si>
  <si>
    <t>On November 18, Chevrolet revealed a teaser image of the rear-quarter of the upcoming new Montana pickup truck that will be fully revealed on December 1, when the pre-sale phase of the product begins. Being produced at the Sao Caetano do Sul Plant in 2023, the new Montana will join Chevrolet's global family of vehicles in Brazil, including the Onix hatchback, Onix Plus sedan and Tracker SUV.</t>
    <phoneticPr fontId="1"/>
  </si>
  <si>
    <t>https://www.marklines.com/en/global/9474</t>
    <phoneticPr fontId="1"/>
  </si>
  <si>
    <t>On November 17, Beijing Automotive Industry Corp. (BAIC) launched BEIJING X55 compact SUV in South Africa. It is based on BAIC Group's BMFA (Beijing modular functional architecture) platform chassis, which underpins future vehicle and plug-in hybrid vehicle models.</t>
    <phoneticPr fontId="1"/>
  </si>
  <si>
    <t>On November 17, Volvo signed a strategic cooperation agreement with the China-UK Low Carbon College at Shanghai Jiao Tong University to jointly study carbon capture and utilization, application of bio-based materials, and direct recycling of battery materials. Located at its Taizhou manufacturing site, Volvo’s Plant Factory uses 100% carbon-neutral electricity and 100% recycled water. It studies the carbon capture effect of different plants and explores the closed-loop application of bio-based materials in the manufacturing process of automobiles and in products. Volvo is also committed to exploring a more direct battery recycling process to obtain cathode materials directly and reduce carbon emissions and secondary pollution. The company plans to enhance the R&amp;D and design of power batteries and optimize battery recyclability by evaluating the actual emission reduction effect of the above processes. In addition, the Volvo Asia-Pacific Sustainable Innovation Lab was officially inaugurated in Shanghai.</t>
    <phoneticPr fontId="1"/>
  </si>
  <si>
    <t>https://www.marklines.com/en/global/3633</t>
    <phoneticPr fontId="1"/>
  </si>
  <si>
    <t>https://www.marklines.com/en/global/3617</t>
    <phoneticPr fontId="1"/>
  </si>
  <si>
    <t>According to multiple press releases dated November 17, VW Shanghai Transmission Plant, which mainly produces manual transmissions, plans to officially halt production in March 2023 due to declining market demand. VW China reportedly responded that the plant will indeed halt production and will then enter the process of shutdown and liquidation.</t>
    <phoneticPr fontId="1"/>
  </si>
  <si>
    <t>https://www.marklines.com/en/global/9552</t>
    <phoneticPr fontId="1"/>
  </si>
  <si>
    <t>On November 17, Aiways announced that Qingchi Power Technology (Shanxi) Co., Ltd. (Qingchi Power), its subsidiary, has recently held an online signing ceremony with TOP.E (Xi’an) Technology Co., Ltd. (TOP.E). According to the agreement, the two parties will cooperate on all-solid-state batteries and methanol-reformed hydrogen high-temperature fuel cells for New Energy Vehicles and new application scenarios. Both parties will jointly explore 3D printing materials, structures, processes and equipment development of all-solid-state batteries and methanol-reformed hydrogen high-temperature fuel cells.</t>
    <phoneticPr fontId="1"/>
  </si>
  <si>
    <t>On November 17, Zeekr, a Geely Holding Group high-end intelligent battery electric vehicle sub-brand, announced that the Zeekr M-Vision battery electric concept vehicle based on the SEA-M architecture will be put into mass production in 2024. The SEA-M architecture is the proprietary architecture for future intelligent mobility built by Zeekr and the first driverless mobility-dedicated pure electric architecture. The architecture allows access to Level 4 and above intelligent driving systems. On the same day, a driverless battery electric vehicle jointly developed by Zeekr and Waymo, an unmanned driving technology company, was also officially unveiled in Los Angeles, USA. The model is a proprietary vehicle developed by Zeekr for Waymo One’s driverless fleet based on the Zeekr M-Vision. The vehicle will feature the latest generation of the Waymo Driver unmanned driving solution with Level 4 intelligent driving and will be put into commercial operation in the US. The vehicle takes full advantage of the M-Vision’s flexible cockpit design and supports both configurations with and without a driving control mechanism.</t>
    <phoneticPr fontId="1"/>
  </si>
  <si>
    <t>On November 16, the President of the Russian Federation held a meeting with the Minister of Industry and Trade. The ministry delivered a report on the situation in the automotive industry and the automotive market. As per the ministry, until the end of November, the Moskvich automobile plant and the Sollers site in Tatarstan with light commercial vehicles will begin work on the production of passenger cars.</t>
    <phoneticPr fontId="1"/>
  </si>
  <si>
    <t>https://www.marklines.com/en/global/2617</t>
    <phoneticPr fontId="1"/>
  </si>
  <si>
    <t>On November 16, Rockwell Automation announced that Ford has selected it as its vehicle operations primary controls and solutions provider for its next three EV assembly sites. Rockwell products and services will be used at Ford production plants located in Oakville, Canada; BlueOval City, Tennessee; and Ohio Assembly in Avon Lake, Ohio.</t>
    <phoneticPr fontId="1"/>
  </si>
  <si>
    <t>https://www.marklines.com/en/global/2589</t>
    <phoneticPr fontId="1"/>
  </si>
  <si>
    <t>https://www.marklines.com/en/global/10431</t>
    <phoneticPr fontId="1"/>
  </si>
  <si>
    <t>On November 15, Exeed, a Chery sub-brand, held the “Exeed Stellar M3X Architecture 2.0 – Feiyu Chassis Technology Analysis Session” at Chery’s test center in Wuhu, Anhui. Exeed’s new Stellar mid-to-large-sized SUV will be the first to feature the chassis. As the fruit of the advanced technologies of the M3X architecture, the Feiyu chassis features the CDC electromagnetic suspension system, which can collect dynamic data from the road, the body and the wheels in real-time through 5 body stance monitoring sensors, 4 electromagnetic dampers and 1 controller and actively adjust the suspension damping in time by responding in milliseconds. Additionally, the Feiyu chassis features a hydraulic vibration isolation system for chassis and the SS system. With dual hydraulic suspensions and the hydraulic bushing technology, road vibration is reduced by over 30% when driving on bumpy roads.</t>
    <phoneticPr fontId="1"/>
  </si>
  <si>
    <t>On November 11, Mahindra Auto announced that its ready to start the production of the all-electric C segment SUV XUV400 next month. The company plans to start the bookings in January and hopefully start deliveries by end of January. The company has not yet decided on pricing because they are going to start the test drive process in early December. It also mentioned that FAME is not applicable in this category.</t>
    <phoneticPr fontId="1"/>
  </si>
  <si>
    <t>Ssangyong</t>
    <phoneticPr fontId="1"/>
  </si>
  <si>
    <t>https://www.marklines.com/en/global/2427</t>
    <phoneticPr fontId="1"/>
  </si>
  <si>
    <t>On November 11, Ssangyong Motor has completed the corporate rehabilitation process. It has been one year and six months since the start of the corporate rehabilitation process.The Seoul Rehabilitation Court found that there was no hindrance to the implementation of the rehabilitation plan. </t>
    <phoneticPr fontId="1"/>
  </si>
  <si>
    <t>https://www.marklines.com/en/global/2429</t>
    <phoneticPr fontId="1"/>
  </si>
  <si>
    <t>https://www.marklines.com/en/global/2431</t>
    <phoneticPr fontId="1"/>
  </si>
  <si>
    <t>On November 21, HYVIA announced that it will present Master City Bus H2-TECH, the first hydrogen urban minibus in Europe, on the Renault Group stand at the Mayors and Local Authorities Fair, from November 22 to 24 at Paris Expo - Porte de Versailles. This urban minibus can carry up to 15 passengers with a range of 300 km and 5mn of recharge time. Master City Bus H2-TECH is equipped with a 30-kW fuel cell, a 33-kWh battery, and a tank containing 4.5 kg of hydrogen at 350 bar. Manufactured in France and on the road in mid-2023, this minibus is already referenced by UGAP, France's leading public purchasing center.</t>
    <phoneticPr fontId="1"/>
  </si>
  <si>
    <t>On November 18, Maruti Suzuki launched the new Alto K10 S-CNG. The new Alto K10 S-CNG is powered by a Next-Gen K-Series 1.0L Dual Jet, Dual VVT engine, with a powertrain with dual-interdependent ECUs, which develops a peak power output of 41.7kW (56.69PS++) at 5,300 rpm and max torque of 82.1Nm at 3,400 rpm in CNG Mode. The vehicle has a 5-speed manual gearbox and can deliver a fuel efficiency of 33.85 km/kg.</t>
    <phoneticPr fontId="1"/>
  </si>
  <si>
    <t>https://www.marklines.com/en/global/10111</t>
    <phoneticPr fontId="1"/>
  </si>
  <si>
    <t>On November 18, Honda Motor Europe announced that Honda R&amp;D Europe (Deutschland) GmbH has completed a pilot with Next Kraftwerke GmbH, one of Europe's largest Virtual Power Plant (VPP) operators. The pilot utilized mass-production Honda e EVs, which qualified for support of grid stability through the instant provision of frequency containment reserve (FCR) to the Transmission System Operator (TSO). This significant breakthrough in vehicle-to-grid (V2G) technology helps Honda to become the first automaker in Europe to achieve certification of a fleet of mass-produced EVs, for the prequalification of FCR by Ampiron GmbH in Germany.</t>
    <phoneticPr fontId="1"/>
  </si>
  <si>
    <t>On November 18, the Ministry of Industry and Trade of Russia announced that Motorinvest has expanded the EVOLUTE model range and launched mass production of the Evolute i-JOY electric crossover. Evolute i-JOY is equipped with a common Russia CCS Combo Type 2 connector.</t>
    <phoneticPr fontId="1"/>
  </si>
  <si>
    <t>On November 18, AvtoVAZ announced that a test assembly of the first car LADA Vesta NG was made on the first assembly line. On this vehicle, the correct operation of the transferred equipment, and technologies, as well as the readiness of the necessary processes were checked. The car will not leave the assembly site and will be used only for personnel training in the future. In the coming months, AvtoVAZ will continue the processes of preparing for the serial production of LADA Vesta NG, setting up equipment, and organizing production and logistics schemes. The start of production of LADA Vesta NG is scheduled for early spring 2023.</t>
    <phoneticPr fontId="1"/>
  </si>
  <si>
    <t>https://www.marklines.com/en/global/1913</t>
    <phoneticPr fontId="1"/>
  </si>
  <si>
    <t>On November 17, IVECO announced that its plants in Madrid and Valladolid have been awarded the Lean &amp; Green Star by the Association of Manufacturers and Distributors (AECOC) for reducing their carbon footprint. The two factories enrolled in the Lean and Green program in 2016, with a commitment to cut their carbon footprint by 20% in five years. Scope 1 and Scope 2 measures focused on reducing the plants' consumption of natural gas and electricity with actions such as photovoltaic energy projects, installation of heat recuperators in afterburners, generation of photothermal energy, and diversification in heating production. Scope 3 activities included optimization of 'milk run' routes to allow a full load per truck, development of new container models for load optimization, use of RFID technology to improve inventories, and reducing unnecessary express transports.</t>
    <phoneticPr fontId="1"/>
  </si>
  <si>
    <t>https://www.marklines.com/en/global/1915</t>
    <phoneticPr fontId="1"/>
  </si>
  <si>
    <t>https://www.marklines.com/en/global/10280</t>
    <phoneticPr fontId="1"/>
  </si>
  <si>
    <t>On November 16, Audi announced that Audi China opens new R&amp;D center in Beijing. Audi is strengthening its development capabilities in China. The move to the new Audi China Building, opening nearly 10 years after its predecessor at the 798 Art District of Beijing, is also a significant milestone. The new Audi China Building, located in the heart of Beijing’s North Central Business District, spans over 6,000 sqm across five floors and accommodates all departments of the Audi China R&amp;D division. In a dedicated area, Audi Design China uses advanced digital tools such as VR headsets and digital drawing tablets to create the car designs of the future. The building also includes two workshops and a robust design lab, as well as an electronics lab and an engaging public showroom. In close alignment with Audi AG, Audi China is systematically investing in smart cockpit technologies, innovative display concepts, intelligent voice control systems, and connectivity solutions. The development team is also working on brand-shaping user interfaces and experience designs as well as China-specific vehicle designs. In addition, the R&amp;D team and its counterpart in Germany work together to define and develop product features for new electronic architectures, including advanced driver assistance systems and automated driver systems. With the new R&amp;D center in Beijing, Audi is further building upon its world-wide development network, which also includes sites in Germany, Hungary, and Mexico, as well as design studios in the USA and China.</t>
    <phoneticPr fontId="1"/>
  </si>
  <si>
    <t>On November 16, BAIC ORV held a ceremony to commemorate the first unit of its new BJ60 mid-to-large-sized luxury off-road SUV roll off the line at its plant in Beijing.</t>
    <phoneticPr fontId="1"/>
  </si>
  <si>
    <t>On November 16, BYD held a ceremony at its global headquarters to celebrate the production of its 3 millionth New Energy Vehicle. BYD claimed on the day that in Q1 2023, it will officially introduce the new “Yangwang” million-range high-end sub-brand and debut its first model. Another new BYD sub-brand with great professionalism and personalization will be introduce in 2023 as well. In the future, BYD will form a new brand lineup consisting of the BYD brands (the Dynasty and Ocean series), the Denza sub-brand, the Yangwang sub-brand and the new BYD sub-brand , and will further develop the global market and promote the internationalization of the passenger vehicle industry.</t>
    <phoneticPr fontId="1"/>
  </si>
  <si>
    <t>On November 15, Avtotor announced that it has completed the construction of buildings that will house a plant for the production of electric motors and a plant for the production of electronic control systems, with a total area of over 4 thousand square meters, in Kaliningrad. The purchase of the necessary equipment is expected to be carried out in early 2023. Commissioning of plants for the production of electric motors and electronic control systems is planned for the end of 2023.</t>
    <phoneticPr fontId="1"/>
  </si>
  <si>
    <t>On November 15, the 2022 World Future Commercial Vehicle Expo of the China Hi-tech Fair 2022 was held at the Shenzhen World Exhibition &amp; Convention Center, where BYD exhibited its B12D battery electric double-decker sightseeing bus, B10 and B7 battery electric buses and T5D battery electric logistics vehicle.</t>
    <phoneticPr fontId="1"/>
  </si>
  <si>
    <t>On November 14, Voyah, a Dongfeng Motor (DFM) sub-brand, officially introduced the ESSA+SOA combination architecture at the Voyah Tech Day event, which marks another upgrade in its ESSA architecture. The Voyah Zhuiguang intelligent electric sedan will be the first to feature the combination architecture and will debut in December 2022. Being in-house developed and robust in both software and hardware, the ESSA+SOA combination architecture.</t>
    <phoneticPr fontId="1"/>
  </si>
  <si>
    <t>Karsan</t>
    <phoneticPr fontId="1"/>
  </si>
  <si>
    <t>https://www.marklines.com/en/global/1428</t>
    <phoneticPr fontId="1"/>
  </si>
  <si>
    <t>On November 11, Karsan signed a domestic and national cooperation with ASELSAN for modern and environmentally friendly transportation. Karsan will produce the e-JEST model equipped with the ASELSAN traction system. The battery system for a fully independent supply chain ecosystem will also be produced by ASPİLSAN. There will be a battery with a capacity of 65 kWh, an electric motor with a power of 70 kW, a motor driver, a vehicle control computer, a driver displays panel, and a charge control unit.</t>
    <phoneticPr fontId="1"/>
  </si>
  <si>
    <t>https://www.marklines.com/en/global/10605</t>
    <phoneticPr fontId="1"/>
  </si>
  <si>
    <t>On October 18, CARIAD announced that its China team has developed several V2X functions, which are already deployed in the latest Audi models A6L and A7L in Wuxi, one of the most ambitious cities in China in smart city development. V2X products such as these take full advantage of the latest C-V2X communication standards and will be integrated into more and more of VW Group’s vehicles.</t>
    <phoneticPr fontId="1"/>
  </si>
  <si>
    <t>https://www.marklines.com/en/global/2507</t>
    <phoneticPr fontId="1"/>
  </si>
  <si>
    <t>On November 18, General Motors announced plans to invest USD 45 million at its Bedford, Indiana aluminum die casting foundry to expand the facility's production capacity of EV drive unit castings for the Chevrolet Silverado EV and GMC Sierra EV full-size pickups.</t>
    <phoneticPr fontId="1"/>
  </si>
  <si>
    <t>On November 17, after just over two years of intensive development, Fisker CEO Henrik Fisker announced the on-time start of production for the all-electric Ocean SUV at the Magna Steyr plant in Graz, Austria. Production will begin slowly, delivering 15 vehicles before the end of 2022, then 300 in Q1 2023, and 8,000 in Q2 of 2023, leaving 80% of total annual output of 42,400 units slated for the second half of 2023.</t>
    <phoneticPr fontId="1"/>
  </si>
  <si>
    <t>On October 3, Daihatsu Motor Co., Ltd. (Daihatsu) officially launched the upgraded Tanto, a mini super high wagon, for which advance orders began in August. In addition to enhanced convenience features across the lineup, the new Tanto Custom version is fitted with advanced interior and exterior features. A new version, Tanto Fun Cross, with an active and tough style that blends in well with outdoor activities, has been added to the series. Convenience enhancements for the lineup include a two-tiered adjustable deck board that extends the usability of the cargo area, and an advanced 9-inch smartphone-connected display audio system (factory-installed option). The exterior of the Tanto Custom features an engine hood, front fenders, headlamps, front bumper, and other frontal elements that emphasize a three-dimensional appearance and a feeling of width. The newly added Tanto Fun Cross model features exclusive equipment for various outdoor activities, such as water-repellent seats that are easy to clean even when dirty luggage or wet tools are placed on them, and luggage compartment lamps that are useful when loading and unloading at night. The improved Tanto models will be produced at the Shiga (Ryuo) Plant, aiming for monthly sales of 12,500 units.</t>
    <phoneticPr fontId="1"/>
  </si>
  <si>
    <t>On October 13, Subaru Corporation (Subaru) announced the launch of the partially remodeled Chiffon, a mini super-high wagon. The upgraded Chiffon features improved functionality including a lever on the back of the rear seatback that allows the rear seat to be slid out from the cargo area, and a cargo board that can be adjusted in two positions. In addition, a 9-inch display audio system with Apple CarPlay and Android Auto connectivity is now available as a factory-installed option for the first time on a minicar from Subaru. Furthermore, the design of the Chiffon Custom has been completely redesigned, centering on the front face. The Chiffon, which is supplied to Subaru on an OEM basis, is based on the Daihatsu Motor Co., Ltd. Tanto. A new outdoor-oriented version, the Tanto Fun Cross, was added to the upgraded Tanto lineup, which went on sale on October 3.</t>
    <phoneticPr fontId="1"/>
  </si>
  <si>
    <t xml:space="preserve">On November 11, Subaru Corporation (Subaru) started accepting pre-orders for the all-new Crosstrek in Japan. While the vehicle has been called Crosstrek or Subaru XV depending on the market, the Crosstrek name will be used globally beginning with this third generation model. </t>
    <phoneticPr fontId="1"/>
  </si>
  <si>
    <t>On December 5, Ford Pro and Deutsche Post DHL Group signed a Memorandum of Understanding (MOU) to accelerate the deployment of electrified vans used for logistics operations worldwide. Ford Pro will equip Deutsche Post DHL Group with more than 2,000 electric delivery vans worldwide by the end of 2023. Ford Pro has already handed over its first E-Transits under the agreement, joining Deutsche Post DHL Group's electric fleet used for last-mile deliveries in several countries. The order volume concentrates on the E-Transit panel vans designed for handling express shipments in the Americas and Europe.</t>
    <phoneticPr fontId="1"/>
  </si>
  <si>
    <t>On December 2, Maruti Suzuki, India announced that it expects its production to be impacted due to the shortage of electronic components in December 2022 as compared to the past recent months. The company is taking all possible measures to minimize the impact. It mentioned that the shortage of electronic components had a minor impact on the production of vehicles during November '22.</t>
    <phoneticPr fontId="1"/>
  </si>
  <si>
    <t>https://www.marklines.com/en/global/2379</t>
    <phoneticPr fontId="1"/>
  </si>
  <si>
    <t>On December 2, Toyota Motor Manufacturing (UK) Ltd (TMUK) announced that it will receive funding from UK Government through the Advanced Propulsion Centre (APC) for the development of a fuel cell-powered Hilux. In collaboration with highly skilled UK-based technical engineering partners, namely Ricardo, ETL, D2H, and Thatcham Research, the project aims to adopt second-generation Toyota fuel cell components (as used in the latest Toyota Mirai) for the transformation of a Hilux into a fuel cell electric vehicle. While TMUK is leading the project, a team from Toyota Motor Europe (TME) R&amp;D will provide expert technical support. Within the scope of the bid, the initial prototype vehicles will be produced at the TMUK site in Burnaston during 2023. Following successful performance results, the target is to prepare for small series production.</t>
    <phoneticPr fontId="1"/>
  </si>
  <si>
    <t>https://www.marklines.com/en/global/10026</t>
    <phoneticPr fontId="1"/>
  </si>
  <si>
    <t>https://www.marklines.com/en/global/10297</t>
    <phoneticPr fontId="1"/>
  </si>
  <si>
    <t>On December 2, BMW Group started production of its BMW iX5 Hydrogen model at the pilot plant at its Munich Research and Innovation Centre (FIZ). It has already completed an intensive program of testing under demanding conditions during the development phase and will now be used as a technology demonstrator for locally carbon-free mobility in selected regions from spring 2023. BMW Group Plant Spartanburg in the USA supplies the base vehicles for the hydrogen model, which has been developed on the platform of the BMW X5. The fuel cell systems located have been manufactured at BMW's in-house competence center for hydrogen in Garching to the north of Munich. Numerous components are produced exclusively for the hydrogen-powered SAV, including some made at the Additive Manufacturing Campus which also forms part of the pilot plant. Every vehicle undergoes a comprehensive operational check at the BMW Group's test center in Aschheim.</t>
    <phoneticPr fontId="1"/>
  </si>
  <si>
    <t>https://www.marklines.com/en/global/10534</t>
    <phoneticPr fontId="1"/>
  </si>
  <si>
    <t>https://www.marklines.com/en/global/10197</t>
    <phoneticPr fontId="1"/>
  </si>
  <si>
    <t>https://www.marklines.com/en/global/1815</t>
    <phoneticPr fontId="1"/>
  </si>
  <si>
    <t>On December 1, Steyr Automotive announced that it will continue contract manufacturing for MAN Truck &amp; Bus until the end of September 2023. The extension of the phase-out originally schedules for the end of May. The MAN production network would be supplied with painted truck add-on parts from Steyr Automotive's plastic parts paint shop until 2027 at any rate.</t>
    <phoneticPr fontId="1"/>
  </si>
  <si>
    <t>On December 1, Stellantis announced that it is now possible to order the new Avenger, the first completely electric Jeep SUV which recently made its world premiere at the 2022 Paris Motor Show. Orders for Jeep Avenger are open in the following countries: Italy, France, Germany, Spain, Belgium, Luxembourg, Netherlands, Austria, Portugal, and Poland.</t>
    <phoneticPr fontId="1"/>
  </si>
  <si>
    <t>https://www.marklines.com/en/global/1751</t>
    <phoneticPr fontId="1"/>
  </si>
  <si>
    <t>On December 1, DAF Trucks delivered the first military vehicles out of a total of 879 trucks to the Belgian Armed Forces. The handover took place in DAF's Axle and Cab Factory in Westerlo, Belgium. DAF is working closely with Czech vehicle manufacturer TATRA TRUCKS on the CF Military trucks. The trucks are powered by a 10.8-liter PACCAR MX-11 (4x4) or a 12.9-liter PACCAR MX-13 (8x8) engine. The non-armored cabins for CF Military trucks are produced from start to finish at the DAF factory in Westerlo. The interiors for the state-of-the-art shielded cabins, which are supplied by TATRA DEFENCE VEHICLES, are also produced in Westerlo.</t>
    <phoneticPr fontId="1"/>
  </si>
  <si>
    <t>https://www.marklines.com/en/global/1499</t>
    <phoneticPr fontId="1"/>
  </si>
  <si>
    <t>On December 1, CARIAD signed the corresponding purchase agreement with paragon GmbH &amp; Co. KGaA to acquire AI specialist paragon semvox. With the acquisition, CARIAD is strengthening its competencies in the field of digital voice assistants based on artificial intelligence. The closing of the transaction is expected in spring 2023. After completion of the acquisition, paragon semvox GmbH will become a wholly owned subsidiary of CARIAD. Currently, more than 140 employees work at the semvox sites in Limbach and Nuremberg. All jobs will be retained.</t>
    <phoneticPr fontId="1"/>
  </si>
  <si>
    <t>On December 1, GAC Group announced that GAC FCA, the joint venture with Stellantis N.V., has received an acceptance notice of bankruptcy liquidation from the Changsha Intermediate People’s Court of Hunan Province on November 29, 2022. GAC Group has approximately CNY 1.035 billion in claims against GAC FCA, of which CNY 292 million has been completed with provision for impairment, and up to CNY 200 million will be earmarked for resettlement of GAC FCA’s employees, which is expected to be paid in priority in the bankruptcy liquidation. In addition, the bankruptcy liquidation will not have a significant impact on GAC Group’s ongoing operations.</t>
    <phoneticPr fontId="1"/>
  </si>
  <si>
    <t>On November 30, Valmet Automotive started the series production of the Lightyear 0, the first true solar electric vehicle, at the Uusikaupunki, Finland plant. Lightyear 0 is the first solar electric vehicle (SEV) to enter series production. The assembly line for the Lightyear 0 features state-of-the-art technological solutions, with an overarching focus on work safety and ergonomics. With Lightyear, Valmet Automotive has also trained a dedicated production team to ensure a smooth production start.</t>
    <phoneticPr fontId="1"/>
  </si>
  <si>
    <t>https://www.marklines.com/en/global/4081</t>
    <phoneticPr fontId="1"/>
  </si>
  <si>
    <t>On November 30, GAC Honda officially launched the new Vezel small-sized SUV. For the powertrain, the new vehicle features a 1.5L Earth Dreams Technology i-VTEC direct injection engine with a maximum power of 91kW and a peak torque of 145Nm, mated to a CVT transmission, with a minimum fuel consumption of 6.30L/100km (reference value) under the WLTC standard. The drive mode is FWD. In terms of configuration, the new vehicle features ABS (Antilock Brake System) and EBD (Electronic Brakeforce Distribution) as standard, with some models featuring OTA upgrading, and ACC (Active Cruise Control).</t>
    <phoneticPr fontId="1"/>
  </si>
  <si>
    <t>On November 30, GWM participated in the 39th Thailand International Motor Expo with its New Energy Vehicle (NEV) lineup, of which the production version of the Tank 500 HEV mid-to-large-sized luxury commercial SUV and the Ora Lightning Cat electric coupe made their debut in Thailand. Other NEVs exhibited were the 2023 Haval H6 HEV, the Haval H6 PHEV, the Haval Jolion HEV, and the Ora Funky Cat GT. So far, GWM has launched 5 NEVs in Thailand, with more than 13,000 users. In 2023, the company will launch 4 new NEVs in the country.</t>
    <phoneticPr fontId="1"/>
  </si>
  <si>
    <t>https://www.marklines.com/en/global/9604</t>
    <phoneticPr fontId="1"/>
  </si>
  <si>
    <t>https://www.marklines.com/en/global/10420</t>
    <phoneticPr fontId="1"/>
  </si>
  <si>
    <t>On November 30, Ftxt Energy, a Great Wall Holding Group subsidiary, officially completed its Series B financing with CNY 555 million. The financing will further accelerate the R&amp;D and iterative upgrading of Ftxt Energy’s new technologies and products, help the company build a global R&amp;D system, attract high-end R&amp;D talent, contribute to its capacity expansion, and consolidate its position in the markets of hydrogen energy and fuel cells. Concurrently, Ftxt Energy has commenced the Series B+ financing, and is preparing for its IPO (Initial Public Offering). In December 2021, the company completed its Series A financing with CNY 900 million, raising its valuation above CNY 4 billion.</t>
    <phoneticPr fontId="1"/>
  </si>
  <si>
    <t>On November 30, BYD announced it will begin selling its fully electric Tang SUV and Han sedan in Mexico in 2023 as a part of an expansion in portions of the Western Hemisphere.</t>
    <phoneticPr fontId="1"/>
  </si>
  <si>
    <t>According to multiple press releases dated November 29, as the coming of winter steeply intensifies COVID-19 outbreaks in China, OEMs have to implement temporary production suspension and closed-loop production. FAW-VW’s plant in Chengdu, Sichuan has temporarily suspended production last week due to the local COVID-19 outbreak. FAW-VW’s plant in Changchun, Jilin has suspended two production lines due to parts supply shortages. Additionally, Changan Ford’s plant in Chongqing has adopted closed-loop production due to the resurgence of COVID-19 in the city. According to a foreign press release dated November 30, Dongfeng Honda’s three plants in Wuhan, Hubei has suspended production on November 28, with two now back online.</t>
    <phoneticPr fontId="1"/>
  </si>
  <si>
    <t>https://www.marklines.com/en/global/4167</t>
    <phoneticPr fontId="1"/>
  </si>
  <si>
    <t>https://www.marklines.com/en/global/4213</t>
    <phoneticPr fontId="1"/>
  </si>
  <si>
    <t>On November 28, Great Wall Motors held the launch event for GWM brand and ORA Good Cat electric hatchback in Kuala Lumpur, Malaysia. Great Wall Motors plans to launch 9 models in Malaysia in the next 3 years, including sedan, SUV and pick-up truck models in the new energy vehicle (NEV) category. GWM also plans to have 15 outlets in Malaysia, with most of these to be 3S (sales, service, and spare parts) centers. Local assembly (CKD) operations are scheduled to start from 2023.</t>
    <phoneticPr fontId="1"/>
  </si>
  <si>
    <t>On December 1, 2022, Tesla delivered its first electric semi tractors to PepsiCo at the OEM’s plant in Sparks, Nevada, following a 3-year delay, largely due to the Covid pandemic and supply-chain related issues. The truck is powered by a 3-motor powertrain, using “essentially” the same drive units from the Model S and Model X “Plaid” light vehicles. It will also feature a liquid-cooled, 1 Megawatt charging cord.</t>
    <phoneticPr fontId="1"/>
  </si>
  <si>
    <t>On December 1, 2022, GM debuted the new, 2024-model Chevrolet Montana for the Brazilian market – and is the first compact unibody pickup in the brand’s history, as well as the new entry-level model in GM’s pickup portfolio in that market. It features unique cargo bed features, a 6-speed manual or automatic transmission, and is propelled by a 1.2L turbo that cranks out 133-horsepower and 155 lb-ft. (210 Nm) of torque. The Montana will be manufactured at GM’s Sao Caetano do Sul plant.</t>
    <phoneticPr fontId="1"/>
  </si>
  <si>
    <t>On December 1, Toyota announced that it will expand the Highlander nameplate in 2023 with the all-new Toyota Grand Highlander. Now in its fourth generation, the Highlander is built at Toyota’s plant in Princeton, Indiana. The world premiere of the Grand Highlander is set for February 8. </t>
    <phoneticPr fontId="1"/>
  </si>
  <si>
    <t>https://www.marklines.com/en/global/2315</t>
    <phoneticPr fontId="1"/>
  </si>
  <si>
    <t>On December 1, 2022, Ford said they are investing 150 million GPB into their Halewood, UK plant, which will be a major center for their European EV strategy. They will produce zero-emissions cars by 2030, followed by vans by 2035. The investment increases production to 420,000, versus the previous 250,000 per annum.</t>
    <phoneticPr fontId="1"/>
  </si>
  <si>
    <t>On November 30, Electrek reported that Tesla is aiming to increase production of the Model Y, with a target of 75,000 units to be build in Q1 2023. This translates into a production rate of 5,000 units per week throughout the first quarter. After the Model Y ramp-up, the OEM will then focus on the much-anticipated and much-delayed Cybertruck, although an exact timeline is not yet known.</t>
    <phoneticPr fontId="1"/>
  </si>
  <si>
    <t>On December 1, BMW began series production for the first-ever BMW XM at BMW Manufacturing in Spartanburg, South Carolina, built alongside the BMW X5, BMW X6, and BMW X7 on the same assembly line. A PHEV system comprising a V8 gasoline engine and powerful electric motor endows the BMW XM. The BMW XM will arrive at dealers worldwide in spring 2023.</t>
    <phoneticPr fontId="1"/>
  </si>
  <si>
    <t>https://www.marklines.com/en/global/9276</t>
    <phoneticPr fontId="1"/>
  </si>
  <si>
    <t>On November 30, GAC announced on its official website that around 3,800 employees of its investing enterprises in Panyu District and around 700 of its investing enterprises in the Mingzhu Industrial Park in Conghua District have implemented closed-loop work and production due to the COVID-19 outbreak in Guangzhou. 296 R&amp;D and design personnel and 132 external assistants of the GAC R&amp;D Center and over 500 employees in production and manufacturing of GAC Motor Co., Ltd. have been staying at the plants since November 24. GAC Hino Motors Co., Ltd. and Guangzhou GAC BYD New Energy Passenger Vehicle Co., Ltd. have also implemented closed-loop production to do their best to guarantee production and stabilize supply.</t>
    <phoneticPr fontId="1"/>
  </si>
  <si>
    <t>https://www.marklines.com/en/global/4105</t>
    <phoneticPr fontId="1"/>
  </si>
  <si>
    <t>https://www.marklines.com/en/global/6427</t>
    <phoneticPr fontId="1"/>
  </si>
  <si>
    <t>On November 29, Foton Motor announced on the Shanghai Stock Exchange (SSE) that it has been informed that a Civil Ruling made on the same day by the First Intermediate People’s Court of Beijing Municipality ruled to declare Beijing Borgward bankrupt. According to Foton Motor, the bankruptcy of Beijing Borgward will not impact its existing main business nor ongoing operations.</t>
    <phoneticPr fontId="1"/>
  </si>
  <si>
    <t>Borgward</t>
    <phoneticPr fontId="1"/>
  </si>
  <si>
    <t>On November 29, Geely announced that it has made a major breakthrough in engine thermal efficiency, achieving an effective thermal efficiency of 46% for lean-burn gasoline engines and 44% for lean-burn hydrogen engines in real-world testing. The two technological achievements will serve as a reserve of the Leishen technology and contribute to Geely’s goals of realizing “emission peak by 2030 and carbon neutrality by 2060”. At present, the thermal efficiency of the dedicated DHE15 Leishen engine installed in Geely’s Xingyue L flagship model, which features the Miller cycle and a high compression ratio of 13:1, is 43.32%. With the support of new technologies, there will be further breakthroughs in the effective thermal efficiencies of dedicated Leishen engines in the future.</t>
    <phoneticPr fontId="1"/>
  </si>
  <si>
    <t>On November 28, PT SGMW Motor Indonesia (Wuling) has inaugurated a partnership with PT Gotion Green Energy Solutions Indonesia (Gotion High-Tech) with the MoU inked at Wuling’s Cikarang plant that will cover both companies’ long-term goal of innovating and developing EV batteries for the Indonesian automotive market. Under the agreement, Gotion Hight-tech will provide good quality batteries and professional after-sales service for Wuling EV batteries.</t>
    <phoneticPr fontId="1"/>
  </si>
  <si>
    <t>https://www.marklines.com/en/global/4171</t>
    <phoneticPr fontId="1"/>
  </si>
  <si>
    <t>According to multiple press releases dated November 27, Chongqing has been facing the most severe COVID-19 outbreak for the last 3 years since November. To cope with the impact and adverse effects of the outbreak on the industrial and supply chains and to maintain the smooth operation of the industrial economy, multiple enterprises in Chongqing adopted closed-loop production. Among OEMs, Changan Auto has implemented closed-loop management of its plant since mid-November to fully guarantee the stable and orderly progress of production and operation for the year. Lifan Technology Group (Lifan Technology) and Changan Kuayue Auto (CAKY) have commenced closed-loop production as well.</t>
    <phoneticPr fontId="1"/>
  </si>
  <si>
    <t>Lifan</t>
    <phoneticPr fontId="1"/>
  </si>
  <si>
    <t>https://www.marklines.com/en/global/4179</t>
    <phoneticPr fontId="1"/>
  </si>
  <si>
    <t>https://www.marklines.com/en/global/9476</t>
    <phoneticPr fontId="1"/>
  </si>
  <si>
    <t>Bangkok</t>
  </si>
  <si>
    <t>On November 24, Neta Auto Thailand and Bangchan General Assembly Co., Ltd. (BGAC) jointly inked an agreement to obtain the Thai Excise Department’s EV-related incentives. Both companies also expressed the readiness to assemble Neta’s electric cars at BGAC’s plant in Bangkok. Thanks to this MoU, NETA said it will be able to handover the NETA V electric cars to the customers (at the ‘government support’ prices) from early December.</t>
    <phoneticPr fontId="1"/>
  </si>
  <si>
    <t>In November 2022, Honda reported they will launch an all-new FCEV with plug-in charging capability, which will be manufactured at the Performance Manufacturing Center in Ohio. It will be used to test consumer acceptance and demand for FCEVs in US market and is based on the new, 6th-generation CR-V.</t>
    <phoneticPr fontId="1"/>
  </si>
  <si>
    <t>https://www.marklines.com/en/global/4277</t>
    <phoneticPr fontId="1"/>
  </si>
  <si>
    <t>According to multiple press releases dated November 29, a public notice of transactions released recently by the Xi’an Public Resources Trading Center (XPRTC) revealed that BYD Auto Co., Ltd. (BYD) has successfully acquired 100% of Xi’an Gaoke (Group) Corp.’s equity in Xi’an Silver Bus Co., Ltd. (Silver Bus) with CNY 166 million. The public notice period ends November 29.</t>
    <phoneticPr fontId="1"/>
  </si>
  <si>
    <t>Silver Bus</t>
    <phoneticPr fontId="1"/>
  </si>
  <si>
    <t>On November 29, Lordstown Motors announced that the first units of a planned initial batch of 500 Endurance EV pickups are leaving the Foxconn EV Ohio plant for customer delivery after receiving certification from both the EPA and CARB. Ramping up slowly, the company hopes to deliver 50 vehicles by the end of 2022, with the rest of the 450 units to be delivered in the first half of 2023.</t>
    <phoneticPr fontId="1"/>
  </si>
  <si>
    <t>Hongqi</t>
    <phoneticPr fontId="1"/>
  </si>
  <si>
    <t>https://www.marklines.com/en/global/9099</t>
    <phoneticPr fontId="1"/>
  </si>
  <si>
    <t>On November 28, the FAW Hongqi R&amp;D Center announced that the Hongqi steering team of the chassis development division of the FAW New Energy Development Center has developed the Hands On/Off Detection (HOD) steering wheel technology debuted in China. The HOD technology detects and indicates whether the driver is operating the steering wheel to identify vehicle status under driver control (driving autonomously or manually) and warn the driver, or activate the available assistance system depending on the detection result. So far, Hongqi’s HOD technology has been first applied to the Hongqi E-HS9 large-sized battery electric SUV.</t>
    <phoneticPr fontId="1"/>
  </si>
  <si>
    <t>https://www.marklines.com/en/global/10437</t>
    <phoneticPr fontId="1"/>
  </si>
  <si>
    <t>On November 28, Tencent announced that it has signed a cooperation agreement with Nio to cooperate on intelligent driving map, autonomous driving cloud, and digital eco-community. In the future, the two parties will explore in detail the R&amp;D of Nio’s intelligent driving technologies and innovation in user experience.</t>
    <phoneticPr fontId="1"/>
  </si>
  <si>
    <t>On November 28, Aiways officially signed a strategic cooperation agreement with Phoenix EV, a Thai company headquartered in Bangkok. According to the agreement, Phoenix EV plans to purchase some 150,000 New Energy Vehicles (NEVs) from Aiways in the next 5 years or so for retail and operation, covering all of Aiways’ lineups. Concurrently, both parties plan to cooperate on businesses including sales, after-sales services, charging and battery swapping network, and development of localized software in the future. The companies will consider a joint venture named “Aiways Thailand” in Thailand to serve Thai and even global consumers, which marks the launch of Aiways’ Southeast Asia development strategy.</t>
    <phoneticPr fontId="1"/>
  </si>
  <si>
    <t>According to multiple press releases dated November 28, Wuhan, Hubei has recently been facing a grim and complicated COVID-19 outbreak, which presents a rapid spread situation of multi-point scattered occurrence, multi-infection-chain intertwining and multi-area dense occurrence, with a number of new high-risk areas in the Wuhan Economic &amp; Technological Development Zone. In response, Dongfeng Motor (DFM)’s plants in Wuhan implemented strict control and closed-loop production. Dongfeng Passenger Vehicle Co., has been mobilizing its human and material resources urgently since November 23 for a double-shift production capability, with nearly 2,300 employees stationed at the plant to strive to secure the delivery of new vehicles while strictly implementing all preventive measures. Dongfeng Honda has equipped all its workshops with integrated medium- and high-risk identification devices and face recognition and temperature measurement integration equipment, greatly improving the efficiencies of epidemic prevention and testing and logistics services. Dongfeng Peugeot Citroen Automobile’s Wuhan plant has strictly implemented closed-loop management, with 1,100 employees that include support crew, management personnel and front-line workers stationed at the plant for closed-loop production. In addition, 100 employees have been assigned for stationed production at Voyah’s final assembly workshop, and a special team has been set up to secure parts supply.</t>
    <phoneticPr fontId="1"/>
  </si>
  <si>
    <t>Tesla’s Gigafactory Berlin has recently boosted output by 65% compared to September, when it reached a production rate of 2,000 Model Ys per week, or about 333 vehicles per day. A total of 550 cars were produced in one day in late November. At the new rate, Gigafactory Berlin can produce around 3,300 Model Ys per week, which is approaching the planned milestone of 5,000 vehicles per week. Plans to add a third shift in mid-December will put the plant closer to that target.</t>
    <phoneticPr fontId="1"/>
  </si>
  <si>
    <t>On November 25, Shanghai Hydrogen Propulsion Technology Co., Ltd. (Hydrogen Propulsion Technology), a SAIC subsidiary, announced that SAIC-Hongyan has put its 49T fuel cell tractors into operation in Shanghai, mainly in Jiading and Lingang. The vehicles feature Hydrogen Propulsion Technology’s PROME P3X fuel cell system, which has a rated power of 117kW. Previously, SAIC-Hongyan had put its heavy-duty hydrogen fuel cell trucks into operation in coal mining areas in Ordos, Inner Mongolia.</t>
    <phoneticPr fontId="1"/>
  </si>
  <si>
    <t>Inner Mongolia</t>
  </si>
  <si>
    <t>On November 25, Dongfeng Motor (DFM) announced on its official website that Voyah, its sub-brand, has formed a cooperation with Orange Energy, a Didi sub-brand.</t>
    <phoneticPr fontId="1"/>
  </si>
  <si>
    <t>https://www.marklines.com/en/global/893</t>
    <phoneticPr fontId="1"/>
  </si>
  <si>
    <t>On November 28, 2022, it was reported that Nissan’s A1 plant in Aguascalientes, Mexico, is the OEM’s fastest plant, with the capacity to produce up to 65 vehicles per hour. The factory has a workforce of more than four thousand employees to run five plants: stamping, body shops, paint, plastics plant and assembly plant.The announcement was made as part of the facility’s 30th anniversary.</t>
    <phoneticPr fontId="1"/>
  </si>
  <si>
    <t>Ghandara Industries</t>
    <phoneticPr fontId="1"/>
  </si>
  <si>
    <t>https://www.marklines.com/en/global/1049</t>
    <phoneticPr fontId="1"/>
  </si>
  <si>
    <t>On November 25, Ghandhara Nissan Ltd. announced that the company in coordination and support of the principal is aggressively working to increase its production capacity and working on a new product line-up including PHEVs (Plug-in hybrid electric vehicles). It also mentioned that the challenge they are facing right now is to streamline the supply and demand situation due to LC (Letter of Credit) restrictions by the Central Bank and allocation of quota for KD (Knocked-down) kits ordering.</t>
    <phoneticPr fontId="1"/>
  </si>
  <si>
    <t>On November 25, Geely officially launched the Xingyue L Hi-P, the extended-range electric version of the Xingyue L compact SUV. For the powertrain, the new vehicle features a DHE15 1.5TD engine (maximum power 110kW and peak torque 225Nm), a motor (maximum power 107kW and peak torque 338Nm) and a 3-speed inverter electric drive DHT Pro transmission, with a range extender thermal efficiency of 43.32%. Equipped with a 41.2kWh CTP flat battery, the vehicle has a respective range-extended range of 1,250km and 1,400km under the WLTC and CLTC standards, a respective battery electric range of 205km and 245km under the WLTC and CLTC standards, and a combined fuel consumption of 5.3L/100km under the WLTC standard. In terms of configuration, high-end models of the new vehicle feature BSD (Blind Spot Detection) system, and APA (Automatic Parking Assist).</t>
    <phoneticPr fontId="1"/>
  </si>
  <si>
    <t>On November 24, SAIC Motor announced on its official website that SAIC Maxus has entered the Australian market with the right-hand drive versions of the Mifa 9 intelligent battery electric MPV, the T90 EV high-end battery electric pickup truck, the EV90 light-duty battery electric bus and the G90 intelligent ICE MPV.</t>
    <phoneticPr fontId="1"/>
  </si>
  <si>
    <t>https://www.marklines.com/en/global/4145</t>
    <phoneticPr fontId="1"/>
  </si>
  <si>
    <t>On November 24, Dongfeng Forthing held a launch conference for its new energy strategy, announcing its plan to achieve 100% electrification within 3 years and halt ICE vehicle production within 5 years. At the launch conference, Dongfeng Forthing also unveiled the EMA-E new energy-dedicated architecture platform, a new battery, a 7-seater concept MPV, and the Forthing Friday, its first battery electric SUV. The Forthing Friday, the company’s first battery electric SUV, features a new battery with a range of up to 630km, a lightweight 3-in-1 motor with a maximum efficiency of 98%, 12 Level 2+ level assisted driving systems, 19 intelligent hardware, and the HMI2.0 interaction system jointly developed by Dongfeng Forthing and Tencent. In addition, Dongfeng Forthing announced at the conference that it has formed cooperation with Sunwoda, Huawei, iMotion Automotive Technology (Suzhou) Co., Ltd. and Tencent to jointly build a new energy ecosystem with everything connected and sustainable evolution. In the field of new energy, Dongfeng Forthing has invested a total of CNY 5 billion within the past 3 years, and will continue increasing R&amp;D investments in the future, with the amount expected to exceed CNY 20 billion by 2030.</t>
    <phoneticPr fontId="1"/>
  </si>
  <si>
    <t>On November 23, Hyundai Mobis announced it will invest USD 926 million to begin construction in January 2023 on an EV Power Electric system plant in Richmond Hill, Georgia, with production expected to begin in 2024. Once it reaches full production, it will be able to supply 900,000 EV Power Electric systems and 450,000 Integrated Charging Control Units annually to the Hyundai Motor Group Metaplant America (HMGMA) plant, the Hyundai Motor Manufacturing Alabama (HMMA) plant, and the Kia Georgia plant.  </t>
    <phoneticPr fontId="1"/>
  </si>
  <si>
    <t>Piaggio</t>
    <phoneticPr fontId="1"/>
  </si>
  <si>
    <t>https://www.marklines.com/en/global/1365</t>
    <phoneticPr fontId="1"/>
  </si>
  <si>
    <t>On November 29, Piaggio &amp; C. S.p.A. and Foton Motor Group signed a preliminary agreement for the development of a new range of four-wheel electric light commercial vehicles. The agreement consolidates the partnership set up by the two groups in September 2017 for the joint development of innovative solutions for the light commercial vehicles market. Over the coming months, the two groups will work on the development and approval of a production and commercial plan and on the contractual documents to finalize the technical documentation for the project and the contracts by Spring 2023.</t>
    <phoneticPr fontId="1"/>
  </si>
  <si>
    <t>https://www.marklines.com/en/global/1321</t>
    <phoneticPr fontId="1"/>
  </si>
  <si>
    <t>On November 28, Lancia organized Lancia Design Day and presented Lancia Pu+Ra Zero, its new and sustainable Design language, which inspires the vehicles that will be launched between 2024 and 2028. Lancia Pu+Ra Zero is a three-dimensional manifesto that holds the essence of Lancia's new Design and the vision of what the new Ypsilon, the new flagship, and the new Delta will look like. Lancia also presented a ten-year strategic plan which includes an efficient range of three new models - one every two years starting from 2024 - to cover 50% of the market. It will sell only 100% electric vehicles in 2028. It also presented a new logo to mark its entry into electric mobility. This new logo will be displayed on the new Ypsilon, on the new flagship, and the new Delta.</t>
    <phoneticPr fontId="1"/>
  </si>
  <si>
    <t>On November 28, GM announced that it has begun pilot production of its next-generation global crossover at the Changwon plant in South Korea, with the all-new 2024 Chevrolet Trax scheduled to go on sale in the U.S. and Canada in spring 2023, and is also expected to be introduced to the South Korean market in 2023. Production of the new 2024 Trax required a plant investment of KRW 900 billion (about USD 678 million).</t>
    <phoneticPr fontId="1"/>
  </si>
  <si>
    <t>On November 27, it is reported that GM Korea's Bupyeong Plant 2 closed on the 26th with the end of production after 60 years as part of its strategic shift toward more popular models. The plant used to produce Trax SUV and Mlibu sedan. The plan for the future use of the Bupyeong Plant 2 plant has not yet been confirmed. Bupyeong Plant 1, which produces the Trailblazer, a key export vehicle, will continue to operate normally. As a result, the 1,200 employees at the Bupyeong Plant 2 will be divided into 700 at the Changwon Plant and 500 at the Bupyeong 1st Plant. However, due to regional characteristics, the application rate for conversion to the Changwon plant is low.</t>
    <phoneticPr fontId="1"/>
  </si>
  <si>
    <t>On November 25, Karsan signed a memorandum of understanding with SCHACMINDO, a long-established Indonesian CREDO GROUP company, to support the transformation of the electric public transportation network in Indonesia, to produce and sell right-hand drive electric vehicles suitable for this market. Karsan is planning to sell the first vehicles, with the completed vehicles produced in Turkey, and later on, by establishing an SKD-type (semi-disassembled) production facility. It aims to introduce Karsan-branded electric vehicles to many different markets like Malaysia, the Philippines, Vietnam, Singapore, etc.</t>
    <phoneticPr fontId="1"/>
  </si>
  <si>
    <t>On November 23, JD Logistics announced on its official account that it has formed a cooperation with BMW Brilliance to undertake short-distance barge transport service of the company’s Shenyang production site. JD Logistics will realize electrified logistics transportation within and among OEM plants with 38 new energy trams to help BMW achieve the BMW iFACTORY strategic goal of producing automobiles in the most sustainable way.</t>
    <phoneticPr fontId="1"/>
  </si>
  <si>
    <t>On November 23, Great Wall Motor (GWM) held a launch conference for its Brazilian brand and a global debut ceremony for the Haval H6 PHEV 4WD Edition in Rio de Janeiro, Brazil, marking its further strategic deployment in South America. Additionally, at the launch conference, GWM signed a contract with a Brazilian dealership group. In early 2023, the Haval H6 PHEV will be officially launched in Brazil.</t>
    <phoneticPr fontId="1"/>
  </si>
  <si>
    <t>On November 22, Honda announced that its all-new 2023 Pilot will go on-sale on December 12 at dealerships across the U.S., including the new Pilot TrailSport model with special off-road features. The new fourth-generation Pilot and Pilot TrailSport will be built exclusively at the Honda Alabama Auto Plant in Lincoln, Alabama. </t>
    <phoneticPr fontId="1"/>
  </si>
  <si>
    <t>On November 28, Skoda Auto Volkswagen India Private Limited (SAVWIPL) announced that Volkswagen Group's Aurangabad facility has transitioned to 100% 'green' energy, well ahead of its 2025 target. The facility received its Green Energy Certificate from Maharashtra State Electricity Distribution Company Limited (MSEDCL). With this transition to 'green' energy, the Aurangabad plant will achieve an approximately 48% reduction in CO2 every year.</t>
    <phoneticPr fontId="1"/>
  </si>
  <si>
    <t>https://www.marklines.com/en/global/10515</t>
    <phoneticPr fontId="1"/>
  </si>
  <si>
    <t>Tamil Nadu</t>
  </si>
  <si>
    <t>On November 28, Switch Mobility partnered with JSW to introduce electric buses for employee transportation in India. This is the first largest electric bus order in the country for employee transportation, with 71 buses being delivered to JSW Steel, for their Vijayanagar plant. Switch Mobility will own and oversee entire operations including the setting-up of charging infrastructure and requisite maintenance efficacy, over a 12-year contract period. The air-conditioned buses include Switch EiV 12 which is embedded with proprietary, connected technology solutions, 'Switch iON'.</t>
    <phoneticPr fontId="1"/>
  </si>
  <si>
    <t>https://www.marklines.com/en/global/1107</t>
    <phoneticPr fontId="1"/>
  </si>
  <si>
    <t>On November 25, Renault Korea Motors announced that it held a meeting to share the preparation status and plans of Renault Korea Motors' eco-friendly new car and explain the new partner guide from the perspective of ESG management at the 'RKSA Regular Seminar' held on the 24th hosted by the 'Renault Korea Automobile Supplier Association (RKSA)'. Renault Korea Motors is in the process of collaborating with partners to develop parts to achieve the target of over 60% localization of parts for new eco-friendly cars. The new midsize SUV, the first of Renault Korea’s new eco-friendly cars, is being developed by Renault Technology Korea with the aim of launching it in 2024 based on the world-renowned CMA platform and next-generation hybrid system developed by Geely Group’s Swedish R&amp;D center.</t>
    <phoneticPr fontId="1"/>
  </si>
  <si>
    <t>https://www.marklines.com/en/global/2333</t>
    <phoneticPr fontId="1"/>
  </si>
  <si>
    <t>On November 26, multiple sources reported that Jaguar Land Rover is considering reducing production at its UK manufacturing plants in Solihull and Halewood till the first quarter of 2023 due to chip shortage. It will impact the output of models such as the Jaguar F-Pace and Land Rover Discovery Sport. However, its factory in Nitra, Slovakia, is not affected.</t>
    <phoneticPr fontId="1"/>
  </si>
  <si>
    <t>https://www.marklines.com/en/global/2335</t>
    <phoneticPr fontId="1"/>
  </si>
  <si>
    <t>On November 26, the Ministry of Industry and Trade of Russia announced that despite the sanctions imposed against the company, KAMAZ continues to produce trucks of the K4 and K5 generation. The monthly output is at least 100 and 150 units respectively. From February 2023, KAMAZ is planning to provide a full-scale production of K5 generation trucks using components that do not depend on supplies from unfriendly countries.</t>
    <phoneticPr fontId="1"/>
  </si>
  <si>
    <t>On November 26, PJSC SOLLERS announced that a new project to organize the production of a model line of light commercial vehicles under the SOLLERS brand was launched at the SOLLERS Alabuga site. New Russian products were named Atlant and Argo. SOLLERS vehicles will replace the Ford Transit. Sales of the first new LCVs will start in December 2022, and full-cycle production will be launched in 2023. The localization program for the new line of commercial vehicles will include diesel engine production, stamping production, localization of key electronic components, chassis components, etc. The SOLLERS Atlant model range will have a gross weight of 2.5 to 4.2 tons. It can be equipped with a 139 hp diesel engine or 150 hp environmental class Euro 5. SOLLERS Argo has a gross weight of 2.5 to 3.5 tons and is available with a 130-hp diesel engine. or with a 147 hp petrol engine Euro 5.</t>
    <phoneticPr fontId="1"/>
  </si>
  <si>
    <t>On November 26, AURUS announced that the serial production of the first Russian luxury SUV Komendant has started at its plant in Tatarstan. Less than a year and a half after the opening of the AURUS plant in Yelabuga, the second new model of the brand is already being put into production. The localization level is 70%, including the main components of the car, power plant, transmission, electronics, interior, and decorative solutions.</t>
    <phoneticPr fontId="1"/>
  </si>
  <si>
    <t>On November 25, UzAuto Motors announced that it has already exceeded its annual production plan. All volumes of components, including missing microchips supplied by foreign manufacturers, were used up ahead of schedule. It has decided to produce cars with incomplete components. The car goes completely through the production chain and remains in the warehouse with no missing parts. After the components are delivered, the production is completed. About 11,000 cars were equipped in this way. At the beginning of 2022, it planned to produce 280,000 cars, which is 21% more than last year. But due to the growing demand for Chevrolet cars, UzAuto managed to increase the planned production volume for 2022 to 340 thousand units, which is an increase of 44% from last year's volume.</t>
    <phoneticPr fontId="1"/>
  </si>
  <si>
    <t>Van Hool</t>
    <phoneticPr fontId="1"/>
  </si>
  <si>
    <t>https://www.marklines.com/en/global/1507</t>
    <phoneticPr fontId="1"/>
  </si>
  <si>
    <t>On November 25, Van Hool presented Van Hool T, a new product range that fits perfectly with the existing model portfolio of Van Hool luxury coaches: the EX and TDX series. Van Hool T will initially be marketed as Van Hool T Alicron (12-13 m), T Acron (10-14 m), and T Astron (13-14 m). PACCAR-DAF supplies engines from the EURO6 NG generation (11 &amp; 13 l.) with a power scale of 270 kW/367 hp to 390 kW/530 hp. Van Hool T offers a choice of automated gearboxes (ZF TraXon) and automatic gearboxes (ZF EcoLife and Allison). A new generation of seats for premium comfort is introduced with the launch of Van Hool T. With a weight saving of 5 to 6 kg per seat, savings can be made on fuel consumption.</t>
    <phoneticPr fontId="1"/>
  </si>
  <si>
    <t>On November 25, the BMW Group announced that it is building a plant for high-voltage batteries for the NEUE KLASSE vehicles at its location in Hungary. The company will create more than 500 additional jobs and will invest more than EUR 2 billion in the construction and commissioning of the entire plant by the end of 2025. The plant will start in the Autumn of 2023. The start of production of the 6th generation high-voltage batteries will take place parallel to the start of vehicle production. All high-voltage batteries for the vehicles built at the Debrecen plant are assembled on-site. The battery production covers an area of more than 140,000 square meters.</t>
    <phoneticPr fontId="1"/>
  </si>
  <si>
    <t>https://www.marklines.com/en/global/581</t>
    <phoneticPr fontId="1"/>
  </si>
  <si>
    <t>On November 24, Mitsubishi Fuso Truck and Bus Corporation announced it has conducted a verification test of an Autonomous Intelligent Tugger (AIT) to deliver vehicle components in the outdoor areas of its Kawasaki Plant in October and November 2022. The verification test took place with the AIT running along a 900 meter route between the engine manufacturing building and the vehicle assembly lines. Expected to be used mostly for engine transport, the AIT was tested to see if it could practically and safely move according to the predetermined route without causing production delays or collisions. In the testing, “TractEasy” of EasyMile SAS (Headquarters: Toulouse, France and Singapore) was selected to verify its application in a truck manufacturing environment. With a load capacity of 25 tons, the TractEasy AIT features centimeter-precise localization at any moment and wide-range perception to handle obstacles.</t>
    <phoneticPr fontId="1"/>
  </si>
  <si>
    <t>On November 24, Honda Motor Co., Ltd. (Honda) announced the utilization rate compared to the production plan of the Saitama Factory Automobile Plant is expected to be about 70% in early December. Although the plant just returned to normal operations in November, its production is expected to be reduced again due to factors such as semiconductor shortages. On the other hand, the Suzuka Factory, which also returned to normal operations in November, is expected to continue normal operations in early December.</t>
    <phoneticPr fontId="1"/>
  </si>
  <si>
    <t>On November 23, according to multiple press releases, BYD’s new energy power battery production site project settled in Wenzhou. BYD will deploy the industries of New Energy Vehicle power battery and related supporting core parts in Wenzhou, helping Wenzhou build a CNY-hundreds-of-billions-range New Energy Vehicle industry cluster. Located in Qiaotou Town, Yongjia County, Wenzhou, the new production site has a planned annual production capacity of 20GWh, and is expected to link the existing industries of power battery and automotive electronics in Wenzhou for transformation and upgrading, with the first production line to be put into operation in 2024.</t>
    <phoneticPr fontId="1"/>
  </si>
  <si>
    <t>According to GAC Aion’s official account dated November 23, HoloMatic has recently completed its Series C2 financing where GAC Capital was the lead investor. HoloMatic is a Chinese autonomous driving solution provider with a complete business structure from AI algorithm to embedded system and from big data-based closed-loop to system iteration and evolution. Previously, GAC Aion had partnered with HoloMatic for the development of Level 2++ Intelligent Driving, autonomous parking and memory parking, with NDA intelligent assisted driving now applied to the Aion LX Plus model that features three 2nd-generation LIDARs. In addition to open cooperation, GAC Aion has independently developed and mass-produced intelligent connectivity technologies such as the X-Soul architecture and the Psi OS. </t>
    <phoneticPr fontId="1"/>
  </si>
  <si>
    <t>On November 23, the Wujie Pro, a model under the Chery QQ series, was officially launched. Based on Chery’s @LIFE platform. For the powertrain, the models with a range of 301km feature a 55kW/150Nm permanent-magnet synchronous motor, mated to a 28.86kWh ternary lithium or 29.23kWh lithium iron phosphate battery, with a maximum speed of 120km/h. Those with a range of 408km feature a 70kW/120Nm permanent-magnet synchronous motor, mated to a 40.30kWh ternary lithium battery, with a maximum speed of 125km/h. The vehicle supports DC fast charging. In terms of configuration, the new vehicle is equipped with Huawei’s HiCar mobile phone interconnection, as standard, with some models equipped with a Qualcomm Snapdragon 6155 chip, 11 intelligent sensors, and 10 driving assistance features (including 540-degree panoramic view).</t>
    <phoneticPr fontId="1"/>
  </si>
  <si>
    <t>On November 22, Toyota Motor Corporation (Toyota) announced that its planned global production volume for December is expected to be approximately 750,000 units (approx. 250,000 units in Japan and 500,000 units overseas). In Japan, Toyota plans to temporarily suspend production at 4 production lines in 3 plants in December. Specifically, Toyota's Takaoka Plant will suspend production for 2 days at Production Line #2 line, while the Tahara Plant will suspend production for 4 days at its Production Line #1. Toyota Motor Kyushu, Inc. will also suspend production on December 28 at the Miyata Plant's Production Lines #1 and #2.</t>
    <phoneticPr fontId="1"/>
  </si>
  <si>
    <t>https://www.marklines.com/en/global/447</t>
    <phoneticPr fontId="1"/>
  </si>
  <si>
    <t>Kumamoto</t>
  </si>
  <si>
    <t>Tokyo Gas Engineering Solutions Corporation (TGES), a subsidiary of Tokyo Gas Co., Ltd. (Tokyo Gas), announced on November 22 that it has signed a basic agreement with Honda Motor Co., Ltd. (Honda) to install lithium-ion storage batteries (20MWh) and photovoltaic power generation equipment (1,200kW roof-mounted type and 800kW carport type) at Honda's Kumamoto Factory. TGES will provide one-stop services including system design, installation, and maintenance/monitoring, allowing Honda to introduce the system without incurring initial costs. According to TGES, the Kumamoto Factory has already installed and operated a solar power generation system (roof-mounted type, 3,800 kW) through TGES since October 2021, and this new installation will enable the plant to expand its use of renewable energy. According to TGES, the total capacity of solar power generation facilities at Honda’s Kumamoto Factory is expected to reach 7,000kW, including the planned expansion (1,200 kW carport type) by the end of FY2023. Combined with lithium-ion storage batteries, this is expected to reduce CO2 emissions by approximately 3,300 tons per year.</t>
    <phoneticPr fontId="1"/>
  </si>
  <si>
    <t>https://www.marklines.com/en/global/10287</t>
    <phoneticPr fontId="1"/>
  </si>
  <si>
    <t>In 2022, the Intelligent Systems and Software Engineering Center (ISSEC) of the Pan Asia Technical Automotive Center (PATAC) was established, which will focus on the five core fields of intelligent driving, intelligent cockpits, software-defined vehicles, electronic architectures and intelligent vehicle control to deliver technical solutions tailored to road conditions and mobility scenarios in China.</t>
    <phoneticPr fontId="1"/>
  </si>
  <si>
    <t>On November 22, the 2022 GM Tech Day was held in Shanghai. At the event, SAIC-GM announced that it will keep on accelerating the transformation of electrification and intelligent connectivity, and plans to invest a total of CNY 70 billion in new technologies in the two fields by 2025. In terms of electrification, product-wise, SAIC-GM will launch 4 new Ultium-based models in 2023 and a total of over 10 battery electric products under Cadillac, Buick and Chevrolet in the next five years. In the next two years, the company will introduce new-generation strong hybrid and plug-in hybrid technologies. In terms of connectivity, intelligent driving-wise, SAIC-GM will launch a new generation of the Super Cruise super driving assistance system, which will be first installed on the Cadillac Lyriq battery electric SUV via OTA remote upgrading before the Spring Festival in 2023 and be gradually applied to future models of Buick and Chevrolet. From 2024, SAIC-GM will bring Chinese consumers more advanced intelligent driving assistance features covering more scenarios, including navigation assistance and memory parking for expressways and open urban roads. Intelligent cockpit-wise, from 2023, the new-generation VCS intelligent cockpit system jointly developed by GM and the PATAC will be available with a Snapdragon 8195 chip and AR-HUD. </t>
    <phoneticPr fontId="1"/>
  </si>
  <si>
    <t>https://www.marklines.com/en/global/10439</t>
    <phoneticPr fontId="1"/>
  </si>
  <si>
    <t>On November 21, Dürr announced that the BMW Group is the world's first automaker to use the EcoPaintJet Pro in series production at its Leipzig plant. In Leipzig, the EcoPaintJet Pro provides the roof of the Mini Countryman with its characteristic contrasting color. For this purpose, the applicator is equipped with a nozzle plate containing around 50 virtually invisible holes, each with a diameter of approximately one-tenth of a millimeter. The paint is applied through these holes from a distance of 30 mm without generating any overspray at all and thus without any material loss. The technology employed in Leipzig makes it possible for each hole in the nozzle plate to be opened and closed individually.</t>
    <phoneticPr fontId="1"/>
  </si>
  <si>
    <t>According to multiple press releases and Neta Auto’s official account, on November 21, Neta Auto held the Hozon Strategy 2025 press conference. At the conference, Neta Auto unveiled the Hozon Intelligent Technology brand, which is a collective name for Neta’s technology sub-brands in the core automotive fields of powertrain, range extender system and computing power system. Neta Auto also launched three forward-looking products, including the Hozon Supercomputing, a central supercomputing platform for intelligent vehicles, the Hozon Electric Drive, an 800V SiC high-performance electric drive system, and the Hozon Extended Range, a high-efficiency 3-in-1 range extender. The Hozon Supercomputing is Neta Auto’s in-house developed full-stack central computing platform with installation on vehicles in 2024. Supports Level 4 Autonomous Driving with integrated intelligent driving and cockpit features. The platform is available in two versions, the Hozon Supercomputing 1.0 and the Hozon Supercomputing 2.0, of which the former will be installed on the upgraded version of the Neta S electric coupe, while the latter will be installed on models based on Neta Auto’s next-generation platform. The Hozon Electric will be installed on vehicles in 2023. The system has a maximum motor power of 250kW and a peak motor torque of 420Nm. Enabling it to be installed on coupes (the Neta S, etc.) where the front cabin spatial arrangement is extremely demanding.</t>
    <phoneticPr fontId="1"/>
  </si>
  <si>
    <t>https://www.marklines.com/en/global/363</t>
    <phoneticPr fontId="1"/>
  </si>
  <si>
    <t>On November 21, the all-new Toyota Kijang Innova Zenix made its global premiere in Indonesia. This 7th generation of Kijang in Indonesia noted some fundamental and comprehensive changes, including the TNGA: GA-C platform with a monocoque structure that replaces the ladder-on-frame structure. It also features the 2.0L TNGA engine, the 5th generation Toyota Hybrid System, and the 10-Speed Direct Shift CVT transmission. Its “Glamorous and Tough” exterior concept highlights the new Crossover Front Looks with the New Front Grille Design. Both Gasoline and Hybrid choices are available. The all-new Kijang Innova Zenix has also become the first Toyota model in Indonesia to make the HEV an option in every grade.</t>
    <phoneticPr fontId="1"/>
  </si>
  <si>
    <t>NEVS</t>
    <phoneticPr fontId="1"/>
  </si>
  <si>
    <t>https://www.marklines.com/en/global/2687</t>
    <phoneticPr fontId="1"/>
  </si>
  <si>
    <t>On November 18, NEVS (National Electric Vehicle Sweden AB) presented its self-driving vehicle, Sango, at Elmia AB, northern Europe’s leading trade fair for the manufacturing industry. NEVS also presented its view on sustainable transport and its mobility solution, PONS, aimed to reduce traffic congestion and lower emissions for a more sustainable future.</t>
    <phoneticPr fontId="1"/>
  </si>
  <si>
    <t>https://www.marklines.com/en/global/6429</t>
    <phoneticPr fontId="1"/>
  </si>
  <si>
    <t>On November 16, the Ministry of Industry and Trade, Morocco announced that SOMACA celebrated the production line of its 1,000,000th vehicle produced since 2005, when the Renault Group took control of the plant. The 1,000,000th vehicle is a Dacia Logan with a new brand visual identity, intended for the Moroccan market. The plant exports more than 75% of its overall production volume, which amounted to more than 73,000 vehicles in 2021. France, Spain, and Italy arrived as leaders of the countries importing models produced at SOMACA.</t>
    <phoneticPr fontId="1"/>
  </si>
  <si>
    <t>https://www.marklines.com/en/global/9814</t>
    <phoneticPr fontId="1"/>
  </si>
  <si>
    <t>Fujian</t>
    <phoneticPr fontId="1"/>
  </si>
  <si>
    <t>On April 30, SAIC Motor released its 2021 Social Responsibility Report. The report mentioned that in the paint workshop project of Ningde plant, SAIC Motor independently devised and designed a new circulating air scheme for the spray booth, which improved the circulation ratio of the spray system. It not only reduces the energy consumption of temperature and humidity adjustment, but also reduces the volume of exhaust gas to be treated by 56% compared with the original design. This new design greatly reduces the scale of subsequent exhaust gas treatment equipment, and the exhaust gas treatment equipment can abandon the zeolite concentration runner and directly use RTO incineration. While increasing the amount of waste heat recovery, the waste gas treatment efficiency is increased to more than 98%, and VOCs emission reduction is achieved.</t>
    <phoneticPr fontId="1"/>
  </si>
  <si>
    <t>Shanghai</t>
    <phoneticPr fontId="1"/>
  </si>
  <si>
    <t>On September 16 , SAIC Group made an announcement at the 2022 World Intelligent Connected Vehicles Conference that focusing on the green strategic goal of “carbon peak and carbon neutrality” and the industry transformation trend of "data-determined experience and software-defined automobile". The company stated that it has been accelerating its transformation into a user-oriented high-tech enterprise in recent years and is going full steam ahead on a new path of "Intelligent Connected Vehicle". At present, SAIC’s implementation of its “five centers” which comprise software development, artificial intelligence, big data, cloud computing, and network security have been preliminarily completed. The three vehicle technology bases are “SAIC Nebula” dedicated pure electric platform, “SAIC Everest” mechatronics architecture, and “SAIC Galaxy” dedicated hydrogen energy architecture, and the four key system technology bases are the “Blue Core” powertrain system, the platform-based “Rubik’s Cube” battery system, the “Green Core” electric drive system, and the “Galaxy” full-stack smart car solution. Combined these form the "seven major technology bases" and are currently being accelerated.</t>
    <phoneticPr fontId="1"/>
  </si>
  <si>
    <t>On November 9, Automotive Cells Company (ACC) announced that the construction of the ACC battery cell plant on the Opel site in Kaiserslautern is progressing. The no longer used Opel workshop is currently being demolished. In 2025, the production of car battery cells is scheduled to start at the Opel site. By 2030, there should be a total of three blocks in which battery cells with an annual capacity of 40 GWh are to be built; around 500,000 to 800,000 vehicles can be equipped with this. In the past few weeks, the employee in Kaiserslautern has grown to just 20, by the start of 2025 there should be around 700 and by 2030 finally be 2000. Due to the current energy crisis, ACC is already forced to keep the consumption of energy as low as possible or to obtain it from renewable sources.</t>
    <phoneticPr fontId="1"/>
  </si>
  <si>
    <t>On December 9, URAL Automobile Plant announced that it has built a new test site at the car factory. The facility includes a swimming pool for testing cars, a flyover for testing the handbrake, an obstacle course in the form of a comb, a ditch, and a vertical wall.</t>
    <phoneticPr fontId="1"/>
  </si>
  <si>
    <t>On December 9, Avtotor joined the working group on the development of electric transport, charging infrastructure, and re-motorization under the government of the Kaliningrad region. The members of the working group also discussed issues related to the expansion of the use of ecological transport, stimulation of demand for electric vehicles and charging infrastructure, and assessed the feasibility of various incentives, subsidies, and benefits for owners of electric vehicles. Avtotor is implementing an investment project for the production of electric vehicles at a plant in Kaliningrad. Full-fledged production of electric vehicles is planned to begin in 2023.</t>
    <phoneticPr fontId="1"/>
  </si>
  <si>
    <t>On December 8, Hyundai Motor Group and SK On announced further details for a new EV battery facility in the U.S. With an investment of USD 4.5 billion, the new plant will be located at Bartow Centre on Highway 411, and is aiming to begin operations in 2025.</t>
    <phoneticPr fontId="1"/>
  </si>
  <si>
    <t>Tesla will shorten production shifts at its Shanghai factory as soon as December 12 and operate two 9 1/2-hour shifts per day, down from two 11 1/2-hour shifts currently, according to people familiar with the situation. Some production staff scheduled to start in November, including in Tesla’s battery workshops and on assembly lines, were informed that their start dates would be delayed.</t>
    <phoneticPr fontId="1"/>
  </si>
  <si>
    <t>On December 8, MAN Truck &amp; Bus announced that Norwegian transport operator Unibuss has ordered 76 Lion's City E buses, including 59 solo and 17 articulated buses. These buses will be used in the northeast and east of Oslo. Delivery of the 76 MAN Lion's City E is scheduled for the end of 2023. In addition to supplying the vehicles, MAN will also provide service and maintenance for the city buses for a period of up to 12 years.</t>
    <phoneticPr fontId="1"/>
  </si>
  <si>
    <t>On December 7, multiple sources reported that Toyota fired most of the company's employees at the St. Petersburg plant in Russia. Toyota Russia stated that organizational and staffing activities will last until the end of 2022. During the period from November 14 to December 2, most of the plant's employees were dismissed by the agreement of the parties. At the moment, the branch has 137 employees.</t>
    <phoneticPr fontId="1"/>
  </si>
  <si>
    <t>https://www.marklines.com/en/global/10476</t>
    <phoneticPr fontId="1"/>
  </si>
  <si>
    <t>According to multiple press releases dated December 7 and information from the National Enterprise Credit Information Publicity System (NECIPS), Jidu Automobile Co., Ltd. (Jidu Auto) changed its name to Shanghai Mihang Automobile Co., Ltd. (Mihang Auto). Jidu Auto responded that this is a normal adjustment based on the needs of company business development. The principal company of Jidu Auto is Shanghai Jidu Automobile Co., Ltd., which remains jointly owned by Baidu and Geely with unchanged shareholdings. According to relevant sources, the company name change will not affect subsequent arrangements for the brand.</t>
    <phoneticPr fontId="1"/>
  </si>
  <si>
    <t>On December 7, Niutron, announced that it’s unable to deliver the Niutron NV, its first mid-to-large-sized electric SUV, in the short run. Multiple press releases revealed that according to the current policy, for NEV makers who have halted production for over 24 months, production resumption needs to be verified by the Ministry of Industry and Information Technology. Since 2019, the Dorcen Jintan plant has been closed due to difficulties in operation, which has been over two years. A review by the competent authorities is needed to restart the plant, which is highly likely to result in the inability to produce the Niutron NV in the short run.</t>
    <phoneticPr fontId="1"/>
  </si>
  <si>
    <t>https://www.marklines.com/en/global/2271</t>
    <phoneticPr fontId="1"/>
  </si>
  <si>
    <t>On December 7, Volkswagen announced that it will invest EUR 460 million in the Wolfsburg plant by the beginning of 2025 to produce the new ID. 3. The full production of the new ID.3 is slated for 2024. Ramp-up is due for completion by the end of 2025. Post-ID.3 ramp-up, Volkswagen will plan a further all-electric model for the SUV segment here. The technical basis for the new model is the Modular Electric Drive System (MEB). Volkswagen will use the MEB+, the further development of the successful MEB e-car platform, for the e-SUV. Volkswagen plans to use the system's highly-standardized unified cell manufactured at the Group's own cell factory in Salzgitter (start of production in 2025). By the end of 2033, the Volkswagen brand will only build electric cars in Wolfsburg. The lodestar of the strategy remains the Trinity vehicle project based on the highly-scalable SSP platform. The project will get underway in line with staggered software development. A decision on where the vehicle will be built in Wolfsburg has not yet been taken. That is why Volkswagen is keeping the option to create a new factory in Warmenau open.</t>
    <phoneticPr fontId="1"/>
  </si>
  <si>
    <t>https://www.marklines.com/en/global/10547</t>
    <phoneticPr fontId="1"/>
  </si>
  <si>
    <t>https://www.marklines.com/en/global/2261</t>
    <phoneticPr fontId="1"/>
  </si>
  <si>
    <t>On December 7, AvtoVAZ delivered 300 LADA Granta sedans to YAMOSKVA. YAMOSKVA is an official partner of Yandex Taxi. Earlier in August, 200 cars of the same model were shipped. It is expected that deliveries will continue until the end of the year.</t>
    <phoneticPr fontId="1"/>
  </si>
  <si>
    <t>On December 6, Envision AESC’s announced the company will begin construction on its new USD 810 million battery plant in the city of Florence to supply BMW. Located in an 870-acre Technology and Commerce Park in Florence, the new plant will encompass approximately 1.5 million square feet, and is scheduled to start production in 2025. The battery plant will initially have 30 GWh of battery capacity per year.</t>
    <phoneticPr fontId="1"/>
  </si>
  <si>
    <t>https://www.marklines.com/en/global/655</t>
    <phoneticPr fontId="1"/>
  </si>
  <si>
    <t>On December 6, Volkswagen Group South Africa (VWSA) announced that it has produced the 2-millionth unit of its popular Polo and Polo Vivo models at the Kariega plant. The vehicle, a left-hand drive, will go to Germany. VWSA currently exports the Polo built-in Kariega to 38 countries, building this vehicle for all right-hand-drive markets and supplementing production for left-hand-drive markets. The Kariega plant is also the sole manufacturer worldwide of the Polo GTI and builds Polo Vivo for the local market.</t>
    <phoneticPr fontId="1"/>
  </si>
  <si>
    <t>On December 6, AvtoVAZ announced that the 200,000th vehicle produced in 2022 rolled off the AvtoVAZ assembly line. The figure of 200,000 vehicles manufactured by AVTOVAZ during the 11 months of 2022 includes both LADA models and cars assembled under a contract with Renault, as well as assembly kits. AvtoVAZ said that in the current conditions of sanctions pressure and rupture of supply chains, its team is performing a real labor feat. It continues to actively work on the resumption of production of Vesta, Largus, as well as to develop many new projects.</t>
    <phoneticPr fontId="1"/>
  </si>
  <si>
    <t>https://www.marklines.com/en/global/2233</t>
    <phoneticPr fontId="1"/>
  </si>
  <si>
    <t>On December 6, Mercedes-Benz announced that it will double the production capacity of electric drive units at the Untertürkheim plant in 2024. The company and employee representatives have agreed on the significant expansion of production capacities for electric drive units as part of a new works agreement. In the target scenario, one million electric drive units can be produced for Mercedes-EQ vehicles. Construction of the new assembly lines on the site of the Untertürkheim plant, as well as the Bad Cannstatt plant, will begin next year. In the future, Untertürkheim and the Hedelfingen and Mettingen annexes will manufacture and supply parts of the electric drive unit.</t>
    <phoneticPr fontId="1"/>
  </si>
  <si>
    <t>On December 5, Volkswagen announced that its Puebla plant will temporarily stop production of Jetta and Taos models due to a lack of semiconductors. From December 5 through December 23, Jetta line employees will not work in any shifts, and Taos line second shift employees will not work for three weeks, from December 5 to December 23. Approximately 2,500 units of the two models will not be produced during this time.</t>
    <phoneticPr fontId="1"/>
  </si>
  <si>
    <t>On December 5, Foton Motor announced its intention to establish a joint venture (JV) with Contemporary Amperex Technology Co., Ltd. (CATL). The JV is tentatively named Foton Shidai New Energy Technology Co., Ltd. (subject to the approval from the market supervision and administration department) and has a registered capital of CNY 200 million, with each of the two parties contributing CNY 100 million and holding 50%. Tentatively, the registered address is Huairou District, Beijing, and the business scope covers new energy truck battery leasing.</t>
    <phoneticPr fontId="1"/>
  </si>
  <si>
    <t>Rivian has announced they are partnering with Apex Clean Energy to purchase power from a proposed windfarm near their plant in Normal, Illinois. This, combined with other renewable sourcing and on-site generation will enable the OEM to power up to 75% of the plant’s power needs. The project is currently scheduled to begin operations in 2024.</t>
    <phoneticPr fontId="1"/>
  </si>
  <si>
    <t>https://www.marklines.com/en/global/10027</t>
    <phoneticPr fontId="1"/>
  </si>
  <si>
    <t>On December 5, Toyota Motor Europe (TME) announced the debut of the new C-SUV segment Toyota bZ Compact SUV Concept, designed in Europe by Toyota European Design and Development (ED2) in France as a full battery-electric vehicle (BEV). The new full battery-electric bZ Compact SUV Concept has a length of 4,538mm, a width of 1,888mm, and a height of 1,560mm. In Europe, Toyota plans to introduce six models carrying the bZ (Beyond Zero) brand by 2026.</t>
    <phoneticPr fontId="1"/>
  </si>
  <si>
    <t>On December 5, Toyota Motor Europe (TME) announced its commitment to achieving full carbon neutrality in Europe by the latest 2040. TME will target to achieve a 100% CO2 reduction in all new vehicles in the EU, UK, and EFTA by 2035. TME also outlined its objective of making all its European manufacturing facilities carbon-neutral by 2030. At its engine plant in Deeside in the UK, TME has installed solar panels equivalent to 10 football pitches while recycling over 90% of its waste to generate green energy and we expect to be carbon neutral as early as 2025.</t>
    <phoneticPr fontId="1"/>
  </si>
  <si>
    <t>https://www.marklines.com/en/global/9581</t>
    <phoneticPr fontId="1"/>
  </si>
  <si>
    <t>On December 5, Avtotor announced that it is planning to create its foundry and mechanical plant. It will organize the production of castings - cast billets from aluminum alloys, which will be used for the production of electric motors.  Some of the necessary equipment is already produced in Russia, some will be supplied from other countries. The production facilities of the plant include two furnaces for the preparation of aluminum alloys and machines for the production of profiles by extrusion for the manufacture of car bodies and frames. The plant will also use a set of injection molding machines using automation tools.</t>
    <phoneticPr fontId="1"/>
  </si>
  <si>
    <t>https://www.marklines.com/en/global/1621</t>
    <phoneticPr fontId="1"/>
  </si>
  <si>
    <t>Announced on December 5, BMW Group and Truong Hai Auto Corporation (THACO) joined hands to manufacture BMW vehicles in Vietnam after nearly five years since relaunch of the BMW brand and bringing THACO on board as the official importer of BMW vehicles in the market. Its most popular models planned for local production will include the BMW 3 Series, BMW 5 Series, BMW X3, and BMW X5. These models will become part of THACO’s manufacturing business in Chu Lai, Quang Nam Province.</t>
    <phoneticPr fontId="1"/>
  </si>
  <si>
    <t>Truong Hai</t>
    <phoneticPr fontId="1"/>
  </si>
  <si>
    <t>https://www.marklines.com/en/global/10432</t>
    <phoneticPr fontId="1"/>
  </si>
  <si>
    <t>Construction at Ford’s new BlueOval SK battery park in Kentucky is proceeding on-schedule. Ford is investing USD 5.8 billion to produce batteries for future Ford and Lincoln models. The goal is to produce more than 80 gigawatt-hours annually to power existing vehicles, including the Mustang Mach-E and forthcoming Lincoln EV. Battery production is still on track to begin in 2025, and this additional plant will create approximately 5,000 in Kentucky.</t>
    <phoneticPr fontId="1"/>
  </si>
  <si>
    <t>https://www.marklines.com/en/global/2541</t>
    <phoneticPr fontId="1"/>
  </si>
  <si>
    <t>On December 5, BrightDrop reported that production of the BrightDrop Zevo 600 EV delivery van has launched at their plant in Ingersoll, Ontario, Canada (also known as CAMI). DHL Express Canada is the first customer outside of the US. In addition to the Zevo 600, a smaller Zevo 400 will join the lineup, tentatively in late 2023. GM has set a production target of 50,000 Zevo vans at CAMI annually from 2025. To date, BrightDrop has delivered 150 Zevo vans to FedEx Express, its first customer, in the US.</t>
    <phoneticPr fontId="1"/>
  </si>
  <si>
    <t>HYCAN</t>
    <phoneticPr fontId="1"/>
  </si>
  <si>
    <t>https://www.marklines.com/en/global/3851</t>
    <phoneticPr fontId="1"/>
  </si>
  <si>
    <t>On December 3, Hycan officially launched the A06, its first battery electric coupe. Based on Hycan’s H-GEA global pure electric architecture. For the powertrain, the 550A model features a 135kW/225Nm permanent-magnet synchronous motor and a 63kWh ternary lithium battery with a range of 550km under the CLTC standard.  The 4WD Performance model features dual motors in the front and the rear with a maximum total system power of 340kW and a peak system torque of 534Nm, a 71kWh ternary lithium battery. In terms of standard configuration, the new vehicle features a Qualcomm 8155 chip, the in-house developed HI-OS in-vehicle system, and Level 2.5+ intelligent driving assistance system (BSD (Blind Spot Detection) and ELK (Emergency Lane Keeping) installed on some models only). Additionally, the new vehicle is the first to feature Hycan’s in-house developed H-VIP2.0 intelligent driving interconnection system that features intelligent assisted driving, and SPA (Smart Parking Assistance).</t>
    <phoneticPr fontId="1"/>
  </si>
  <si>
    <t>On December 2, pre-order of the Air ev, Wuling’s first new energy global vehicle, commenced in China. As the official vehicle of the G20 Summit, the new vehicle is based on a global eco-intelligent architecture. For the powertrain, the new vehicle features a permanent-magnet synchronous motor with a maximum power of 30kW or 50kW and a peak torque of 110Nm or 140Nm, a 26.7kWh or 28.4kWh lithium iron phosphate battery, and RWD. The range is 300km under the CLTC standard, and the maximum speed is 100km/h. In terms of configuration, the new vehicle features HSA (Hill Start Assist), ABS (Antilock Brake System) and EBD (Electronic Brakeforce Distribution) as standard, with some models featuring the Ling OS.</t>
    <phoneticPr fontId="1"/>
  </si>
  <si>
    <t>https://www.marklines.com/en/global/1801</t>
    <phoneticPr fontId="1"/>
  </si>
  <si>
    <t>On December 2, the BMW Group announced that its plant in Steyr will also produce electric drives in addition to diesel and gasoline engines from 2025. Preparations are already in full swing. Plant Steyr creates a new department for electric drive production: construction of buildings, systems, and technology. This new area is dedicated to preparing the plant for the future manufacture of e-drives. This includes new buildings as well as future-oriented production systems. BMW will start pre-series production of the e-drives here in 2024. BMW will invest EUR 1 billion by 2030.</t>
    <phoneticPr fontId="1"/>
  </si>
  <si>
    <t>On December 2, Ultium Cells LLC, a joint venture of GM and LG Energy Solution, announced It is investing USD 275 million to expand its Spring Hill, Tennessee plant to increase battery cell production by more than 40%, from 35 gigawatt-hours to 50 GWh. The new investment is in addition to the USD 2.3 billion investment announced in April 2021. Production at the Tennessee plant will begin in late 2023. The Warren, Ohio, facility began battery cell production in August, while the third facility in Lansing, Michigan and will begin production in late 2024.</t>
    <phoneticPr fontId="1"/>
  </si>
  <si>
    <t>https://www.marklines.com/en/global/10143</t>
    <phoneticPr fontId="1"/>
  </si>
  <si>
    <t>On December 2, Fiat confirmed it will launch a new D-segment medium pickup in Brazil in the second half of 2023. Currently, the new medium pickup is in the final stage of development at the Stellantis Engineering Technical Center at the Betim Automotive Complex. While Stellantis has not revealed it, the new model is expected to be based on the Peugeot Landtrek, currently sold in some Latin American markets, including Uruguay.</t>
    <phoneticPr fontId="1"/>
  </si>
  <si>
    <t>https://www.marklines.com/en/global/10139</t>
    <phoneticPr fontId="1"/>
  </si>
  <si>
    <t>On December 1, Ford Motor Company announced that Ford's new E:PriME (Electrified Powertrain in Manufacturing Engineering) development center in Dunton, Essex is building prototypes of the electric power unit and training Halewood employees in its machining and assembly, assisted by the Advanced Propulsion Centre. The power unit, comprising edrive motor and gearbox, replaces the engine and transmission of a conventional engine vehicle by propelling an EV using battery energy. E:PriME has the vision to create unique capabilities for ultra-high-volume manufacture of next-generation powertrains.</t>
    <phoneticPr fontId="1"/>
  </si>
  <si>
    <t>On December 1, Scania announced that it uses Automated Guided Vehicles (AGVs) in many different applications. Its production site in Brazil has around 300 of these machines, while the numbers in Sweden and elsewhere are steadily increasing. Scania is also carrying out a benchmarking activity to establish the potential of a single control technology, known as an open fleet management system. The procedure is being led by its Smart Factory Lab. A pilot process for a system will only start next year once Smart Factory Lab has completed its knowledge gathering.</t>
    <phoneticPr fontId="1"/>
  </si>
  <si>
    <t>https://www.marklines.com/en/global/2911</t>
    <phoneticPr fontId="1"/>
  </si>
  <si>
    <t>On December 1, PT Honda Prospect Motor (HPM) officially commenced the first mass production of the Honda WR-V at the PT HPM plant in Karawang, West Java. It also marked the beginning of its delivery to authorized Honda dealers throughout Indonesia. The WR-V’s current order number has surpassed 1,500 units.</t>
    <phoneticPr fontId="1"/>
  </si>
  <si>
    <t>https://www.marklines.com/en/global/10574</t>
    <phoneticPr fontId="1"/>
  </si>
  <si>
    <t>According to the official website of the Jinan Investment Promotion Bureau (JIPB) of Shandong Province, on November 30, the first vehicle of BYD’s new energy commercial vehicle and parts industrial park project in the Jinan Start-up Area rolled off the line. The project will mainly build workshops of the four major processes of stamping, welding, painting and final assembly, and will yield 150,000 vehicles per year and core components such as electric assemblies and motors upon completion.</t>
    <phoneticPr fontId="1"/>
  </si>
  <si>
    <t>https://www.marklines.com/en/global/3449</t>
    <phoneticPr fontId="1"/>
  </si>
  <si>
    <t>According to the official website of the Chongqing Liangjiang New Area and the official account of Changan Auto, on November 30, Changan Auto launched the new Changan Force Technology energy and electrification solution, which consists of the Force Intelligent Range Extender and the Force Super-Integrated Electric Drive. The Force Super-Integrated Electric Drive highly integrates motors, motor controllers, reducers, chargers, DC-DC converters, DC-AC converters and high-voltage junction boxes. Concurrently, Changan Auto claimed that all models under its Deepal sub-brand will feature the Force Technology, with sedans and SUVs covered. The Changan Deepal SL03 mid-sized vehicle is the first product to feature the technology, and a second SUV featuring the technology is about to be launched in 2023. Starting from 2023, Deepal will accelerate product launch by launching 6-7 new products in succession, with one every six months. Its goal is to complete the layout of main products by 2025 to support a sales scale of at least 1 million units.</t>
    <phoneticPr fontId="1"/>
  </si>
  <si>
    <t>https://www.marklines.com/en/global/3451</t>
    <phoneticPr fontId="1"/>
  </si>
  <si>
    <t>https://www.marklines.com/en/global/3741</t>
    <phoneticPr fontId="1"/>
  </si>
  <si>
    <t>On November 30, Daihatsu Motor Co., Ltd. announced it will temporarily suspend production at the Shiga (Ryuo) Plant No.2 due to a parts supply shortage. A total of 5 shifts will be suspended, from November 30 (night shift) to December 2. The Shiga (Ryuo) Plant No.2 produces the Rocky, Tanto, and others.</t>
    <phoneticPr fontId="1"/>
  </si>
  <si>
    <t>On November 30, the Handan Municipal People’s Government of Hebei Province signed a strategic cooperation framework agreement with Farizon New Energy Commercial Vehicles Group (Farizon), a Geely subsidiary, to jointly accelerate the construction of the industrial chain of the methanol economy as well as green and low-carbon transportation and jointly build an ecology of methanol- and hydrogen-powered commercial vehicles in Handan. The two parties will jointly build the Geely New Energy Commercial Vehicle Handan plant, the Methanol Economy Innovation Demonstration Zone, an industrial ecosystem of methanol and hydrogen, and establish the development model of “equipment manufacturing + clean energy + intelligent interconnection”. Through the cooperation, Methanol Technology will gradually form a comprehensive ecology of “production, supply, research, and marketing” of methanol-powered vehicles in Handan, which will become an important support for its development of a methanol-based green transport capacity ecology in Beijing, Tianjin, Hebei, Henan, and Shandong. In the future, Farizon will actively provide support in increasing the penetration rates of the markets of new energy and clean energy commercial vehicles, and promote the development of upstream and downstream enterprises in Handan along the industrial chain that are engaged in the preparation, refilling and logistics transportation of methanol.</t>
    <phoneticPr fontId="1"/>
  </si>
  <si>
    <t>https://www.marklines.com/en/global/3429</t>
    <phoneticPr fontId="1"/>
  </si>
  <si>
    <t>On November 29, Comau announced that it has built an advanced, automated welding solution for Beijing Foton Daimler Automotive Co., Ltd (BFDA). Comau is helping support BFDA's first localized heavy-duty truck for the Chinese market, the "Actros". Featuring 100% process automation, the Comau-designed production line is engineered to be completely flexible to handle complex model management and variable output management. With a target annual production capacity of 50,000 units, Comau's welding solution will meet both the customer's current and future production requirements. Comau's engineering team was tasked with mastering the Daimler Integra 6 standard to create an automated, flexible, intelligent, and digital welding line for both the door area and the framework of the instrument panel. Mass production of the high-end Actros truck is expected to start in Q2 2023.</t>
    <phoneticPr fontId="1"/>
  </si>
  <si>
    <t>Luxgen Motor Co., Ltd., a subsidiary of Yulon Motor Co., Ltd., launched the URX NEO, an improved version of the URX SUV, on November 29. The price starts at TWD 898,000. The new model incorporates the design language of the next-generation electric vehicle (EV) "n⁷" and features a new exterior design, including a dot-style front grille. It also features an ADAS (Advanced Driver Assistance System) with all-speed adaptive cruise control (ACC, with stop-and-go function) and the Luxgen Think+ 5.0 multimedia system that is compatible with Apple CarPlay and Android Auto. According to several local media sources, the car is expected to be delivered in January 2023.</t>
    <phoneticPr fontId="1"/>
  </si>
  <si>
    <t>According to multiple press releases and the official website of FAW Group, on November 28, the 10 millionth vehicle (the bZ4X battery electric SUV) produced by FAW Toyota officially rolled off the line at the newly built Tianjin New Energy Vehicle (NEV) plant. As the 5th vehicle production plant of FAW Toyota, the new plant is located in the Sino-Singapore Tianjin Eco-City in Binhai New District and has an annual capacity of 200,000 units. The plant is able to produce sedans, SUVs and MPVs on a shared line.</t>
    <phoneticPr fontId="1"/>
  </si>
  <si>
    <t>On November 28, Nissan Motor Co., Ltd. announced the launch of the fully-revamped Serena in Japan. Sales of 2WD gasoline-powered models will start this winter, and e-POWER models and 4WD gasoline-powered models are to start in spring 2023. The highest e-POWER grade, the Luxion, is equipped with ProPILOT 2.0 advanced driver assistance system that enables hands-off driving. This technology helps reduce driver fatigue on long road trips. For all other grades, ProPILOT has now been made standard. In addition, the Serena features the second-generation e-POWER system, now equipped with an all-new, specially developed 1.4 L engine. The system delivers more powerful and smooth acceleration with less engine noise. The Luxion is a 7-seater, while the grades other than the Luxion are 8-seaters.</t>
    <phoneticPr fontId="1"/>
  </si>
  <si>
    <t>https://www.marklines.com/en/global/505</t>
    <phoneticPr fontId="1"/>
  </si>
  <si>
    <t>Yamaguchi</t>
  </si>
  <si>
    <t>On November 24, Mazda Motor Corporation announced that the factory shipment of the all-new CX-60 crossover SUV will start in late January 2023 for the models equipped with the SKYACTIV-G 2.5 2.5L gasoline engine and in mid-January for the models equipped with the SKYACTIV-D 3.3 inline six-cylinder diesel engine. The e-SKYACTIV D model, which combines an inline 6-cylinder diesel engine with a 48V mild hybrid, has been on sale since September 15. The company had announced that models equipped with the other powertrains would go on sale around December 2022, but it said that it will take some time to build up the products. The factory launch date for models equipped with the e-SKYACTIV PHEV plug-in hybrid system will remain unchanged and the shipment is scheduled to begin in early December 2022 or later.</t>
    <phoneticPr fontId="1"/>
  </si>
  <si>
    <t>On December 16, Ebusco presented Ebusco 3.0 18-meter bus. In 2023, Ebusco will further scale up production with a dedicated line for articulated bus models to meet demand. The Ebusco 3.0 18-meter has starting weight of just 14,500 kg due to lightweight composites. Combining the lightweight body with efficient cobalt-free LFP battery packs of 350+ and 500+ kWh, the Ebusco 3.0 18-meter has a range of up to 700 kilometers on a single charge and has a maximum capacity of 150 passengers. Ebusco has already received several orders for this bus over the past year.</t>
    <phoneticPr fontId="1"/>
  </si>
  <si>
    <t>On December 15, Bharti Airtel India and Tech Mahindra announced a partnership under which they deployed the 5G for Enterprise solution at Mahindra's Chakan manufacturing facility, making it India's first 5 G-enabled Auto manufacturing unit. The '5G for Business' solution has significantly enhanced Chakan's network connectivity which has resulted in improved speeds for software flashing, a critical operation for all vehicular dispatches.</t>
    <phoneticPr fontId="1"/>
  </si>
  <si>
    <t>On December 15, Avtotor announced that it is continuing cooperation with leading Russian universities like Baltic Federal University, Moscow Polytechnic University, etc. as part of the implementation of the program for the development of import substitution. Avtotor is closely cooperating with the Moscow Polytechnic University in the implementation of the program for creating cars using alternative energy sources, including based on the principle of import substitution. Another area of collaboration with the Moscow Polytechnic University is the development and application of new materials for cars. AVTOTOR is mastering the use of such a technology for manufacturing car body parts for future projects such as 3D printing. Avtotor also develops recycled materials for car components.</t>
    <phoneticPr fontId="1"/>
  </si>
  <si>
    <t>https://www.marklines.com/en/global/1961</t>
    <phoneticPr fontId="1"/>
  </si>
  <si>
    <t>On December 15, SEAT S.A. announced that it will transform the El Prat de Llobregat plant towards electric vehicles (BEV). Five new projects to produce components for the Small BEV family are planned to start in 2025. It will produce five components (differential, pivot bearing, battery E-Box, KMM - a battery cooling module - and aluminum for the engine of the electric car). SEAT plans to invest millions of euros in the factory.</t>
    <phoneticPr fontId="1"/>
  </si>
  <si>
    <t>On December 15, Suzuki Motor Corporation (Suzuki) launched the Solio HYBRID SZ and Solio Bandit HYBRID SV compact passenger cars equipped with parallel hybrid systems. At present, only gasoline and mild hybrid models are available for the Solio and mild hybrid models for the Solio Bandit, but both models have been expanded with the addition of new hybrid models to the lineup. The new hybrid models are equipped with a lightweight, compact, and highly efficient parallel hybrid system that combines the K12C dual-jet engine (1.2L 4-cylinder engine: maximum output 67kW / maximum torque 118Nm) with a drive motor and auto gear shift (AGS). In addition to the motor powerfully assisting the engine during startup and acceleration, EV driving is possible using only the motor when driving at a constant speed of approximately 60 km/h or less. Both models achieve fuel economy of 22.3km/L in WLTC mode.</t>
    <phoneticPr fontId="1"/>
  </si>
  <si>
    <t>On December 15, Nikola Corp. and Plug Power announced a strategic relationship focused on hydrogen supply. Plug Power will purchase up to 75 Nikola Tre FCEVs over the next three years, with the first trucks being delivered in 2023, to deliver green hydrogen to customers in North America. Already available, the Nikola Tre BEV, with a range of up to 330 miles, started serial production at the company’s plant in Coolidge, Arizona in March 2022.</t>
    <phoneticPr fontId="1"/>
  </si>
  <si>
    <t>https://www.marklines.com/en/global/3031</t>
    <phoneticPr fontId="1"/>
  </si>
  <si>
    <t>On December 14, Volkswagen Caminhões e Ônibus (VWCO) announced that it has entered into a partnership with Volkswagen Argentina for the production of the VW Delivery (9.170 and 11.180), two of the VW Constellation (17.280 Tractor and 17.280 Chassis), and one Volksbus chassis (15.190 OD) for the local market at the Córdoba plant starting in early 2024 with new investment of USD 50 million. Production of the Ducati Scrambler 803cc motorcycle began in December.</t>
    <phoneticPr fontId="1"/>
  </si>
  <si>
    <t>On December 13, Geely Automobile Holdings Limited (Geely) announced on the HKEX that ZEEKR Intelligent Technology Holding Limited (ZEEKR), its premium electric vehicle sub-brand, has recently filed a draft registration statement with the United States Securities and Exchange Commission (SEC) for a potential initial public offering on a confidential basis. Upon completion of the Proposed Spin-off, it is expected that ZEEKR will continue to be a non-wholly owned subsidiary of Geely.</t>
    <phoneticPr fontId="1"/>
  </si>
  <si>
    <t>https://www.marklines.com/en/global/3971</t>
    <phoneticPr fontId="1"/>
  </si>
  <si>
    <t>On December 12, Dongfeng Motor (DFM) announced on its official account that silicon carbide (SiC) power modules developed by Zhixin Semiconductor Co., Ltd. (Zhixin Semiconductor), its subsidiary, will be mass produced and equipped on its self-owned new energy passenger vehicles in 2023. The modules can promote the iteration of New Energy Vehicle (NEV) electrical architectures from 400V to 800V to realize the capability of charging 80% in 10 minutes, further improve vehicle cruising ranges and reduce overall vehicle costs. In addition, DFM will cooperate with China Information Communication Technologies Group Corporation in building a joint laboratory for automotive chips to promote the application of automotive-grade MCU chips in Wuhan, with mass production expected in 2024; and cooperate with Semiconductor Manufacturing International Corporation to complete the design of the first MCU chip. Also, the company will lead nine enterprises, universities and research institutions to jointly establish the Hubei Provincial Automotive-grade Chip Industry Technological Innovation Consortium to boost the formation of a leading automotive chip industry chain in China from R&amp;D to production.</t>
    <phoneticPr fontId="1"/>
  </si>
  <si>
    <t>https://www.marklines.com/en/global/3485</t>
    <phoneticPr fontId="1"/>
  </si>
  <si>
    <t>On December 12, BMW Group announced on its official account that it has deployed an AI platform codenamed “BEACON” in China first. For example, at BMW Brilliance’s Lydia plant in Shenyang, Liaoning, the AI camera quality inspection system can photograph a painted surface for analysis by taking 100,000 pictures in 100 seconds and identifying defects far more efficiently than the naked eye through AI algorithms to ensure a flawless surface. IT engineers will continuously train and optimize the system using the platform to improve efficiency and accuracy.</t>
    <phoneticPr fontId="1"/>
  </si>
  <si>
    <t>Lion Electric</t>
    <phoneticPr fontId="1"/>
  </si>
  <si>
    <t>https://www.marklines.com/en/global/10596</t>
    <phoneticPr fontId="1"/>
  </si>
  <si>
    <t>Illinois</t>
    <phoneticPr fontId="1"/>
  </si>
  <si>
    <t>On December 13, the Lion Electric Company announced the launch of a public offering in the U.S. and Canada to raise USD 50 million to complete the battery plant and innovation center in Mirabel, Québec, and bolster production capacity at its new plant in Joliet, Illinois. Lion’s battery manufacturing plant and innovation center was first expected to be completed in the second half of 2022, with operations now beginning in early 2023.</t>
    <phoneticPr fontId="1"/>
  </si>
  <si>
    <t>On December 9, Changan Oshan officially launched the new X5 Plus compact SUV. For the powertrain, the new vehicle features Blue Whale’s next-generation NE1.5T high-pressure direct-injection engine (maximum power 138kW and peak torque 300Nm) and 7-speed wet dual-clutch transmission, driven by FWD. In terms of standard configuration, the new vehicle features the OnStyle in-vehicle intelligent system and OTA update.</t>
    <phoneticPr fontId="1"/>
  </si>
  <si>
    <t>On December 8, Dongfeng Motor (DFM) announced on its official account that it is developing a 2nd-generation solid-state battery, which is expected to be mass produced and equipped on vehicles in H1 2024. The battery is able to extend the vehicle range to over 1,000km. Currently, DFM is focusing on the development of 2nd- and 3rd-generation solid-state batteries and its in-house ceramic-cored battery cells for the establishment of a full value chain technology ecology of solid-state batteries.</t>
    <phoneticPr fontId="1"/>
  </si>
  <si>
    <t>On December 8, Honda Motor Co., Ltd. (Honda) announced the utilization rate compared to the production plan of the Saitama Factory Automobile Plant is expected to be about 80% in December, due to factors such as semiconductor shortages. As for the utilization rate during November, the Saitama Factory Automobile Plant kept normal operations. On the other hand, the Suzuka Factory is expected to maintain normal operations during December, as in November.</t>
    <phoneticPr fontId="1"/>
  </si>
  <si>
    <t>On December 7, NEVS announced that it is leading the way toward the future deployment of shared autonomous vehicles in the streets of Gothenburg through a pre-study project together with partners within mobility solutions, public transport, and municipalities. Funded by Vinnova and Drive Sweden, the pre-study project is ongoing until February 2023. The project (also called Autonomous Mobility Roadmap) is about investigating, defining, and inventorying the conditions for autonomous mobility.</t>
    <phoneticPr fontId="1"/>
  </si>
  <si>
    <t>https://www.marklines.com/en/global/2685</t>
    <phoneticPr fontId="1"/>
  </si>
  <si>
    <t>On December 15, the Ministry of Industry and Trade of Russia announced that it has supported the project to create an industrial park "LADA-Izhevsk", jointly implemented by AVTOVAZ and the Government of the Udmurt Republic. It will provide technological sovereignty in many industries. The development of the LADA-Izhevsk plant will continue, including in the direction of production of both electric vehicles and components / spare parts for cars.</t>
    <phoneticPr fontId="1"/>
  </si>
  <si>
    <t>On December 14, Audi started production of the Audi Q8 e-tron at the Brussels plant. The Audi Q8 e-tron will reach customers in Europe and the United States as a certified net carbon-neutral car. From the second half of 2023, more than 3,000 employees will also make the Audi Q4 e-tron at the Brussels plant. Audi Brussels installed one of the region's largest photovoltaic systems on the plant premises, covering 107,000 square meters. The system generates around 9,000 megawatt hours of power from sustainable energy every year. It can reduce carbon emissions by 1,881 tons. The electric traction motors for production are transported from Hungary to Brussels by green freight.</t>
    <phoneticPr fontId="1"/>
  </si>
  <si>
    <t>https://www.marklines.com/en/global/2265</t>
    <phoneticPr fontId="1"/>
  </si>
  <si>
    <t>On December 14, Volkswagen announced that the Volkswagen Group Components Braunschweig with its battery, steering, chassis, and axle products is considered an important pillar for the powerhouse in the Volkswagen Group. By 2026, around EUR 1 billion will be invested in tech components that will be developed and manufactured for both MEB vehicles and upcoming SSP (Scalable Systems Platform) vehicles. Another future field is the products for the MEB vehicles, which will continue to be produced and constantly improved. With a total of more than 26 million components that are produced every year, the location makes a significant contribution to the profitability of the Volkswagen Group.</t>
    <phoneticPr fontId="1"/>
  </si>
  <si>
    <t>On December 14, Renault Group announced that Circular Mobility Industry (ICM) campus, located at the Renault ReFactory in Flins (France) will offer training to 8,000 students and professionals by 2027 in professions related to the mobility industries and the circular economy, and will benefit from a funding of up to EUR 19 million over 5 years. The ICM campus will be based on 8,000 square meters of space. It is designed to support the transformation of the Renault site in Flins as part of the ReFactory project. Open to the entire industry, ReKnow University will train 15,000 Renault Group employees and 4,500 students and suppliers by 2025.</t>
    <phoneticPr fontId="1"/>
  </si>
  <si>
    <t>On December 14, multiple sources reported that the Stellantis factory in Figueruelas (Zaragoza) will stop production on the line that assembles the Opel Corsa due to a lack of components on December 15 and 16, 2022. Line 1 is responsible for the Citroën C3 Aircross and Opel Crossland models will work normally throughout the week.</t>
    <phoneticPr fontId="1"/>
  </si>
  <si>
    <t>On December 12, the 300,000th mass-produced vehicle of NIO rolled off the line at NIO’s second advanced manufacturing site, which is another milestone for the company’s comprehensive development in 2022. In H1 2023, the company plans to launch five models.</t>
    <phoneticPr fontId="1"/>
  </si>
  <si>
    <t>On December 12, the Air ev, Wuling’s first new energy global vehicle, was officially launched in China.</t>
    <phoneticPr fontId="1"/>
  </si>
  <si>
    <t>ENOVATE</t>
    <phoneticPr fontId="1"/>
  </si>
  <si>
    <t>https://www.marklines.com/en/global/9533</t>
    <phoneticPr fontId="1"/>
  </si>
  <si>
    <t>On December 12, Enovate Motors announced that it has recently established a joint venture with Sumou Holding Company, a local Saudi Arabian company, to jointly invest some USD 500 million in the construction of a New Energy Vehicle (NEV) manufacturing and R&amp;D site with an annual capacity of around 100,000 NEVs in Saudi Arabia. The site will be the first NEV site of a Chinese brand in the country. Also, Enovate Motors is discussing investment strategies with Saudi Arabian investors and shareholders that include the Saudi Sovereign Investment Fund and Saudi Aramco.</t>
    <phoneticPr fontId="1"/>
  </si>
  <si>
    <t>Haima</t>
    <phoneticPr fontId="1"/>
  </si>
  <si>
    <t>https://www.marklines.com/en/global/3573</t>
    <phoneticPr fontId="1"/>
  </si>
  <si>
    <t>Hainan</t>
  </si>
  <si>
    <t>On December 11, Haima Motor signed a strategic cooperation agreement with Hainan Haiqi Transportation Group Co., Ltd. (Haiqi Group) to jointly build a green intelligent mobility system for the Hainan Free Trade Port. Launched in September 2022, Haima Motor’s Haima 7X-E battery electric MPV is the first intelligent battery electric vehicle produced at the Hainan Free Trade Port. In 2023, the company plans to launch hydrogen-powered vehicles and put them into commercial demonstration operation to contribute to green mobility.</t>
    <phoneticPr fontId="1"/>
  </si>
  <si>
    <t>On December 10, Chery-backed Kaiyi Auto commenced the pre-ordering of the new Kunlun mid-sized SUV. For the powertrain, the new vehicle features a Kunpeng Power 1.6T turbocharged engine with a maximum power of 145kW and a peak torque of 290Nm or a 2.0T turbocharged engine with a maximum power of 187kW and a peak torque of 390Nm depending on the specific version, both mated to a 7-speed wet DCT (dual-clutch transmission) in a FWD configuration. The 2.0T version has a fuel consumption of 8.2L/100km under the WLTC standard. In terms of standard configuration, the new vehicle features ABS (Antilock Brake System), EBD (Electronic Brakeforce Distribution), and the Huawei Hicar, with some models featuring Level 2+ autonomous driving system, and DMS (Driver Monitoring System).</t>
    <phoneticPr fontId="1"/>
  </si>
  <si>
    <t>On December 9, BYD officially launched its new Huweijian 07 large 5-seater mid-sized SUV. For the powertrain, the new vehicle features a plug-in hybrid vehicle-dedicated turbocharged 1.5Ti engine (maximum power 102kW and peak torque 231Nm), mated to EHS (Electric Hybrid System). The drive mode is FWD or 4WD, with the FWD models featuring a motor with a maximum power of 145kW and a peak torque of 316Nm and the 4WD models featuring dual motors with a maximum power of 145kW in the front and 150kW in the rear and a peak torque of 316Nm in the front and 340Nm in the rear. The vehicle features an 18.3kWh or 36.8kWh blade battery, with a maximum range of 205km under the NEDC standard, and a 0 to 100km/h acceleration time of 4.7 seconds for the 4WD models. In terms of configuration, the new vehicle features the DiLink intelligent connectivity system (high-speed 5G connection) as standard, with some models featuring RPA (Remote Parking Assist), ACC (Adaptive Cruise Control), and DMS (Driver Monitoring System).</t>
    <phoneticPr fontId="1"/>
  </si>
  <si>
    <t>https://www.marklines.com/en/global/10504</t>
    <phoneticPr fontId="1"/>
  </si>
  <si>
    <t>On December 9, Dongfeng Motor (DFM) announced that the overall structure of the industrial park of Mengshi Automobile Technology Co., its subsidiary, has been officially capped on the day, marking the upcoming product preparation stage of China’s first luxury off-road electric vehicle brand. Covering an area of around 323,000 square meters and a total construction area of 96,000 square meters, the park is expected to be officially put into operation in 2023.</t>
    <phoneticPr fontId="1"/>
  </si>
  <si>
    <t>On November 30, the Algerian Agency for the Promotion of Investments (AAPI) signed an agreement with Stellantis for the launch of a project for the assembly and construction of Fiat vehicles, in Algeria. The Fiat plant in Oran will start production at the rate of 10 vehicles per hour, i.e. 60,000 per year initially, to be quickly increased to 15 vehicles per hour, i.e. 90 000 per year, to reach 1 million vehicles per year by 2030 for Africa and Middle East zone, with an integration rate of 70%.</t>
    <phoneticPr fontId="1"/>
  </si>
  <si>
    <t>https://www.marklines.com/en/global/9833</t>
    <phoneticPr fontId="1"/>
  </si>
  <si>
    <t>On December 14, Mercedes-Benz Group AG announced that it is investing a mid-single-digit billion-euro amount in its European powertrain production locations. Mercedes-Benz has retooled its production setup for electric drive systems (batteries, electric drive units, and axles) from 2024, following the realigned production setup for electric vehicles based on future vehicle architectures. From 2025, the ramp-up of electric drive units for new all-electric EQ models will begin at Sebes (Star Assembly SRL), Romania. Mercedes-Benz subsidiary Starkom in Maribor (Slovenia) will produce rear axle beams and corresponding components for Mercedes-EQ. From 2025, the ramp-up of electric drive units and batteries for new all-electric EQ models will begin at Beijing Benz Automotive Co. Ltd. (BBAC), China.</t>
    <phoneticPr fontId="1"/>
  </si>
  <si>
    <t>On December 14, Mercedes-Benz Group AG announced that it is investing a mid-single-digit billion-euro amount in its European powertrain production locations. Mercedes-Benz has retooled its production setup for electric drive systems (batteries, electric drive units, and axles) from 2024. From 2024, the Mercedes-Benz plant in Hamburg will take over the production and assembly of the electric axles and components for a model on the MB.EA platform. Mercedes-Benz will expand its electric portfolio at the Berlin plant from the middle of the decade. The portfolio of the Berlin plant already includes assembly operations for electric drive units as well as the so-called EE compartment, the electric control unit of a battery. The Mercedes-Benz battery production network will also be supplemented by a further battery factory at the Sindelfingen location.</t>
    <phoneticPr fontId="1"/>
  </si>
  <si>
    <t>https://www.marklines.com/en/global/2245</t>
    <phoneticPr fontId="1"/>
  </si>
  <si>
    <t>https://www.marklines.com/en/global/2225</t>
    <phoneticPr fontId="1"/>
  </si>
  <si>
    <t>https://www.marklines.com/en/global/9396</t>
    <phoneticPr fontId="1"/>
  </si>
  <si>
    <t>On December 13, Mercedes-Benz Group AG announced that it is investing a mid-single-digit billion-euro amount in its European powertrain production locations. From 2024, battery production for new all-electric Mercedes EQ models, starting with the MMA platform, will commence in Kamenz. The Mercedes-Benz Untertürkheim plant will manufacture parts of the electric drive units in 2024. Its sub-plant in Mettingen will manufacture electric axles from 2024. Since this year, a new factory in Brühl has also been producing batteries for the plug-in hybrid generation. From 2024, the ramp-up for battery production for new all-electric EQ models will start here.</t>
    <phoneticPr fontId="1"/>
  </si>
  <si>
    <t>https://www.marklines.com/en/global/9315</t>
    <phoneticPr fontId="1"/>
  </si>
  <si>
    <t>On December 14, Mercedes-Benz Group AG announced that it is investing a mid-single-digit billion-euro amount in its European powertrain production locations. Mercedes-Benz has retooled its production setup for electric drive systems (batteries, electric drive units, and axles) from 2024, following the realigned production setup for electric vehicles based on future vehicle architectures. Mercedes-Benz is planning to establish a battery assembly unit for new all-electric Mercedes EQ models at the engine plant in Kölleda. Subject to the support of the Thuringian state government, this is to be realized from the middle of the decade on.</t>
    <phoneticPr fontId="1"/>
  </si>
  <si>
    <t>On December 13, Panasonic Energy Co., Ltd. and Lucid Group, Inc. announced they have entered into multi-year agreements for Panasonic to supply batteries for the Lucid Air sedan and Gravity SUV (coming in 2024), both assembled in Casa Grande, Arizona. Panasonic plans to expand production of lithium-ion EV batteries beyond Japan and into the U.S. with production coming from both a facility in Japan, as well as its recently announced battery production facility in De Soto, Kansas.</t>
    <phoneticPr fontId="1"/>
  </si>
  <si>
    <t>https://www.marklines.com/en/global/10376</t>
    <phoneticPr fontId="1"/>
  </si>
  <si>
    <t>On December 13, Ford Motor Co. announced it has added a third shift, with 250 new hires, at the Rouge Electric Vehicle Center as it boosts production of its F-150 Lightning electric pickup truck.</t>
    <phoneticPr fontId="1"/>
  </si>
  <si>
    <t>https://www.marklines.com/en/global/1881</t>
    <phoneticPr fontId="1"/>
  </si>
  <si>
    <t>Serbia</t>
    <phoneticPr fontId="1"/>
  </si>
  <si>
    <t>On December 12, Stellantis announced that new production equipment has arrived at the FCA Serbia plant in Kragujevac. Stellantis will install a new electric platform for the production of electric cars at its factory in Kragujevac, Serbia from mid-2024. The arrival of new equipment will support the new platform. The new yet-to-be-named electric car will be produced in the Kragujevac factory. The plant could also be configured to support potential additional volumes of another model based on continued performance improvement.</t>
    <phoneticPr fontId="1"/>
  </si>
  <si>
    <t>https://www.marklines.com/en/global/10622</t>
    <phoneticPr fontId="1"/>
  </si>
  <si>
    <t>On December 11, the construction of the Yinpai Battery Technology Co., Ltd.　project in the GAC Intelligent Connected New Energy Vehicle Industrial Park was officially commenced. </t>
    <phoneticPr fontId="1"/>
  </si>
  <si>
    <t>https://www.marklines.com/en/global/4101</t>
    <phoneticPr fontId="1"/>
  </si>
  <si>
    <t>On December 11, Dongfeng Nissan announced at its headquarters site in Guangzhou that it has officially reached the milestone of 15 million units of vehicle sales, and concurrently released its plan for the next 5 years. In terms of new energy and intelligentization, Dongfeng Nissan’s Nissan, Venucia and Infiniti sub-brands will launch over 20 new vehicles in the next 5 years, covering conventional ICE models and New Energy Vehicle (NEV) models. By 2025, Dongfeng Nissan will equip 9 models with electric drive technologies that include the Zero Emission and the e-POWER systems to bring the share of electrified models in sales to 40%. In addition, the ProPILOT intelligent driving assistance system will be equipped in 70% of the core models by 2023. In terms of production system construction, Dongfeng Nissan will keep increasing investments during the “14th Five-Year Plan” period (2021-2025) to renovate existing production lines, introduce at least two NEV platforms and achieve an annual NEV capacity of 200,000 units. The company will further deepen its cooperation with the government to jointly build an intelligent connectivity test field and an intelligent connectivity and autonomous driving demonstration area. The company plans to equip over 90% of its models with its super intelligent in-vehicle connectivity system. In terms of supply chain system, Dongfeng Nissan is dedicated to building a flexible supply chain system and dividing it into planning, guarantee and emergency systems to empower the whole supply chain system with strong anti-risk capability to maintain its production rhythm even in the case of emergencies.</t>
    <phoneticPr fontId="1"/>
  </si>
  <si>
    <t>https://www.marklines.com/en/global/9899</t>
    <phoneticPr fontId="1"/>
  </si>
  <si>
    <t>On December 9, E.ON and Nikola Corporation announced that they are developing a package for hydrogen-powered heavy-duty transport. EWG - Essener Wirtschaftsförderungsgesellschaft mbH is actively supporting the project. The partnership intends to manufacture the next generation of Class 8 semi-truck technology in Germany and combine it with service solutions (maintenance and repair) and sustainable hydrogen infrastructure. The Nikola vehicles are produced in Ulm, and IVECO is the German partner for the repair and service network.</t>
    <phoneticPr fontId="1"/>
  </si>
  <si>
    <t>On December 9, NEVS announced that it is conducting trials of the all-electric and self-driving vehicle at its HQ in Trollhättan, Sweden in collaboration with Oxbotica. NEVS will soon deploy these vehicles into the streets and offer an on-demand shared mobility service that will bring an alternative solution to real mobility needs. It is bringing into the market a fully autonomous solution comprising technology and design with the highest possible safety standards.</t>
    <phoneticPr fontId="1"/>
  </si>
  <si>
    <t>https://www.marklines.com/en/global/10569</t>
    <phoneticPr fontId="1"/>
  </si>
  <si>
    <t>On December 3, multiple sources reported that BYD's plant in Chennai, India rolled out the first Atto 3 electric SUV of its production line. The vehicle is built through the SKD (Semi Knocked Down) assembly. The company plans to complete the SKD assembly of 15,000 ATTO 3 units and 2,000 new e6 units by 2023. Meanwhile, the company is also planning to enhance the capacity of the plant.</t>
    <phoneticPr fontId="1"/>
  </si>
  <si>
    <t>On December 2, Toyota Motor Corporation (Toyota) commenced its sales efforts for the Japanese-market versions of the all-new GR Corolla―the GR Corolla RZ and GR Corolla RZ "MORIZO Edition"―with purchasing lotteries. Sales of both models are slated to start in early 2023. When the GR Corolla RZ was unveiled, Toyota announced that the model would go on sale through Toyota vehicle dealers throughout Japan. However, continuing COVID-19 infections and the semiconductor shortage prompted a switch to an online purchasing lottery for an initial 500 units, with additional sales to be considered while monitoring the production situation. For the GR Corolla Morizo Edition, which is a two-seater model with enhanced driving performance, purchasing lottery applications for 70 units can be made at GR Garage locations nationwide. The GR Corolla RZ is a new sports car based on the Corolla Sport. Production will take place at the GR Factory in the Motomachi Plant. The body size measures 4,410mm in length, 1,850mm in width, 1,480mm in height, and the wheelbase is 2,640mm. It is equipped with a 1.6-liter in-line three-cylinder intercooler turbo engine (maximum output 224kW / maximum torque 370Nm) mated to an iMT 6-speed manual transmission.</t>
    <phoneticPr fontId="1"/>
  </si>
  <si>
    <t>Subaru Corporation (Subaru) announced the price of the all-new compact crossover SUV Crosstrek (Japanese specifications) on December 1. The manufacturer's suggested retail prices (including tax) range from JPY 2,662,000 to JPY 3,289,000, with sales of 2,600 units per month targeted. Previously marketed in Japan under the name Subaru XV, the all-new model, the third generation, has been globally unified under the name Crosstrek. Measuring 4,480mm (length) x 1,800mm (width) x 1,580mm (height) with a wheelbase of 2,670mm, the new model is equipped with the e-BOXER mild hybrid system that combines a 2.0L horizontally opposed 4-cylinder direct injection engine and motor, and is combined with the Lineartronic transmission. In addition to the AWD drive system, a front-wheel drive (FWD) system has been added to the lineup. The new Crosstrek (Japan specifications) will be produced at the Yajima Plant.</t>
    <phoneticPr fontId="1"/>
  </si>
  <si>
    <t>https://www.marklines.com/ja/global/3971</t>
    <phoneticPr fontId="1"/>
  </si>
  <si>
    <t>On May 19, Dongfeng Motor Group released its 2021 ESG (Environment, Society, Governance) Report. According to the report, Dongfeng Motor Group will respond to market needs with various technology lines for BEVs, PHEVs, and FCVs, and establish a research and development and industrialization system for battery, motor, and electric control systems. The electric drive technology (including hybrid) independently developed by Dongfeng Motor Group has reduced the energy consumption of the power system by more than 40%, directly reduced carbon emissions by about 70g/km, and increased the energy density of power batteries from 76Wh/kg to 175Wh/kg.</t>
    <phoneticPr fontId="1"/>
  </si>
  <si>
    <t>On May 19, Dongfeng Motor Group released its 2021 ESG (Environment, Society, Governance) Report. The report pointed out that in the fields of hydrogen fuel cell vehicles (FCV) and the hydrogen energy industry chain, Dongfeng Motor Group and Sinopec have agreed to a strategic partnership. The two companies will jointly build a pilot project on hydrogen fuel cell vehicles and the hydrogen energy industry chain. During the reporting period, Dongfeng Motor Group already had capabilities for three technology brands: the fuel cell vehicle and power platform Dongfeng Qingzhou, the fuel cell system Dongfeng Qingyuan, and the fuel cell stack Qingxin, including stack development, fuel cell system development, powertrain system adaptation, high-pressure hydrogen storage system design, vehicle installation, and fuel cell vehicle testing and verification. As of the end of the reporting period, Dongfeng Motor Group has completed the development of an 80kW fuel cell system and realized the cold start of the stack at minus 20°C without an auxiliary heat source. At the same time, the highest output hydrogen fuel cell vehicle developed has already been applied on a trial basis to achieve zero carbon dioxide emissions during the vehicle use phase.</t>
    <phoneticPr fontId="1"/>
  </si>
  <si>
    <t>https://www.marklines.com/ja/global/4011</t>
    <phoneticPr fontId="1"/>
  </si>
  <si>
    <t>On May 19, Dongfeng Motor Group released its 2021 ESG (Environment, Society, Governance) Report. According to the report, Dongfeng Commercial Vehicles' ecological brand "Kunyue" was launched against the backdrop of integrated development in multiple areas. Kunyue is building a professional and well-organized eco-friendly smart logistics eco-system in the transportation industry, bringing eco-friendly smart solutions such as battery replacement logistics solutions and L4 smart port full solutions to a wide variety of logistics scenarios, and responding to the needs of the transportation industry as a whole for ecological and smart transformation.</t>
    <phoneticPr fontId="1"/>
  </si>
  <si>
    <t>On May 19, Dongfeng Motor Group released its 2021 ESG (Environment, Society, Governance) Report. According to the report, Dongfeng Motor Group will continue to explore innovation and new business models to realize its strategic goal of carbon peak-out and carbon neutrality by making overall improvements in the areas of motor/battery/electrical controller core assemblies, vehicle platform architecture, battery charging and replacement technology, and hydrogen energy.</t>
    <phoneticPr fontId="1"/>
  </si>
  <si>
    <t>On December 13, the BMW Group announced that the BMW Group Competence Center for Battery Cell Production (CMCC) in Parsdorf will be commissioned in two phases. In a few months, more than 80 employees will be working here on around 15,000 square meters. In the first ramp-up phase, the systems for electrode production will be installed and run in. Raw materials such as graphite or nickel oxides for the battery electrodes are dosed and mixed here. This is followed by the coating of the metal foils and the final compression. In the second phase, the systems for the subsequent cell assembly and formation will be installed.There, the electrodes are processed with the other sub-components into battery cells, formed, and checked for quality. The entire ramp-up process extends over a year. BMW operates the CMCC fossil-free using electricity generated from renewable sources. The building is supplied with regenerative heat, which it obtains from the most modern groundwater and air heat pumps.</t>
    <phoneticPr fontId="1"/>
  </si>
  <si>
    <t>https://www.marklines.com/en/global/2389</t>
    <phoneticPr fontId="1"/>
  </si>
  <si>
    <t>On December 13, Stellantis launched a new maritime logistics service to supply parts to the Ellesmere Port manufacturing plant. It will manufacture a compact electric van in Spring 2023. A number of the sheet metal parts and components required for production will be supplied by partner companies that are based near the Vigo plant in Spain. Starting from June 2023, after the initial production ramp-up, the new 891 nautical miles maritime route will take an estimated 14,700 lorry journeys off the roads of the UK and continental Europe annually saving around 17.5 million kilometers of road travel. The direct maritime route has 30% lower CO2 emissions over a full year as well as 37% less energy consumption.</t>
    <phoneticPr fontId="1"/>
  </si>
  <si>
    <t>https://www.marklines.com/en/global/1939</t>
    <phoneticPr fontId="1"/>
  </si>
  <si>
    <t>On December 12, AvtoVAZ and the Ministry of Industry and Trade of Russia discussed the performance of AvtoVAZ in 2022, the implementation of plans for the localization and replacement of components necessary for production, as well as production plans for 2023. In 2023, AvtoVAZ aims to return the anti-lock braking system to the vehicle configuration. AvtoVAZ will continue to increase the level of localization of already produced cars and develop new projects. In 2023, it will launch mass production of the new generation Lada Vesta and resume production of Lada Largus at the site in Togliatti. At the end of the year, AvtoVAZ will produce an experimental batch of e-Largus at the production site in Izhevsk. In 2023, AvtoVAZ aims to maintain a share of about 40% of the Russian automotive market, as well as restart export sales.</t>
    <phoneticPr fontId="1"/>
  </si>
  <si>
    <t>https://www.marklines.com/en/global/1727</t>
    <phoneticPr fontId="1"/>
  </si>
  <si>
    <t>On December 12, Hyundai Motor Manufacturing Czech (HMMC) plant in Nošovice, Czech Republic rolled out four million individual cars. The car was Hyundai Tucson N Line light hybrid. During the current year, the factory is expected to produce more than 321,000 vehicles, which exceeds the level of 2019 before the corona pandemic. It is also investing in technologically advanced automation. At the beginning of 2022, HMMC's factory became Hyundai's first production facility that only uses energy from renewable sources.</t>
    <phoneticPr fontId="1"/>
  </si>
  <si>
    <t>On December 12, the U.S. Department of Energy (DOE) announced it had finalized a USD 2.5 billion low-cost loan to Ultium Cells from the Advanced Technology Vehicles Manufacturing (ATVM) loan program for three new lithium-ion battery cell manufacturing facilities in Ohio, Tennessee and Michigan. Ultium Cells recently announced it would boost its investment in the USD 2.3 billion Spring Hill, Tennessee plant, due to open in late 2023, by another USD 275 million. The USD 2.6 billion plant in Lansing, Michigan is set to open in 2024. The Warren, Ohio plant is open.</t>
    <phoneticPr fontId="1"/>
  </si>
  <si>
    <t>https://www.marklines.com/en/global/10427</t>
    <phoneticPr fontId="1"/>
  </si>
  <si>
    <t>On December 9, SVOLT Energy Technology Co., Ltd. (SVOLT Energy) signed the lease for the future module and high-voltage storage production facility in Saarland, Germany. The facility is being built on the site of the former "Laminate Park" in Heusweiler-Eiweiler. The 15-year lease emphasizes SVOLT's long-term plans in the German state of Saarland and secures a possible right of first refusal as well. The first part of the building (Production 1) is scheduled to be in use from April 2023 onward, with the other parts of the building to follow in stages. Completion of the facility has been contractually agreed to be finalized by mid-2024.</t>
    <phoneticPr fontId="1"/>
  </si>
  <si>
    <t>https://www.marklines.com/en/global/10401</t>
    <phoneticPr fontId="1"/>
  </si>
  <si>
    <t>On December 9, Envision AESC started construction of its second Sunderland battery plant. It will have a capacity of 12 GWh and will employ more than 1,000 people when operational in 2025. It will be powered by 100% net zero carbon energy. The facility will produce AESC's latest generation batteries and manufacture enough batteries to power 100,000 electric vehicles annually. It forms part of a wider GBP 1 billion partnership with Nissan and Sunderland City Council to create EV36Zero, an electric vehicle hub supporting next-generation EV production. The company will deploy the latest integrated AIoT smart technology to monitor and optimize energy consumption, manufacturing, and maintenance at its new gigafactory. Construction of the new building on the IAMP business park, which spans land in South Tyneside and Sunderland, will pave the way for potential future investment that could eventually see the site generate 35GWh capacity and 4,500 new high-value green jobs.</t>
    <phoneticPr fontId="1"/>
  </si>
  <si>
    <t>https://www.marklines.com/en/global/2033</t>
    <phoneticPr fontId="1"/>
  </si>
  <si>
    <t>Chonburi</t>
  </si>
  <si>
    <t>Announced on December 9, Mitsubishi Motors’ exports from Thailand have already reached 5 million units. In 1988, MMTh exported Mitsubishi Lancer Champ to Canada, making it the first auto maker to start exporting vehicles from Thailand. Its destinations currently cover more than 120 countries, and in 2021, 90% of its 340,000 vehicles (including knockdown units) produced in Thailand were for export. From 2019 to October 2022, MMTh’s biggest export markets are Australia, Germany, the U.S., Mexico, Philippines, U.A.E., Indonesia, Vietnam, Chile, and Saudi Arabia. Mitsubishi Triton, which also marked the 5 millionth export unit, is MMTh’s most exported model, dominating over 50%, followed by the Mirage, Attrage, Pajero Sport.</t>
    <phoneticPr fontId="1"/>
  </si>
  <si>
    <t>https://www.marklines.com/en/global/2031</t>
    <phoneticPr fontId="1"/>
  </si>
  <si>
    <t>https://www.marklines.com/en/global/2663</t>
    <phoneticPr fontId="1"/>
  </si>
  <si>
    <t>On December 9, Stellantis announced that escalating costs to shift to EV production is forcing it to indefinitely halt operations at its assembly plant in Belvidere, Illinois, where 1,350 people work. The plant, which builds the Jeep Cherokee SUV, will halt production February 28. Stellantis said that will result in layoffs of at least six months or more, adding that it may not resume assembly operations at the Belvidere plant as it considers other options and opportunities to repurpose the Belvidere facility.</t>
    <phoneticPr fontId="1"/>
  </si>
  <si>
    <t>https://www.marklines.com/en/global/3473</t>
    <phoneticPr fontId="1"/>
  </si>
  <si>
    <t>On December 8, Honda China announced on its official website that to guarantee the long-term and stable supply of its e:N power batteries, it will purchase 123GWh of battery electric vehicle (BEV) power batteries from Contemporary Amperex Technology Co., Ltd. (CATL) from 2024 to 2030 through HDG (Beijing) Trading Service Co., Ltd. (HDG). The batteries will be produced centrally at CATL’s future Yichun plant. Honda plans to launch ten e:N BEVs in China by 2027 and keep carrying out various electrification initiatives across the value chain to achieve the 2050 vision of carbon neutrality as soon as possible. In 2020, Honda and CATL signed a comprehensive strategic cooperation agreement on new energy vehicle power batteries, covering the joint development, stable supply and recycling of power batteries.</t>
    <phoneticPr fontId="1"/>
  </si>
  <si>
    <t>https://www.marklines.com/en/global/4087</t>
    <phoneticPr fontId="1"/>
  </si>
  <si>
    <t>DRB-Hicom</t>
    <phoneticPr fontId="1"/>
  </si>
  <si>
    <t>Proton</t>
    <phoneticPr fontId="1"/>
  </si>
  <si>
    <t>https://www.marklines.com/en/global/997</t>
    <phoneticPr fontId="1"/>
  </si>
  <si>
    <t>Malaysia</t>
    <phoneticPr fontId="1"/>
  </si>
  <si>
    <t>On December 1, Proton achieved the milestone of the 10,000th 1.5 TGDI engine unit produced at its new engine assembly line in Tanjung Malim, taking only 7 months after the first unit rolled off the line in April. Proton unveiled its intention to record an output of 60,000 engines in 2023, which are set to be used across several Proton models. Currently, the sole Proton model in Malaysia using the locally-made 1.5 TGDI engine is the X70 (the Minor Change (MC) version made its launch in June).</t>
    <phoneticPr fontId="1"/>
  </si>
  <si>
    <t>On November 25, Farizon New Energy Commercial Vehicles Group (Farizon) signed a strategic cooperation agreement with Zhejiang New Gonow Holding Group Co., Ltd. (New Gonow Group). The two parties will conduct an in-depth cooperation in the new energy commercial vehicle market to provide users with high-quality products, and will explore cooperation at the capital level to jointly promote the development of the industry.</t>
    <phoneticPr fontId="1"/>
  </si>
  <si>
    <t>https://www.marklines.com/en/global/1921</t>
    <phoneticPr fontId="1"/>
  </si>
  <si>
    <t>On December 12, Mercedes-Benz announced that Mercedes-Benz Vans is reorganizing its European production network for locally emission-free mobility. The Mercedes-Benz plant in Vitoria, Spain, produces medium-sized vans from Mercedes‑Benz. The product portfolio includes the V-Class, the EQV, the (e)Vito, and (e)Vito Tourer. From the middle of the decade, the medium-sized van based on the purely electrical modular platform VAN.EA will also be manufactured there.</t>
    <phoneticPr fontId="1"/>
  </si>
  <si>
    <t>https://www.marklines.com/en/global/9441</t>
    <phoneticPr fontId="1"/>
  </si>
  <si>
    <t>On December 12, Mercedes-Benz announced that Mercedes-Benz Vans is reorganizing its European production network for locally emission-free mobility. Mercedes-Benz signed a memorandum of understanding (MoU) with the Polish government and other partners to build a new plant for the production of vans at the Jawor location. It will be Mercedes-Benz Vans, the first pure electric plant. In the future, large vans (closed model/panel vans) are to be produced on VAN.EA basis there. The established location enables the Van division to optimize costs and supply chain as well as energy-efficient production of new generation vans.</t>
    <phoneticPr fontId="1"/>
  </si>
  <si>
    <t>https://www.marklines.com/en/global/10284</t>
    <phoneticPr fontId="1"/>
  </si>
  <si>
    <t>On December 12, Porsche Engineering and Vodafone Business announced that they have established Europe's first 5G hybrid mobile private network (MPN) at Nardò Technical Center (NTC) for the development of intelligent and connected vehicles. The new mobile network infrastructure enables 4G and 5G coverage throughout the testing center. With the Vodafone Business 5G solution, NTC aims to enable its customers to efficiently develop and validate a wide range of future business-critical applications, from new connectivity, vehicle-to-infrastructure, vehicle-to-vehicle, and highly-automated driving functions to self-driving vehicles. Besides the new mobile network, now NTC also offers its customers a high-performance 1 Gbit/s connection. This allows a fast and direct connection to the cloud, enabling globally networked cooperation and even more efficient data-driven engineering.</t>
    <phoneticPr fontId="1"/>
  </si>
  <si>
    <t>https://www.marklines.com/en/global/2201</t>
    <phoneticPr fontId="1"/>
  </si>
  <si>
    <t>On December 9, Audi announced that many new vehicles that leave the Audi plants are delivered with environmentally-friendly R33 fuel. Environmentally friendly R33 Blue Diesel has been available at Audi filling stations in Ingolstadt and Neckarsulm since March 2021. As its compliment, R33 Blue Gasoline now replaces conventional E10 gasoline. With its "Vorsprung 2030" strategy, Audi is going all in on battery-electric mobility. Renewable fuels supplement this strategy by making internal combustion engines more climate-friendly and are an effective means of de-fossilization - both in the short term and after 2033 when the last Audi with a combustion engine will roll off the production line in Europe.</t>
    <phoneticPr fontId="1"/>
  </si>
  <si>
    <t>https://www.marklines.com/en/global/2199</t>
    <phoneticPr fontId="1"/>
  </si>
  <si>
    <t>On December 9, multiple sources reported that AvtoVAZ will launch the production of cars at the Nissan plant in St. Petersburg (Nissan Manufacturing Rus LLC), which Nissan transferred to the state property of the Russian Federation after leaving the local market. The production of cars there will begin in 2023. Nissan's assets are currently owned by NAMI, whereas Avtovaz will be involved in the management.</t>
    <phoneticPr fontId="1"/>
  </si>
  <si>
    <t>Qoros</t>
    <phoneticPr fontId="1"/>
  </si>
  <si>
    <t>https://www.marklines.com/en/global/3885</t>
    <phoneticPr fontId="1"/>
  </si>
  <si>
    <t>According to multiple press releases dated December 7, information from sf.taobao.com showed that the People’s Court of the Wuhu Economic and Technological Development Zone of Anhui Province has issued an auction announcement for automotive production line equipment of Qoros Automotive with a starting price of around CNY 123 million and a starting time of 10 a.m. on December 16. Items for auction mainly include two dedicated edge wrapping machines, automated robotic spraying systems, the LASD robot station project for painting workshops, and final assembly devices.</t>
    <phoneticPr fontId="1"/>
  </si>
  <si>
    <t>On December 9, the United Auto Workers (UAW) announced it has organized its first joint-venture battery plant, the Ultium Cells plant in Warren, Ohio. Production launched at the facility this past summer. An Ultium Cells plant in Spring Hill, Tennessee, will open in late 2023 and just received a USD 275 million investment for expansion. A third plant is under construction near Lansing, Michigan and will open in 2024. GM and LG are considering a site in New Carlisle, Indiana, for the fourth plant.</t>
    <phoneticPr fontId="1"/>
  </si>
  <si>
    <t>On December 8, BMW Group began production of the second generation of the BMW M2, which is being assembled exclusively at the San Luis Potosi plant for the entire world. The BMW M2 will launch globally in April 2023. The San Luis Potosi plant employs more than 3,000 people.</t>
    <phoneticPr fontId="1"/>
  </si>
  <si>
    <t>On December 21, Tesla said in a local filing that it is investing USD 1.5 million to increase production of 4680 battery cells near its assembly plant in Fremont, California by expanding into a nearby building at 901 Page Avenue. According to the application, the “Cell Development Lab” will be located on the first floor of the building. The new building is four times the size of the building on 47700 Kato Rd, which Tesla has used since 2015, hinting at a substantial increase in production capacity.</t>
    <phoneticPr fontId="1"/>
  </si>
  <si>
    <t>On December 19, the Lion Electric announced that it has completed delivery of its first LionC zero-emission school bus funded by the U.S. Environmental Protection Agency's (EPA) Clean School Bus Program from its recently opened factory in Joliet, Illinois. At full scale, the facility is expected to be able to produce up to 20,000 medium and heavy-duty vehicles annually.</t>
    <phoneticPr fontId="1"/>
  </si>
  <si>
    <t>On December 15, Mitsubishi Fuso Truck and Bus Corporation announce that the local assembly of knock-down (KD) Canter trucks has started for the first time in the Kingdom of Saudi Arabia. The assembly of the trucks is taking place in a facility in Jeddah operated by National Automobile Industries (NAI), a joint venture between general distributor Juffali Commercial Vehicles and Daimler Truck AG. The KD kits are exported out of the MFTBC Kawasaki plant. Local operations for the Canter began with four variants of the 6.5-tonne FE84 and three of the 7.2-tonne FE85. Equipped with the 4D33 engine, the light-duty truck serves key industries such as fast moving consumer goods and food distribution.</t>
    <phoneticPr fontId="1"/>
  </si>
  <si>
    <t>On December 9, Letin Motor announced that it has recently signed a strategic cooperation agreement with Solarever, a Mexican group. According to the agreement, the two parties will conduct cooperation in New Energy Vehicle sales, product promotion, market expansion, and after-sales service. The strategic agreement marks an important step for Letin Motor to enter North America and deepen its strategy of expanding overseas. Over the years, Letin Motor has been actively developing overseas markets, with its products sold to 27 countries and regions around the world. In 2022, while deepening its deployment in Southeast Asia, Africa, Central America and South America, the company sees Mexico as a breakthrough to accelerate the development of the North American market and will make every effort to establish a global sales network and service system.</t>
    <phoneticPr fontId="1"/>
  </si>
  <si>
    <t>On December 22, AvtoVAZ started a project for the production of cars at the former Nissan plant in St. Petersburg. Within the framework of the new project, AvtoVAZ expects to start production of new cars under the LADA brand in the second half of 2023. It is planned for stage-by-stage production of various models of C and D segments, including crossovers and sedans. Everything needed for assembly will be supplied by one or more partners from friendly countries, negotiations with which are in the final stages. A phased localization of production is also planned with the involvement of component suppliers located in St. Petersburg and the Leningrad Region. This will ensure the preservation of employment both at the car plant and in related industries in the region.</t>
    <phoneticPr fontId="1"/>
  </si>
  <si>
    <t>https://www.marklines.com/en/global/10544</t>
    <phoneticPr fontId="1"/>
  </si>
  <si>
    <t>On December 21, EKA Mobility, a subsidiary of Pinnacle Industries Limited, and NuPort Robotics, a Canadian autonomous trucking company announced India's first deployment of Level 2 autonomy with ADAS features for EKA Mobility's electric bus. The module is now live and enables ADAS features in EKA Mobility's electric buses. With this deployment, NuPort has solved the detection of complex traffic conditions and can detect and predict the speeds of Indian traffic with high accuracy. Conditions such as bumper-to-bumper traffic which is frequent on most Indian roads are seamlessly detected by NuPort's in-house proprietary AI technology. EKA and NuPort will release a working demonstration of its ADAS functionality shortly. Over the next few years, the technology will be deployed on 5,000 EKA Mobility's electric buses which will operate on different Indian state roads.</t>
    <phoneticPr fontId="1"/>
  </si>
  <si>
    <t>On December 21, CARIAD, the automotive technology company of Volkswagen Group, announced a new tech hub in the US with about 300 technology experts for the automotive cloud, the digital vehicle experience, and automated driving. The new tech hub will focus on cloud technologies and infotainment that previously worked for Volkswagen Group of America. Based in the heart of two major technology ecosystems, the greater Seattle area, and Silicon Valley, CARIAD is developing automotive technology solutions. One of the major solutions developed by the local US team is the Volkswagen Automotive Cloud. In close partnership with Microsoft, the local team is creating a unified backend for all Volkswagen Group brands - an important backbone for continuous over-the-air updates for software-defined vehicles. The first customer vehicles will be connected to Volkswagen Automotive Cloud in 2024.</t>
    <phoneticPr fontId="1"/>
  </si>
  <si>
    <t>On December 21, CARIAD, the automotive technology company of Volkswagen Group, announced that after recruiting about 1,500 new tech talents in 2022, it continues its growth path. In 2023, CARIAD aims to grow by about 1,700 new tech innovators around the globe. For the US, Volkswagen's automotive software company is looking for specific profiles like System-on-Chip Architects, or Machine Learning Data Engineers. CARIAD strives to continuously expand its in-house expertise in software and hardware development. It is systematically expanding its internal expertise in strategically important and competitively relevant areas, like automated driving, to develop key technologies in-house that differentiate the Group brands from the competition. In addition to recruiting tech talent, CARIAD is growing its skill set by focusing on acquisitions and partnerships.</t>
    <phoneticPr fontId="1"/>
  </si>
  <si>
    <t>On December 21, Sono Motors announced that minor changes to the investment plans have resulted in a planned pre-series production of its solar electric vehicle "Sion" in 2023 and planned SOP (Start of Production) in the first quarter of 2024. 92% of its suppliers are nominated, and 39% of the machines for series production have been ordered. It is preparing for series production in Finland (Valmet plant). Testing continues and the homologation is expected to take place.</t>
    <phoneticPr fontId="1"/>
  </si>
  <si>
    <t>On December 21, Nissan Motor Co., Ltd. (Nissan) announced that it would start selling a gasoline-fueled 2WD version of the fully remodeled Serena minivan on December 22. The manufacturer's suggested retail price (including tax) starts at JPY 2,768,700. The gasoline model is powered by a 2.0-liter engine (maximum output 110kW / maximum torque 200Nm) and is mated to an Xtronic CVT. All models are also equipped with the "ProPILOT" system as standard equipment, which assists the driver with accelerator, brake, and steering operations when driving on highways. In addition to the 2WD model being released this time, the all-new Serena line-up also includes a 4WD gasoline-fueled model and a 2nd generation 2WD e-POWER model. 4WD models are scheduled to go on sale in the spring of 2023 with manufacturer's suggested retail prices (including tax) ranging from JPY 3,034,900 to JPY 3,535,400. The e-POWER model is also scheduled to go on sale in the spring of 2023.  </t>
    <phoneticPr fontId="1"/>
  </si>
  <si>
    <t>On December 21, Stellantis announced that its Windsor Assembly Plant that builds the Chrysler Pacifica and Voyager minivans will continue to operate 1,800-person second shift after planning to cut it in mid-2023. The plant is expected to start retooling in 2023 for the STLA Large platform that was designed for all-electric vehicles, but is flexible to support alternative power sources. The plant will then return to three shifts. Windsor also will be home to a battery lab, and the Stellantis-LG Energy Solution USD 4.1 billion joint-venture battery assembly plant named NextStar Energy.</t>
    <phoneticPr fontId="1"/>
  </si>
  <si>
    <t>https://www.marklines.com/en/global/10348</t>
    <phoneticPr fontId="1"/>
  </si>
  <si>
    <t>On December 20, BluE Nexus announced that the Toyota Hybrid System (THS) sold by the company is now installed in GAC Motor Co., Ltd.’s all-new HEV (hybrid electric vehicle), the M8HEV, launched in China in November 2022.</t>
    <phoneticPr fontId="1"/>
  </si>
  <si>
    <t>https://www.marklines.com/en/global/10095</t>
    <phoneticPr fontId="1"/>
  </si>
  <si>
    <t>On December 20, Acura announced that development work on its first all-electric models, the 2024 ZDX and ZDX Type S performance variant continues ahead of an official unveiling in 2023 and launch in 2024. Designed at the Acura Design Studio in Southern California, the ZDX is being co-developed with GM utilizing the highly flexible global EV platform powered by Ultium batteries, and is expected to be built in Spring Hill, Tennessee alongside the Cadillac Lyriq.</t>
    <phoneticPr fontId="1"/>
  </si>
  <si>
    <t>On December 20, Los Angeles World Airports (LAWA) announced the arrival of its first Class 8 Nikola Tre heavy-duty battery-electric vehicle, marking a significant step in the airport's transition to a fully electric fleet. The Nikola Tre BEV, built in Coolidge Arizona, has a range of up to 330 miles on a single charge of its 733 kWh battery pack, and will use a new 75kW DC charging station being installed at LAX.</t>
    <phoneticPr fontId="1"/>
  </si>
  <si>
    <t>On December 19, Karsan announced that it has received an order for the first electric vehicles from Start Romagna, one of the largest operators in Italy. 27 e-ATAKs will be delivered in 2023. After the previous Consip and TPER 18-meter e-ATA orders in Italy, Karsan's electric vehicle park in Italy will exceed 150 in total next year. With this order, e-ATAK will already be the leader of the electric midibus segment in Italy in 2023. Karsan aims to be one of the top 5 brands in the electric vehicle market in Italy by the end of 2023.</t>
    <phoneticPr fontId="1"/>
  </si>
  <si>
    <t>On December 19, Nissan Motor Co., Ltd. (Nissan) and Kobe Steel, Ltd. (Kobe Steel) announced that Nissan plans to use Kobenable Steel for Nissan models from January 2023 onward. Kobenable steel, commercialized by Kobe Steel, significantly reduces CO2 emissions in the blast furnace process. Kobe Steel will also supply Nissan with aluminum sheets made from green-aluminum raw materials. Nissan models will use Kobenable Premier, which reduces 100% of CO2 emissions during manufacturing through the mass-balance method. The specific amount of steel to be used by Nissan will be determined through further discussions. The green aluminum raw materials purchased by Kobe Steel to produce aluminum sheets for Nissan are electrolytically smelted using only electricity generated by solar power, thereby reducing CO2 emissions during aluminum ingot production by approximately 50%. According to multiple media reports, the steel will be used starting with the new Serena e-POWER model scheduled to go on sale in the spring of 2023. The aluminum sheets will reportedly be used in the Ariya and other models.</t>
    <phoneticPr fontId="1"/>
  </si>
  <si>
    <t>On December 19, Zotye Auto announced that Zhejiang Zotye Automobile Manufacturing Co., Ltd., its subsidiary, has recently signed an Exclusive Distribution and Service Agreement with Lvsai International Trade (Yongkang) Co., Ltd. (Lvsai International). According to the agreement, Lvsai International will distribute products related to Zotye Auto’s T300 small-sized SUV and provide after-sales service in the Middle East.</t>
    <phoneticPr fontId="1"/>
  </si>
  <si>
    <t>On December 19, Volkswagen Caminhões e Ônibus announced the e-Delivery 17 as an expansion to its electric portfolio in Brazil, which includes the e-Delivery 11 and e-Delivery 14, all built at the Resende plant. The 100% electric truck is beginning tests in real customer applications through the streets of São Paulo. It features a front axle with greater load capacity, 6x2 configuration, air suspension for greater comfort, dual wheels on both rear axles, and a new battery configuration with four packs or six packs, reaching a range of up to 180 km.</t>
    <phoneticPr fontId="1"/>
  </si>
  <si>
    <t>On December 16, Mazda Motor Corporation (Mazda) announced its holiday schedule during the G7 Hiroshima Summit scheduled to be held in May 2023. In consideration of the impact on local traffic in the vicinity of the venue, production sites, including the Hiroshima Plant, will be closed for 5 days from May 18 to 22, 2023. In addition, administrative and engineering departments will also be closed for 3 days from May 19 to 21, 2023.</t>
    <phoneticPr fontId="1"/>
  </si>
  <si>
    <t>https://www.marklines.com/en/global/507</t>
    <phoneticPr fontId="1"/>
  </si>
  <si>
    <t>On December 16, Farizon signed a letter of intent for cooperation with China BlueChemical Ltd. (China BlueChem) to jointly boost the industrialization of green methanol, accelerate the construction of a complete ecological chain consisting of methanol energy production, methanol-powered commercial vehicles and methanol transportation and refueling systems, and promote the cooperation in automotive new materials. In addition, the two parties will jointly promote technology development and application of technological achievements in green fuel-related industries such as green hydrogen preparation and carbon dioxide to methanol leveraging China BlueChem’s advantages in green wind power generation and carbon-rich natural gas. The two parties will also conduct in-depth cooperation in scientific research platform establishment, industrial promotion and market services, and brand building and enhancement.</t>
    <phoneticPr fontId="1"/>
  </si>
  <si>
    <t>https://www.marklines.com/en/global/1017</t>
    <phoneticPr fontId="1"/>
  </si>
  <si>
    <t>Reported on December 14, Volvo Car Malaysia (VCM) has officially launched the C40 Recharge, its second BEV model after the XC40 Recharge Pure Electric. The C40, as a locally-assembled (CKD) model from Volvo’s plant in Shah Alam, will also enjoy the government’s incentives for CKD EVs until December 31, 2025. The C40 sits on the Compact Modular Architecture (CMA) platform and boasts a 450 km range on a single charge (WLTP).</t>
    <phoneticPr fontId="1"/>
  </si>
  <si>
    <t>On December 16, FAW Toyota officially launched the Granvia, its first mid-to-large-sized 7-seater MPV made in China, which is based on the TNGA-K platform. Equipped with a metal hydride nickel storage battery. In terms of standard configuration, the new vehicle features PVM (Panoramic View Monitor), and PKSB (Parking Support Brake).</t>
    <phoneticPr fontId="1"/>
  </si>
  <si>
    <t>On December 15, Toyota Motor Corporation (Toyota) announced that its planned global production volume for January 2023 is expected to be approximately 700,000 units (about 200,000 units in Japan and 500,000 units overseas). In Japan, Toyota plans to temporarily suspend production at 2 production lines in 2 plants in January. Specifically, the company will suspend production for 6 days at the Tahara Plant's Production Line #1. Hino Motors, Ltd., a Toyota Group company, will also suspend production for 9 days at the Hamura Plant's Production Line #1.</t>
    <phoneticPr fontId="1"/>
  </si>
  <si>
    <t>According to multiple press releases, on December 15, the first blade battery production line with an annual capacity of around 1.9GWh in the BYD Xiangyang Industrial Park in Hubei was officially put into operation. Other lines are under construction, and it is expected that all 16 lines will be put into operation in May 2023, bringing an annual capacity of 30GWh, enough for the assembly of 600,000 vehicles, an annual output value of over CNY 14 billion.</t>
    <phoneticPr fontId="1"/>
  </si>
  <si>
    <t>https://www.marklines.com/en/global/8568</t>
    <phoneticPr fontId="1"/>
  </si>
  <si>
    <t>On December 15, FAW Bestune announced the release of a new product brand logo on the basis of the existing corporate brand logo, forming a new pattern of “corporate brand + product brand”. In the future, FAW Bestune will cover a number of product lineups including sedans, SUVs, MPVs and crossovers, and keep expanding power systems including hybrid and battery electric.</t>
    <phoneticPr fontId="1"/>
  </si>
  <si>
    <t>https://www.marklines.com/en/global/3339</t>
    <phoneticPr fontId="1"/>
  </si>
  <si>
    <t>https://www.marklines.com/en/global/3735</t>
    <phoneticPr fontId="1"/>
  </si>
  <si>
    <t>On December 15, SAIC Maxus’ new V70 crossover made its global debut. The vehicle is based on SAIC Maxus’ new platform architecture and will be officially launched in early 2023. For the powertrain, the new vehicle is the industry-first light-duty bus equipped with a 9-speed automatic transmission, and features a 2.0T diesel engine, with a combined fuel consumption of 7.4L/100 km.</t>
    <phoneticPr fontId="1"/>
  </si>
  <si>
    <t>On December 15, Voyah, a Dongfeng Motor (DFM) subsidiary, debuted and commenced the presale of the Zhuiguang, its first electric sedan. The new vehicle is the first production model equipped with the ESSA + SOA intelligent electric bionic body. For the powertrain, the new vehicle features an 8-layer flat wire drive motor (maximum power 375kW and peak torque 730Nm). The standard and flagship models both feature an 82kWh battery pack, with a range of 580km under the CLTC standard, while the long-range flagship model features a 109kWh battery pack, with a range of 730km under the CLTC standard. It has a 0 to 100km/h acceleration time of 3.8 seconds and a maximum speed of 210km/h. In terms of configuration, the new vehicle is equipped with Voyah’s in-house developed autonomous navigation driving system, which can reach Level 2.9 of autonomous driving and supports more than 30 intelligent assisted driving features. Based on vehicle-cloud coordination computing of Voyah’s centralized SOA electronic and electrical architecture, the vehicle also features the world’s first Remote Vehicle Moving.</t>
    <phoneticPr fontId="1"/>
  </si>
  <si>
    <t>On May 19, Dongfeng Motor Group released its 2021 ESG Report. As of the end of the reporting period, Dongfeng Nissan actively explored solar photovoltaic power generation projects through third-party investment. Dongfeng Nissan's solar photovoltaic power generation project has a cumulative capacity of 55 megawatts. In 2021, the power generation will be 60 million kWh, reducing a total of 36,600 tons of CO2. In addition, the HD/CZ project under construction has 18 MW and is expected to reduce emissions by 10,000 tons of CO2.</t>
    <phoneticPr fontId="1"/>
  </si>
  <si>
    <t>https://www.marklines.com/en/global/4089</t>
    <phoneticPr fontId="1"/>
  </si>
  <si>
    <t>On May 19, Dongfeng Motor Group released its 2021 ESG Report. During the reporting period, Dongfeng Honda Engine invested CNY 6 million to introduce energy-saving T6 heat treatment furnace. The treatment furnace adopts a double-layer structure furnace body and waste heat reuse technology. The aging furnace can achieve the ideal temperature rise without burning natural gas for heating through the self-designed waste heat pipeline and control valve group. Compared with the old furnace, the natural gas consumption of the new treatment furnace is reduced by more than 20%, which is converted into a single gas saving of 1.33nm3/year, and an annual natural gas saving of 412,000 cubic meters.</t>
    <phoneticPr fontId="1"/>
  </si>
  <si>
    <t>On May 19, Dongfeng Motor Group released its 2021 ESG Report. The report pointed out that The planned construction capacity of the distributed photovoltaic project of Dongfeng Components Intelligent Equipment Industrial Park is 22MW, of which the installed capacity of BIPV building-integrated photovoltaics is about 18.5MW, and the installed capacity of photovoltaic carports is about 3.5MW. The total investment is expected to be CNY 115 million. The project is synchronized with the construction of the factory buildings (photovoltaic roofs). At present, the installation of photovoltaic roofs on 4 factories has been completed, and the photovoltaic installation of 5 factories and parking lots will be promoted as planned in the later stage. After the completion of the project, it is estimated that the annual power generation will be 21 million KWh, and the annual carbon emission will be reduced by 11,000 tons.</t>
    <phoneticPr fontId="1"/>
  </si>
  <si>
    <t>On May 19, Dongfeng Motor Group released its 2021 ESG Report. The report introduces Dongfeng Nissan's painting and drying room indirect burner waste heat recovery project. The high-temperature exhaust heat of the indirect burner is recovered through the heat pipe heat exchanger, and the recovered heat is used to preheat the fresh air, thereby reducing gas consumption, the energy saving rate reaches 17.4%, and reduces 1237 tons of CO2/year.</t>
    <phoneticPr fontId="1"/>
  </si>
  <si>
    <t>On May 19, Dongfeng Motor Group released its 2021 ESG Report. The report pointed out that Dongfeng Motor Group's 2022 emission target is to reduce carbon dioxide emissions by 3.8% and increase COD (chemical oxygen demand) emissions by no more than 6%.</t>
    <phoneticPr fontId="1"/>
  </si>
  <si>
    <t>On December 21, Lucid Group announced that it has begun deliveries of Lucid Air in Europe, with the first customers in Germany and the Netherlands. Lucid Air launches in Europe with the limited-production Dream Edition. It is available in two distinct versions. Dream Edition Performance features two motors producing a combined 828 kW and an all-electric driving range of 799 km on the WLTP combined cycle. Dream Edition Range electric driving range of up to 883 km on the WLTP combined cycle. Dream Edition Range is also powered by two motors, producing 696 kW. Lucid Motors, with its European headquarters based in Amsterdam, is actively expanding its physical presence in the region.</t>
    <phoneticPr fontId="1"/>
  </si>
  <si>
    <t>On December 21, AvtoVAZ announced that over the past few months, it has gradually resumed production of three leading models - Granta, Niva Legend, and Niva Travel - and brought production to a volume of 220,000 vehicles this year. From August 2022, it switched to a five-day working week, and from September to a six-day one. For 2023, it is planning to increase production to more than 400,000 cars and develop new car models.</t>
    <phoneticPr fontId="1"/>
  </si>
  <si>
    <t>London Taxis</t>
    <phoneticPr fontId="1"/>
  </si>
  <si>
    <t>https://www.marklines.com/en/global/9321</t>
    <phoneticPr fontId="1"/>
  </si>
  <si>
    <t>On December 20, LEVC (London Electric Vehicle Company) announced a new strategy to become a leading zero-carbon mobility technology company and deliver smart, green, safe, and accessible mobility solutions to more people than ever before. The new strategy will see it grow beyond manufacturing the world's most advanced taxi, the TX. Going forward, its state-of-the-art manufacturing plant at Ansty, Coventry, will continue to be the home of TX taxi - the London black cab and new generation models. In 2023, LEVC is targeting a 20% year-on-year sales increase. More details on LEVC's strategy will be revealed in Q1, 2023.</t>
    <phoneticPr fontId="1"/>
  </si>
  <si>
    <t>On December 19, European Investment Bank (EIB) announced the agreement of a further loan to Emotors for EUR 85 million to develop electric vehicle (EV) transmission technologies and put them into production. The R&amp;D activities will focus on creating four types of electric motors for use in battery-powered EVs, as well as power converters for electric motors. It will be carried out at research facilities at Emotors headquarters in Carrières-sous-Poissy in Yvelines. Production at the Trémery-Metz plant will be fully automated and based on industry 4.0 standards and principles. Emotors already received its first EIB loan in 2020, for EUR 145 million. This helped finance its investments to develop and manufacture its first electric motors, which rolled off the production line in 2022. The new motors under this second project will enter production between 2024 and 2026.</t>
    <phoneticPr fontId="1"/>
  </si>
  <si>
    <t>https://www.marklines.com/en/global/843</t>
    <phoneticPr fontId="1"/>
  </si>
  <si>
    <t>Stellantis is moving production of the Jeep Cherokee from the Belvidere, Illinois plant to their facility in Toluca, Mexico. The Belvidere plant is to either be idled or closed completely, which has caused controversy among displaced workers. No new product has been scheduled for Belvidere. High interest rates, semiconductor shortages and rising battery costs are the main reasons behind the move.</t>
    <phoneticPr fontId="1"/>
  </si>
  <si>
    <t>On December 20, Audi announced that it is taking steps to prepare its global facilities for the production of all-electric cars. Two sites, Böllinger Höfe and Brussels, are already producing all-electric vehicles. Starting next year, the Audi Q6 e-tron will be the first all-electric model to roll off the production line in Ingolstadt and the production of all-electric cars will gradually start in Neckarsulm, San José Chiapa, and Győr as well. In 2029, all production sites will be producing at least one all-electric vehicle model. Depending on local conditions, the production of the remaining combustion models will be gradually phased out by the beginning of the next decade. New plants will only be built where additional capacity is needed. To ensure that future production will be economical, Audi wants to cut annual factory costs in half by 2033. Audi will continue to digitalize production. Audi will also make its manufacturing processes even more flexible. To this end, the new Audi Q6 e-tron, for example, will initially be made in Ingolstadt on the same line as the Audi A4 and A5. On its way to becoming a 360factory, Audi is now setting itself even more ambitious sustainability targets related to production. By 2030, the company aims to cut its absolute environmental impact in the areas of primary energy consumption, power plant emissions, CO2 equivalents, air pollutants, local water risk, and wastewater and waste volumes in half, compared with the 2018 figure.</t>
    <phoneticPr fontId="1"/>
  </si>
  <si>
    <t>https://www.marklines.com/en/global/9858</t>
    <phoneticPr fontId="1"/>
  </si>
  <si>
    <t>On December 20, Daimler Truck announced the expansion of self-supply from renewable energies thanks to additional photovoltaic (PV) systems. At the German Mercedes-Benz plants in Woerth, Kassel, Gaggenau, and Mannheim, assembly of the new photovoltaics plants began in the fall and they are scheduled to be successively connected to the grid by May 2023. Currently, 5,400 kWp of photovoltaic modules are installed at the German truck sites, so that - together with existing systems - up to 5,700 MWh of electricity can be generated per year. The 13,000 modules have a surface area of around 39,000 square meters.</t>
    <phoneticPr fontId="1"/>
  </si>
  <si>
    <t>https://www.marklines.com/en/global/2227</t>
    <phoneticPr fontId="1"/>
  </si>
  <si>
    <t>https://www.marklines.com/en/global/2247</t>
    <phoneticPr fontId="1"/>
  </si>
  <si>
    <t>On December 20, Scania and the largest European asset-based transportation company Girteka announced a partnership. Scania will supply 600 battery-electric vehicles to Girteka over the next four years. At the same time, the companies will collaborate on establishing charging infrastructure and optimizing charging solutions. In addition to the agreement on electric vehicles, the scale-up of sustainable transportation will be realized by the deployment of vehicles with Scania's new Super powertrain, which delivers 8% fuel savings compared to the previous generation.</t>
    <phoneticPr fontId="1"/>
  </si>
  <si>
    <t>On December 20, URAL Automobile Plant announced that it is planning to produce 13,800 vehicles in 2023. In 2022, the plant expects to produce 9,830 cars. Thus, car production next year may increase by 40.4% compared to the expected level this year. It is planned to build a new building for the expansion of production capacities. To fulfill the planned tasks, the enterprise needs to additionally attract about 2,000 employees.</t>
    <phoneticPr fontId="1"/>
  </si>
  <si>
    <t>https://www.marklines.com/en/global/1065</t>
    <phoneticPr fontId="1"/>
  </si>
  <si>
    <t>On December 19, Indus Motor Company (Toyota Pakistan) announced that the company has decided to completely shut down its production plant from December 20, 2022, to December 30, 2022 (inclusive of the days). The company has been facing delays in approval for the import of CKD kits and components of passenger cars from the State bank of Pakistan which has resulted in insufficient inventory levels and consequently created an adverse effect on the supply chain and production activities.</t>
    <phoneticPr fontId="1"/>
  </si>
  <si>
    <t>On December 19, Stellantis announced the ramp-up of production of the all-new M3 electric motors, the result of the Emotors joint venture (Nidec Leroy-Somer Holding and Stellantis) at its manufacturing plant in Trémery, Lorraine, France. The production capacity is expected to reach more than 1 million electric motors per year by 2024. Starting in January 2023, the NEW DS 3 E-TENSE, Peugeot e-208, Jeep Avenger, and Opel Mokka electric will benefit from the high-efficiency M3 electric motor. It will be fitted to the new generations of various Stellantis brand vehicles as they are launched.</t>
    <phoneticPr fontId="1"/>
  </si>
  <si>
    <t>https://www.marklines.com/en/global/1699</t>
    <phoneticPr fontId="1"/>
  </si>
  <si>
    <t>On December 19, Toyota Motor Europe announced it is investing EUR 77 million in Toyota Motor Manufacturing Poland (TMMP), the European center for producing hybrid electric transmissions, including motor generators and electrical components. The new generation technology replaces the fourth-generation hybrid electric system produced by TMUK and TMMP in 2016 and 2018 respectively.</t>
    <phoneticPr fontId="1"/>
  </si>
  <si>
    <t>https://www.marklines.com/en/global/1445</t>
    <phoneticPr fontId="1"/>
  </si>
  <si>
    <t>On December 19, Toyota Motor Europe announced that it is investing in its UK engine plant to support the start of European production of its fifth-generation hybrid electric powertrain. Toyota Manufacturing UK’s (TMUK) factory in Deeside, North Wales, is benefiting from EUR 541,000 to upgrade the assembly line for the 1.8-liter gasoline engine featured in the new system. This hybrid technology will debut in 2023 in a new Corolla range, including Hatchback and Touring Sports models built by TMUK at Burnaston in Derbyshire. Engines from TMUK will also be used in the new Corolla Saloon, manufactured in Turkey. </t>
    <phoneticPr fontId="1"/>
  </si>
  <si>
    <t>On December 19, the BMW Group announced that the two millionth BMW 7 Series was rolled out from the assembly line at the Dingolfing plant. The vehicle was BMW i7 xDrive60. The new generation has been available from dealers since the beginning of December. The BMW Group plant is now also producing the seventh generation of the 7, from the BMW i7 to the plug-in hybrid versions to the ultra-modern and new combustion engines. The electric motors and high-voltage batteries for the BMW i7 are also manufactured in-house at the Dingolfing site. They come from the neighboring competence center for electric drive production.</t>
    <phoneticPr fontId="1"/>
  </si>
  <si>
    <t>On December 19, Dacia announced that the opening of orders for Jogger HYBRID 140 is scheduled for January 2023 for arrival in dealerships from March 2023. It will be manufactured in Mioveni, Romania. Jogger is the first Dacia model to be equipped with hybrid technology. The hybrid engine is based on proven and recognized technologies within the Renault Group, consisting of a 90 bhp 1.6-liter 4-cylinder gasoline engine, two electric motors (a 50 bhp motor and a high-voltage starter/generator), and an electrified automatic gearbox. The battery is installed under the floor in place of the spare wheel.</t>
    <phoneticPr fontId="1"/>
  </si>
  <si>
    <t>https://www.marklines.com/en/global/709</t>
    <phoneticPr fontId="1"/>
  </si>
  <si>
    <t>On December 19, multiple sources reported that Hyundai Motor Manufacturing Rus LLC has started laying off employees of the St. Petersburg plant. Hyundai said that it will fulfill all social obligations to employees who will be affected, including the payment of severance pay for parties who have left by agreement. The Hyundai plant in St. Petersburg has been idle since March 2022 due to a shortage of components.</t>
    <phoneticPr fontId="1"/>
  </si>
  <si>
    <t>https://www.marklines.com/en/global/3349</t>
    <phoneticPr fontId="1"/>
  </si>
  <si>
    <t>On December 16, FAW Jiefang announced that FAW Jiefang Automotive Co., Ltd. (Jiefang Ltd.), its subsidiary, plans to invest CNY 670,872,800 in Changchun Automotive Test Center Co., Ltd. (CATC) to further enhance the management and control of product consistency and the R&amp;D, testing, certification and inspection of new energy and intelligent connected products. CATC founded in 1999 and controlled by FAW Group with 100% shareholding. After the investment is completed, the shareholding ratios will be adjusted to 85.37% held by FAW Group and 14.63% by Jiefang Ltd.</t>
    <phoneticPr fontId="1"/>
  </si>
  <si>
    <t>On December 16, Toyota announced that it will add a third shift at its plant in Zárate, Argentina to increase in its production capacity to 182,000 units per year as of January 2023 to meet demand for Hilux and SW4 throughout the region. With investments of around USD 60 million, the expansion will create more than 2,000 new jobs that will begin working in a rotating shift system.</t>
    <phoneticPr fontId="1"/>
  </si>
  <si>
    <t>On December 15, GAC Group signed a strategic cooperation agreement with China Southern Power Grid Technology Co., Ltd. (CSPGT) for future cooperation in the energy eco-industrial chain. The two parties will conduct business cooperatively in new energy storage, micro grid, and battery recycling by focusing on the construction of a new energy ecology and leveraging their respective strengths and proprietary technologies. The two will also explore the strengthening of capital bond cooperation. In addition, the two parties will explore the construction of an energy ecology in the business fields of batteries, energy storage, charging and battery swapping, and jointly develop related products such as power distribution cabinet-type energy storage systems for cascade batteries.</t>
    <phoneticPr fontId="1"/>
  </si>
  <si>
    <t>On December 15, Farizon New Energy Commercial Vehicles Group (Farizon), a Geely subsidiary, held a signing ceremony in Dubai, United Arab Emirates with Admiral Mobility, an Emirati company, for establishing long-term strategic cooperation. The two parties announced the placement of 5,000 electric commercial vehicles in the Middle East in the next three years, and signed orders for the first 1,000 Farizon Super VANs. In 2023, Farizon will commence the deployment and construction of overseas local KD plants. The company will launch the Xingzhi new energy light-duty truck in Israel in Q1 2023, and will launch the right-hand drive model of the Xingzhi in H2 2023 to fully explore the market of right-hand drive vehicles. In the future, Farizon will strive to achieve the goal of being the champion exporter of new energy commercial vehicles by 2027 through a series of initiatives such as establishing a sound overseas product compliance development system and local R&amp;D centers.</t>
    <phoneticPr fontId="1"/>
  </si>
  <si>
    <t>https://www.marklines.com/en/global/10409</t>
    <phoneticPr fontId="1"/>
  </si>
  <si>
    <t>On December 19, SOLLERS announced that it will resume production of eight-cylinder engines in the first half of 2023. Gasoline and dual-fuel engines ZMZ series 523, and 524 were produced at the Zavolzhsky Motor Plant (now the Zavolzhsky branch of UAZ LLC) until 2021 and were used in many well-known models of commercial vehicles and buses. The enterprises involved in the production chain promptly began preparations for the resumption of production and staffing.</t>
    <phoneticPr fontId="1"/>
  </si>
  <si>
    <t>On December 16, Scania announced that it is seeing strong interest in regional battery electric vehicles. Currently, the orders have reached 640, and the company sees a clear momentum for electric vehicles. Production of the electric regional trucks will begin in Q4, 2023. The trucks have 624 kWh of batteries.</t>
    <phoneticPr fontId="1"/>
  </si>
  <si>
    <t>https://www.marklines.com/en/global/6443</t>
    <phoneticPr fontId="1"/>
  </si>
  <si>
    <t>On December 16, multiple sources reported that Scania and MAN, which are part of the Traton group have transferred the assets of Russian subsidiaries MAN Truck and Bus Rus LLC and Scania Rus LLC to their local dealers, based on the USRLE (the Unified State Register of Legal Entities) data. MAN Truck Chelny, the official dealer of the brand in Kazan and Naberezhnye Chelny, gained control over a 100% share of the Russian representative office of MAN. The assets of Scania were transferred to the ownership of the brand's partner - "Alfaskan".</t>
    <phoneticPr fontId="1"/>
  </si>
  <si>
    <t>https://www.marklines.com/en/global/10307</t>
    <phoneticPr fontId="1"/>
  </si>
  <si>
    <t>On December 15, Skoda Auto Digilab's i-mobilothon announced that over 50 start-ups took up the challenge and developed some outstanding workable ideas at the second run of i-Mobilothon. The event concluded with Dave.ai and Xane.ai winning the hackathon with a breakthrough idea on the Metaverse and Artificial Intelligence. This year, i-mobilothon received more than 200 registrations from start-ups and students to internal employees entering across various categories.</t>
    <phoneticPr fontId="1"/>
  </si>
  <si>
    <t>On December 15, Zhejiang Jingneng Microelectronics Co., Ltd. (Jingneng), a Geely Technology Group subsidiary, announced the completion of its Series Pre-A financing. For the financing, Walden International was the lead investor, and Vision Knight Capital, Gaorong Capital and Volfone Enterprises followed. Funds raised will be mainly used for the R&amp;D investment, production line construction and technical team establishment of power semiconductor modules.</t>
    <phoneticPr fontId="1"/>
  </si>
  <si>
    <t>On December 14, the Information Office of the Guangzhou Municipal People’s Government held a press conference on “Seizing Opportunities, Striving for the Economy and Focusing on Development”, which was attended and addressed by the head of the Brand Public Relations Department of the GAC Group. According to GAC, the GAC Group intends to invest CNY 85 to 100 billion in the R&amp;D of intelligent connectivity and new energy technologies during the 14th Five-Year Plan period (2021-2025), with the goal of achieving vehicle production and sales of 3.5 million units and a revenue of over CNY 600 billion by 2025.</t>
    <phoneticPr fontId="1"/>
  </si>
  <si>
    <t>According to multiple press releases dated December 14, all BAIC Group subsidiaries have resumed operations. BAIC Off-Road Vehicle claimed that it has so far received orders for over 10,000 units of its new BJ60 mid-to-large-sized hardcore SUV that was officially launched at the end of November. To ensure the delivery of the new vehicle, thousands of employees worked inside quarantined production plants during the COVID-19 outbreak. The company expected 30% year-over-year (y/y) increases in production and output value in Q1 2023. Since December 7, BAIC Foton has shifted from closed-loop production to 100% resumption of full-process production. Specifically, BAIC Foton AUV is expected to produce over 6,600 new energy buses for the whole year, and is facing the task of producing and delivering nearly 1,000 units in December. So far, the number of AUV employees in closed-loop production operations has reached 1,362, and the daily capacity has recovered to nearly 90% of the normal volume. The standard production target of 16 units per day is expected to be achieved by mid-December. According to BAIC Group’s official account, since the official introduction of the new optimized COVID-19 prevention and control policies on December 7, BAIC Group has been accelerating the resumption of work and production in the Beijing Benz plant in the Beijing Economic-Technological Development Area, the BAIC Foton plant in Changping District, Beijing, and the Beijing Hyundai plant in Shunyi District, Beijing. In addition, the first China-made Mercedes-Benz heavy-duty truck was officially launched through an online live broadcast.</t>
    <phoneticPr fontId="1"/>
  </si>
  <si>
    <t>https://www.marklines.com/en/global/3435</t>
    <phoneticPr fontId="1"/>
  </si>
  <si>
    <t>https://www.marklines.com/en/global/8901</t>
    <phoneticPr fontId="1"/>
  </si>
  <si>
    <t>On December 13, FAW Trucks South Africa announced that it is planning to introduce many new models in all segments in 2023, further expanding the already comprehensive product offering, across all segments of the commercial vehicle industry. One of FAW Trucks' biggest goals for 2023 is to surpass 15,000th units of production. The manufacturing facility recently invested in many new employees to meet their recent production milestones and will integrate this additional manpower while also incorporating modifications to the existing factory processes and technology to meet these targets.</t>
    <phoneticPr fontId="1"/>
  </si>
  <si>
    <t>MG</t>
    <phoneticPr fontId="1"/>
  </si>
  <si>
    <t>On December 12, SAIC MG announced on its official account the commencement of the pre-orders of the new MG7 mid-sized coupe. The new vehicle is based on the Everest mechatronics architecture.</t>
    <phoneticPr fontId="1"/>
  </si>
  <si>
    <t>Announced on December 8, Ford Hai Duong Plant celebrates 25 years of operation. Its upgraded assembly line allows the plant to assemble modern vehicles, such as the New Generation Ranger and Territory, and to be ready for future product lines. Nearly 300,000 Ford automotive products of all kinds have been delivered to Vietnamese customers. Up to now, the proportion of locally assembled vehicles has dominated with over 70% of Ford's total sales volume in Vietnam.</t>
    <phoneticPr fontId="1"/>
  </si>
  <si>
    <t>On December 16, Ford revealed a teaser image of a new all-electric medium crossover it will build in Cologne, Germany starting in 2023. It will build a second EV, which Ford refers to as a "sports crossover”, in 2024.</t>
    <phoneticPr fontId="1"/>
  </si>
  <si>
    <t>On December 15, Honda announced that its Alabama Auto Plant (AAP) in Lincoln, Alabama celebrated the start of mass production of the all-new 2023 Honda Pilot, which includes the new Pilot TrailSport. The fourth generation Pilot features an all-new 3.5-liter V6 engine made exclusively at AAP. Working with the Anna Engine Plant in Ohio, responsible for casting and machining of the new blocks and cylinder heads, final assembly of the V6 engine is handled by at AAP. The 10-speed automatic transmission new to Pilot is built at the Honda Transmission Plant (TMP-GA) in Tallapoosa, Georgia.</t>
    <phoneticPr fontId="1"/>
  </si>
  <si>
    <t>https://www.marklines.com/en/global/3137</t>
    <phoneticPr fontId="1"/>
  </si>
  <si>
    <t>On December 15, Faraday Future announced that it expects to start production of a saleable FF 91 Futurist at the end of March 2023, coming off the assembly line in early April with deliveries before the end of April, subject to the timely availability of USD 150 to USD 170 million of additional funding and timely stockholder approval of an authorized share increase. The company also announced it had completed construction and equipment installation in vehicle assembly areas at its plant in Hanford, California.</t>
    <phoneticPr fontId="1"/>
  </si>
  <si>
    <t>https://www.marklines.com/en/global/8736</t>
    <phoneticPr fontId="1"/>
  </si>
  <si>
    <t>On December 28, General Motors commenced pre-production of the all-electric Buick Electra E5 at the SAIC-GM plant in Wuhan, China. Customer deliveries will commence in the first half of 2023. The Electra E5 is first Buick to feature GM’s Ultium platform and drive unit.</t>
    <phoneticPr fontId="1"/>
  </si>
  <si>
    <t>Tesla Gigafactory Texas has been preparing for Cybertruck production, which is expected to begin in six months. On December 18, 66 Kuka production line robots arrived in Houston, Texas destined for the Tesla plant. On December 16, the Texas plant finally received a delivery from Italian supplier IDRA of the long-awaited Giga Press with a clamping force of 9,000 tons, which will be used to produce the rear single-piece casting for the Cybertruck.</t>
    <phoneticPr fontId="1"/>
  </si>
  <si>
    <t>On December 23, Volkswagen Caminhões e Ônibus announced that with the partnership of BMB, VWCO’s exclusive optimization center, more than 150,000 trucks have already been customized in 21 years of partnership.  BMB collaborates with the VWCO plant in Resende, Brazil, which is just a hundred meters away, to facilitate its activities. In 2017, BMB inaugurated the first Volkswagen Caminhões e Ônibus customization center abroad, located in Mexico, where its operation is located in the same industrial park as VWCO.</t>
    <phoneticPr fontId="1"/>
  </si>
  <si>
    <t>On December 20, Nissan Mexicana announced the production of the new Versa 2023, which will take place at the company’s Aguascalientes 1 plant. Nissan invested of over USD 48 million in the Aguascalientes 1 plant, which also produces the Kicks and March.</t>
    <phoneticPr fontId="1"/>
  </si>
  <si>
    <t>On December 28, the United Auto Workers (UAW) labor union announced it will begin negotiating on their first contract for workers at Ultium Cells LLC 's Warren, Ohio plant, which opened last summer, in January 2023. The UAW will also look to unionize other Ultium facilities in Spring Hill, Tennessee, which will open late in 2023, and Delta Township near Lansing, which opens in late 2023, GM and LG are considering New Carlisle, Indiana, for a fourth plant.</t>
    <phoneticPr fontId="1"/>
  </si>
  <si>
    <t>On December 27, a report based on an internal schedule emerged that Tesla’s Gigafactory Shanghai will be running production only for 17 days in January, from January 3 to January 19, and stop once more from January 20 to January 31, reportedly due to an extended break for the Chinese New Year, which itself runs from January 21 through 27. Assembly operations had been paused at Gigafactory Shanghai for a few days at the end of December while undergoing annual maintenance procedures, but the facility’s workshops that produce EV chargers had remained operational. </t>
    <phoneticPr fontId="1"/>
  </si>
  <si>
    <t>https://www.marklines.com/en/global/873</t>
    <phoneticPr fontId="1"/>
  </si>
  <si>
    <t>The 2024 Chevrolet Equinox is scheduled to begin regular production at the Ramos Arizpe and San Luis Potosí plants in May 2023, according to sources familiar with the matter. The next-gen Equinox is now expected on the carryover GM D2 platform to begin production during the 2024 calendar year for the 2025 model year.</t>
    <phoneticPr fontId="1"/>
  </si>
  <si>
    <t>https://www.marklines.com/en/global/867</t>
    <phoneticPr fontId="1"/>
  </si>
  <si>
    <t>On December 1, 2022, BMW reported that serial production of the new XM model has launched at the OEM’s plant in Spartanburg, South Carolina. It will be built on the same assembly line as the X5, X6 and X7. The BMW XM will arrive at dealers worldwide in spring 2023. Key sales markets will be the United States, China, and the Middle East.</t>
    <phoneticPr fontId="1"/>
  </si>
  <si>
    <t>https://www.marklines.com/en/global/735</t>
    <phoneticPr fontId="1"/>
  </si>
  <si>
    <t>On December 27, KAMAZ PJSC announced that the business plan for 2023 provides revenue of more than RUB 300 billion. As for production indicators, in 2022 the production volumes of KAMAZ vehicles are expected to be approximately at the level of 2021. By the end of 2022, production of 43,828 units is expected. In 2023, the company will continue import substitution and resume production of trucks of a new model range. It is planned to produce 10,600 units of K4 and K5 generation trucks.</t>
    <phoneticPr fontId="1"/>
  </si>
  <si>
    <t>On December 26, Rivian announced that standard and enhanced versions of the R1T and R1S Dual-Motor AWD will be available in 2023. The standard Dual-Motor AWD R1T and R1S, built in Normal, Illinois, are capable of 600 HP and can run 0-60 mph in 4.5 seconds. The enhanced Dual-Motor AWD R1T and R1S have improved capabilities with 700 HP and acceleration times of 0-60 mph in 3.5 seconds. The R1T Quad-Motor with Large Pack has a record-setting EPA range of 328 miles.</t>
    <phoneticPr fontId="1"/>
  </si>
  <si>
    <t>On December 26, UzAuto Motors Powertrain plant announced a new production line for engines. The new engines will be installed in the Chevrolet Onix and Chevrolet Tracker produced at the UzAuto Motors plant in Asaka. The engines are produced in two types, the naturally aspirated CSS Prime 1.2 LIF and the turbocharged CSS Prime 1.2 L4H. The amount of investment allocated for the production of the CSS Prime line is USD 190 million. It will have a production capacity of approximately 400,000 units per year. About 1,300 employees are currently working at the plant.</t>
    <phoneticPr fontId="1"/>
  </si>
  <si>
    <t>https://www.marklines.com/en/global/9015</t>
    <phoneticPr fontId="1"/>
  </si>
  <si>
    <t>On December 25, Tesla announced that its 4680 battery cell production team built 868,000 cells in the last seven days, enough to supply over 1,000 electric vehicles. Tesla currently produces 4680 cells in its pilot line at Kato Road, near the Fremont Plant, and on a line at Gigafactory Texas.</t>
    <phoneticPr fontId="1"/>
  </si>
  <si>
    <t>https://www.marklines.com/en/global/1159</t>
    <phoneticPr fontId="1"/>
  </si>
  <si>
    <t>On December 24, MG Motors, India announced that it rolled out the 100,000th MG Hector from its manufacturing facility in Halol, Gujrat. The company also teased the advanced driving dynamics which are going to be featured in its upcoming Hector SUV facelift.</t>
    <phoneticPr fontId="1"/>
  </si>
  <si>
    <t>On December 23, JAC announced its intention to acquire the project assets (including equipment and tooling assets) related to projects under construction and equipment installation projects held by NIO Automobile (Anhui) Co., Ltd. (Anhui NIO), with the transaction price estimated at CNY 1.704 billion. According to JAC, the acquisition will not affect its normal production and operation, and the transaction, if successfully concluded, will contribute to further deepening its strategic cooperation with NIO.</t>
    <phoneticPr fontId="1"/>
  </si>
  <si>
    <t>On December 22, Great Wall Motor (GWM) announced that the new Shanhaipao large-sized luxury pickup truck will be launched at the Auto Guangzhou 2022 to be opened on December 30. The new vehicle is based on the Tank intelligent professional off-road platform, and features a 3.0T V6+9AT powertrain with a maximum power of 260kW and a peak torque of 500Nm for the engine, with a 2.4T diesel power engine (maximum power 135kW and peak torque 480Nm) optional. The new vehicle features high-level intelligent driving assistance systems, with HWA high-speed navigation assisted driving optional. It also features active safety technologies such as ACC (Adaptive Cruise Control), Automatic Parking, front and rear DVRs (Digital Video Recorders), and 360-degree HD Panoramic View.</t>
    <phoneticPr fontId="1"/>
  </si>
  <si>
    <t>On December 22, Changan Auto officially launched its new Pioneer pickup truck.</t>
    <phoneticPr fontId="1"/>
  </si>
  <si>
    <t>https://www.marklines.com/en/global/2769</t>
    <phoneticPr fontId="1"/>
  </si>
  <si>
    <t>On December 22, Mercedes-Benz Camiones y Buses (Trucks &amp; Buses) announced it is investing  USD 20 million to acquire a 20-hectare property in Zarate, Argentina where a logistics center for auto parts will be built. The second stage will include transforming the acquired property into a production center. Mercedes Benz Trucks and Buses currently produces Accelo and Atego trucks and OH and OF buses at its Juan Manuel Fangio Plant in Puerto Madero.</t>
    <phoneticPr fontId="1"/>
  </si>
  <si>
    <t>On December 21, Moskvich announced that Moskvich 3 will be available for sale. Moskvich 3 will replenish taxi and car-sharing fleets. In 2023, Moskvich will concentrate its activity in large Russian cities with a million population, and as production volumes increase, it will expand its presence in the Russian market.</t>
    <phoneticPr fontId="1"/>
  </si>
  <si>
    <t>https://www.marklines.com/en/global/10637</t>
    <phoneticPr fontId="1"/>
  </si>
  <si>
    <t>On December 20, CATL and Avatr Technology signed an agreement on deepening strategic cooperation in Chongqing. The two parties will establish an industry-leading battery supply system based on advanced battery technologies to support Avatr Technology in building a high-end intelligent electric vehicle (EV) product lineup.</t>
    <phoneticPr fontId="1"/>
  </si>
  <si>
    <t>On December 20, Dongfeng Honda officially launched the 11th-generation Civic compact hatchback. For the powertrain, the ICE models feature a 1.5L 240TURBO direct injection turbocharged engine (134kW/240Nm), mated to a new “G-Design Shift” CVT transmission or a 6MT transmission, with a minimum fuel consumption of 5.91L/100km under the WLTC standard. The hybrid models feature the 4th-generation i-MMD dual-motor hybrid power system consisting of a 2.0L engine (105kW/182Nm) with a maximum thermal efficiency of 41%, a drive motor (135kW/315Nm) and a lithium-ion power battery, with a minimum fuel consumption of 4.61L/100km under the WLTC standard. In terms of standard configuration, the new vehicle features the Honda CONNECT 3.0 system, with some models featuring the Honda SENSING system with ACC (Adaptive Cruise Control) and FCW (Forward Collision Warning).</t>
    <phoneticPr fontId="1"/>
  </si>
  <si>
    <t>https://www.marklines.com/en/global/10485</t>
    <phoneticPr fontId="1"/>
  </si>
  <si>
    <t>On December 19, Audi announced on its official website that the A6 Avant e-tron battery electric concept vehicle to be mass produced made its Chinese debut in December 2022. The new vehicle is the second concept model of the A6 e-tron battery electric vehicle lineup, and is based on the PPE (Premium Platform Electric: an Audi high-end electric platform) pure electric technology platform, which is a modular technology innovation platform jointly developed by Audi and Porsche, with 800V high-voltage fast charging as the core drive technology and a maximum charging power of 270kW. For the powertrain, the models with dual motors in the front and rear have a total output power of 350kW, a peak torque of 800Nm, and a 0 to 100km/h acceleration time of less than 4 seconds, with the e-quattro intelligent electric 4WD system enabling the two motors on the front and rear axles to distribute traction force on demand. The new vehicle features a 100kWh battery pack, which is flatly mounted at its bottom and takes less than 25 minutes to be charged from 5% to 80%, with a maximum range of 700km under the WLTP standard. In the future, battery electric models mass-produced with the PPE platform will be produced locally in China at the FAW Audi PPE plant in Changchun, Jilin. Also, FAW Audi will fulfill its electric mobility commitment of “All in e-tron” through a richer battery electric product lineup.</t>
    <phoneticPr fontId="1"/>
  </si>
  <si>
    <t>On December 26, Pak Suzuki Motors, Pakistan announced that due to a shortage of inventory level, the management of the company has decided to shut down its plant for automobiles as well as motorcycles for a period of January 2, 2023, to January 6, 2023. The company would update any further communication accordingly.</t>
    <phoneticPr fontId="1"/>
  </si>
  <si>
    <t>On December 26, UzAuto Motors announced that the President of Uzbekistan and the President of Kazakhstan launched the construction of joint facilities, a project for the production of Chevrolet Onix cars by small-scale assembly method. The production project of Chevrolet Onix cars in Kazakhstan will be carried out at the facilities of the Allur automobile plant, which will allow the production of 30,000 units of products per year. Earlier, UzAuto signed an agreement on investment and trade-economic contracts worth USD 570 million, including the financing of this project, within the framework of the Uzbekistan-Kazakhstan interregional business forum.</t>
    <phoneticPr fontId="1"/>
  </si>
  <si>
    <t>On December 26, Sono Motors announced that it has received more than 1,000 full deposits for the solar electric vehicle Sion. The 50-day #savesion campaign was launched on 8 December and aims at raising approx. EUR 100 million gross from deposits, which equals 3,500 fully paid reservations for the Sion. This sum is intended to cover a large part of the investments up to the pre-series production of the Sion in 2023. To date, Sono Motors has raised over EUR 330 million via investors and financial instruments. However, due to the capital market decline in the recent past, it was not able to fully finance the remaining capital necessary until the planned start of production in the first quarter of 2024.</t>
    <phoneticPr fontId="1"/>
  </si>
  <si>
    <t>On December 26, AvtoVAZ announced the start of the LADA e-Largus testing cycle. This is the most localized Russian electric car, the pilot production of which will start at the LADA Izhevsk plant at the end of 2023. LADA e-Largus will be produced both in passenger and commercial van versions. This model will be the most localized Russian electric car. The share of use of components from Russian suppliers at the start of production will be at least 50% (or 3600 points). It is equipped with a permanent magnet synchronous electric motor with a power of 110-kW. Lithium-ion batteries are located in the engine compartment and the area where the gas tank was previously located.</t>
    <phoneticPr fontId="1"/>
  </si>
  <si>
    <t>On December 26, Otokar received orders for a total of 148 vehicles for the Doruk and natural gas-powered Kent buses, with a cost of approximately EUR 34.2 million, from two different companies in the Italian market. Deliveries are planned to start in the second half of 2023 and to be completed in batches in the first half of 2024. 58 of the orders will be delivered to the Tuscany region of Italy. 90 natural gas-powered Kent buses will be exported to Puglia, the southern region of Italy.</t>
    <phoneticPr fontId="1"/>
  </si>
  <si>
    <t>On December 23, Hyundai Motor Manufacturing Indonesia (HMMI) and National Electricity Company (PLN) inked an agreement to obtain Renewable Energy Certificate (REC) on HMMI Plant, with the purpose of granting an REC as a form of fulfilling ownership rights to the environmental benefits of New and Renewable Energy (EBT) that produces electrical energy. Starting from January 1, 2023, 100% electricity of HMMI plant will come from renewable energy source and its products will be made with 100% renewable energy. HMMI plant will produce vehicles with 100% eco-friendly energy by receiving power from PLN Kamojang Geothermal Power Plant located in Bandung, West Java.</t>
    <phoneticPr fontId="1"/>
  </si>
  <si>
    <t>On December 23, KAMAZ announced that the engines of model 910.15 with increased torque (2300 Nm) are shipped to the automobile plant. KAMAZ vehicles of the K5 generation are equipped with these engines. At the end of December, an experimental assembly of the engine with new fuel equipment and an electronic control unit will take place. In addition, in the first half of 2023, it is planned to switch to the 910.50 engines with an increased displacement of up to 13 liters, which will reduce operating fuel consumption by about 1.8 liters / 100 km. Work on the development of the P6 engine line continues.</t>
    <phoneticPr fontId="1"/>
  </si>
  <si>
    <t>https://www.marklines.com/en/global/1793</t>
    <phoneticPr fontId="1"/>
  </si>
  <si>
    <t>On December 21, Magyar Suzuki announced that it will further expand its workforce in 2023, as it wants to increase production. The Esztergom factory currently provides long-term employment opportunities for 3,000 employees. It will also raise the wages of the company's employees by an average of 20 percent in 2023. The company also allocated a 1.5-month bonus next year in two installments depending on performance.</t>
    <phoneticPr fontId="1"/>
  </si>
  <si>
    <t>IM</t>
    <phoneticPr fontId="1"/>
  </si>
  <si>
    <t>https://www.marklines.com/en/global/3611</t>
    <phoneticPr fontId="1"/>
  </si>
  <si>
    <t>On December 20, IM Motors commenced nationwide presale of the IM LS7, its first mid-to-large-sized luxury SUV. Official launch and delivery of the vehicle is expected in mid-Feburary and March 2023, respectively. With an electric motor with a maximum power of 425kW and a peak torque of 725Nm, the new vehicle has a 0 to 100km/h acceleration time of 4.5 seconds and a range of 660km under the CLTC standard.</t>
    <phoneticPr fontId="1"/>
  </si>
  <si>
    <t>On December 20, the first mass-produced batch of the HiPhi Z, a new battery electric flagship model of Human Horizons-backed HiPhi, officially rolled off the line, and were shipped nationwide on the same day. Bulk deliveries of the vehicle will commence in January 2023. As the second flagship HiPhi model after the HiPhi X, the new vehicle is equipped with the new in-house developed HiPhi OS, a Qualcomm Snapdragon 8155 automotive chip, 360-degree ISD (Intelligent Signal Display), PML (Programmable Matrix Lighting), and the HiPhi Bot intelligent digital robot.</t>
    <phoneticPr fontId="1"/>
  </si>
  <si>
    <t>On December 20, the first mass-produced batch of the Avatr 11, Avatr’s first intelligent electric coupe SUV, and the Avatr 011, the limited version of the Avatr 11 (limited to 500 units worldwide), officially rolled off the line at the Changan Auto Chongqing plant. The Avatr 11 is based on the new CHN technology platform for intelligent electric vehicles, and will be delivered in bulk at the end of December. The Avatr 11 is equipped with the AVATRANS intelligent navigation system that features 360-degree full-fusion perception covering expressways, urban areas and parking lots; the Huawei DriveONE dual-motor 4WD system that has a 0 to 100km/h acceleration time of 3.98 seconds; and a CATL ternary lithium battery pack that has a maximum charging power of 240kW and a range of 200km on a 10-minute charge.</t>
    <phoneticPr fontId="1"/>
  </si>
  <si>
    <t>On December 20, GAC Toyota officially put its 2nd-phase New Energy Vehicle (NEV) capacity expansion project in Nansha District, Guangzhou into operation. The project will produce the bZ4X, the first e-TNGA mid-sized battery electric SUV, with an annual capacity of 200,000 units. The project aims to build a low-environmental-burden plant by introducing a solar power generation system and purchasing green electricity to make it GAC Toyota’s first electricity-carbon-neutral plant. GAC Toyota plans to bring the sales of electrified models to nearly 60% of the total sales by 2025 and to 100% by 2035.</t>
    <phoneticPr fontId="1"/>
  </si>
  <si>
    <t>On December 19, Dongfeng Motor (DFM) officially launched the new Yufeng V9+ light-duty bus. The vehicle features a Nissan Renault M9T diesel engine with a maximum power of 143PS and a peak torque of 380Nm that is mated to a 6MT or 7DCT transmission, and FWD and RWD driving modes, leading to dozens of different model variations. The vehicle is equipped with ABS (Antilock Brake System) and EBD (Electronic Brakeforce Distribution) as standard, with TPMS (Tire Pressure Monitoring System) and ESC (Electronic Stability Control) optional. In addition to the basic models, the new vehicle can serve as a base for customized models for segmented markets such as medical care, police, engineering, service, and low temperature-controlled supply chains.</t>
    <phoneticPr fontId="1"/>
  </si>
  <si>
    <t>On December 18, FAW Toyota commenced the presale of the new bZ3 battery electric sedan. The new vehicle is based on the e-TNGA architecture. In terms of power, the new vehicle features a lithium iron phosphate battery with a maximum range of 616km under the CLTC standard and a power consumption of 11kWh/100km. In terms of configuration, the new vehicle features the Toyota Safety Sense system (including PCS (Pre-Collision System) and DRCC (Dynamic Radar Cruise Control)).</t>
    <phoneticPr fontId="1"/>
  </si>
  <si>
    <t>On December 17, Livan Auto announced the official launch of the Livan 9, its first battery swappable SUV. The new vehicle is based on the GBRC (Global Battery Rapid Change) Crystal architecture. For the powertrain, the new vehicle features a permanent-magnet synchronous motor (maximum power 150kW and peak torque 310Nm), mated to a 52.56kWh or 66.57kWh ternary lithium-ion power battery, with a range of 380km or 470km under the CLTC standard. The vehicle is driven by a single-motor FWD. In terms of standard configuration, the Baidu Honghu intelligent voice interaction platform, and mobile phone APP remote control system. Level 2 intelligent driving assistance is available on some models.</t>
    <phoneticPr fontId="1"/>
  </si>
  <si>
    <t>https://www.marklines.com/en/global/10415</t>
    <phoneticPr fontId="1"/>
  </si>
  <si>
    <t>On December 15, Foton Motor released multiple new products at its 2023 product launch. Foton Motor has planned and formulated a mid-to-long-term technology development roadmap in four key directions of new energy, intelligent connectivity, energy saving and weight reduction. From the end of 2022 to 2023, it will launch as many as 23 new products, covering conventional, hybrid, hydrogen-powered and battery electric products. For conventional vehicles, Foton Motor will launch the Auman Planet medium-duty truck, the New Aumark high-end light-duty truck, the Ollin Pro mid-to-high-end light-duty truck, and the New Xiangling M micro-truck, which are based on the Galaxy technology platform. For new energy, Foton Motor has created a full lineup of new energy commercial vehicle products, adopting an electric-based approach to accelerate the development of plug-in hybrid vehicles and the exploration of hydrogen-powered vehicles. In terms of electrification, Foton Motor has released value-type light-duty truck products based on a new lightweight electrified chassis architecture, covering the Aumark and Ollin brands. All the products feature independent electric drive axles, 100.5kWh and 86.5kWh single-pack batteries, and comprehensive thermal management technology and energy consumption integration technology to save energy by more than 20%; equipped with EHB and EPS intelligent chassis technologies for more accurate and responsive steering and braking. Based on the same electrified architecture, Foton Motor has also developed economic light-duty truck products with considerable battery capacities, low energy consumption and high cost performance, covering the Aumark, Ollin and Forland brands. In addition, Foton Motor has released the FIA (Full-size Intelligent Architecture), a next-generation full-size platform for Foton pickups, at the launch.</t>
    <phoneticPr fontId="1"/>
  </si>
  <si>
    <t>https://www.marklines.com/en/global/3685</t>
    <phoneticPr fontId="1"/>
  </si>
  <si>
    <t>https://www.marklines.com/en/global/10380</t>
    <phoneticPr fontId="1"/>
  </si>
  <si>
    <t>On December 23, Faurecia, a company of the Group FORVIA, Michelin and Stellantis announced exclusive negotiations for Stellantis to acquire a substantial stake in Symbio, a leader in zero-emission hydrogen mobility, to become a significant player along with existing shareholders Faurecia and Michelin. The closing of the transaction is expected to occur in the first semester of 2023 and is subject to customary closing conditions, including regulatory approvals.</t>
    <phoneticPr fontId="1"/>
  </si>
  <si>
    <t>Luxgen Motor Co., Ltd. (Luxgen Motor), a subsidiary of Yulon Motor Co., Ltd., announced on October 18 that it will once again offer, for a limited-time, advanced reservations for the all-new n⁷ electric SUV. For TWD 1,000, applicants will receive the right to pre-order the n⁷ as well as a variety of other benefits, including the right to choose a limited quantity version. The period is from 1:00 p.m. on October 18 to 23:59 p.m. on October 23. For those applying after October 27 (October 27-December 31) after the plan deadline, they must obtain an invitation code from an applicant of the first pre-order plan. The first plan, which was implemented on September 1, was flooded with over 15,000 applicants in two days, so the application acceptance was finished ahead of schedule.</t>
    <phoneticPr fontId="1"/>
  </si>
  <si>
    <t>On November 8, Hyundai Motor (Hyundai) officially launched Custin, the all-new luxury MPV for which pre-orders began in September. The suggested retail prices are TWD 1,329,000 for the GLT-A Flagship and TWD 1,469,000 for the GLT-B VIP. The three-row, seven-passenger model has dimensions of 4,950mm (L) x 1,850mm (W) x 1,734mm (H) and a wheelbase of 3,055mm. The new model is powered by a 1.5L direct-injection turbo engine (maximum output 170PS, maximum torque 25.8kgm) mated to an 8-speed AT. The driver can select from four driving modes: "SPORT," "COMFORT," "ECO," or "SMART," which optimizes the driving force in response to accelerator pedal operation. The GLT-A has a double sunroof and sensor-type power sliding doors (right side for GLT-A, both sides for GLT-B), a multimedia system with a 10.4-inch display (Apple CarPlay compatible), and the HYUNDAI SmartSense advanced safety technology system, which is equivalent to autonomous driving level 2. Production of the Custin commenced in September at Sanyang Motor Co., Ltd.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</si>
</sst>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5" x14ac:knownFonts="1">
    <font>
      <sz val="11"/>
      <color theme="1"/>
      <name val="ＭＳ Ｐゴシック"/>
      <family val="3"/>
      <charset val="128"/>
      <scheme val="minor"/>
    </font>
    <font>
      <sz val="6"/>
      <name val="ＭＳ Ｐゴシック"/>
      <family val="3"/>
      <charset val="128"/>
    </font>
    <font>
      <u/>
      <sz val="11"/>
      <color theme="10"/>
      <name val="ＭＳ Ｐゴシック"/>
      <family val="3"/>
      <charset val="128"/>
    </font>
    <font>
      <b/>
      <sz val="11"/>
      <color theme="1"/>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8" tint="0.59999389629810485"/>
        <bgColor indexed="64"/>
      </patternFill>
    </fill>
  </fills>
  <borders count="1">
    <border>
      <left/>
      <right/>
      <top/>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1">
    <xf numFmtId="0" fontId="0" fillId="0" borderId="0" xfId="0">
      <alignment vertical="center"/>
    </xf>
    <xf numFmtId="176" fontId="0" fillId="0" borderId="0" xfId="0" applyNumberFormat="1">
      <alignment vertical="center"/>
    </xf>
    <xf numFmtId="0" fontId="3" fillId="2" borderId="0" xfId="0" applyFont="1" applyFill="1" applyAlignment="1">
      <alignment horizontal="center" vertical="center"/>
    </xf>
    <xf numFmtId="176" fontId="3" fillId="2" borderId="0" xfId="0" applyNumberFormat="1" applyFont="1" applyFill="1" applyAlignment="1">
      <alignment horizontal="center" vertical="center"/>
    </xf>
    <xf numFmtId="0" fontId="3" fillId="2" borderId="0" xfId="0" applyFont="1" applyFill="1" applyAlignment="1">
      <alignment horizontal="left" vertical="center"/>
    </xf>
    <xf numFmtId="176" fontId="0" fillId="0" borderId="0" xfId="0" applyNumberFormat="1" applyAlignment="1">
      <alignment horizontal="left" vertical="center"/>
    </xf>
    <xf numFmtId="0" fontId="3" fillId="2" borderId="0" xfId="0" applyFont="1" applyFill="1">
      <alignment vertical="center"/>
    </xf>
    <xf numFmtId="14" fontId="4" fillId="0" borderId="0" xfId="0" applyNumberFormat="1" applyFont="1" applyAlignment="1">
      <alignment horizontal="left" vertical="center"/>
    </xf>
    <xf numFmtId="0" fontId="4" fillId="0" borderId="0" xfId="0" applyFont="1">
      <alignment vertical="center"/>
    </xf>
    <xf numFmtId="0" fontId="2" fillId="0" borderId="0" xfId="1" applyAlignment="1" applyProtection="1">
      <alignment vertical="center"/>
    </xf>
    <xf numFmtId="176" fontId="4" fillId="0" borderId="0" xfId="0" applyNumberFormat="1" applyFont="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arklines.com/en/global/9814" TargetMode="External"/><Relationship Id="rId1" Type="http://schemas.openxmlformats.org/officeDocument/2006/relationships/hyperlink" Target="https://www.marklines.com/en/global/36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99"/>
  <sheetViews>
    <sheetView tabSelected="1" zoomScaleNormal="100" workbookViewId="0"/>
  </sheetViews>
  <sheetFormatPr defaultRowHeight="13.5" x14ac:dyDescent="0.15"/>
  <cols>
    <col min="1" max="1" width="12.875" customWidth="1"/>
    <col min="2" max="2" width="18.75" bestFit="1" customWidth="1"/>
    <col min="3" max="3" width="14.875" bestFit="1" customWidth="1"/>
    <col min="4" max="4" width="39.375" customWidth="1"/>
    <col min="6" max="6" width="22.25" bestFit="1" customWidth="1"/>
    <col min="7" max="7" width="14.25" bestFit="1" customWidth="1"/>
    <col min="8" max="8" width="14.875" bestFit="1" customWidth="1"/>
    <col min="9" max="9" width="13.75" style="5" bestFit="1" customWidth="1"/>
    <col min="10" max="10" width="62.875" customWidth="1"/>
  </cols>
  <sheetData>
    <row r="1" spans="1:10" x14ac:dyDescent="0.15">
      <c r="D1" t="s">
        <v>8</v>
      </c>
      <c r="I1" s="1"/>
    </row>
    <row r="2" spans="1:10" x14ac:dyDescent="0.15">
      <c r="A2" s="6" t="s">
        <v>5</v>
      </c>
      <c r="B2" s="2" t="s">
        <v>4</v>
      </c>
      <c r="C2" s="2" t="s">
        <v>3</v>
      </c>
      <c r="D2" s="2" t="s">
        <v>9</v>
      </c>
      <c r="E2" s="2" t="s">
        <v>2</v>
      </c>
      <c r="F2" s="2" t="s">
        <v>1</v>
      </c>
      <c r="G2" s="2" t="s">
        <v>0</v>
      </c>
      <c r="H2" s="2" t="s">
        <v>10</v>
      </c>
      <c r="I2" s="3" t="s">
        <v>6</v>
      </c>
      <c r="J2" s="4" t="s">
        <v>7</v>
      </c>
    </row>
    <row r="3" spans="1:10" x14ac:dyDescent="0.15">
      <c r="A3" s="7">
        <v>44926</v>
      </c>
      <c r="B3" s="8" t="s">
        <v>14</v>
      </c>
      <c r="C3" s="8" t="s">
        <v>811</v>
      </c>
      <c r="D3" s="9" t="str">
        <f>HYPERLINK("https://www.marklines.com/en/global/8736","SAIC General Motors Co., Ltd. Wuhan Branch")</f>
        <v>SAIC General Motors Co., Ltd. Wuhan Branch</v>
      </c>
      <c r="E3" s="8" t="s">
        <v>1613</v>
      </c>
      <c r="F3" s="8" t="s">
        <v>25</v>
      </c>
      <c r="G3" s="8" t="s">
        <v>71</v>
      </c>
      <c r="H3" s="8" t="s">
        <v>90</v>
      </c>
      <c r="I3" s="10">
        <v>44923</v>
      </c>
      <c r="J3" s="8" t="s">
        <v>1614</v>
      </c>
    </row>
    <row r="4" spans="1:10" x14ac:dyDescent="0.15">
      <c r="A4" s="7">
        <v>44926</v>
      </c>
      <c r="B4" s="8" t="s">
        <v>327</v>
      </c>
      <c r="C4" s="8" t="s">
        <v>327</v>
      </c>
      <c r="D4" s="9" t="str">
        <f>HYPERLINK("https://www.marklines.com/en/global/10321","Tesla Gigafactory Texas")</f>
        <v>Tesla Gigafactory Texas</v>
      </c>
      <c r="E4" s="8" t="s">
        <v>331</v>
      </c>
      <c r="F4" s="8" t="s">
        <v>19</v>
      </c>
      <c r="G4" s="8" t="s">
        <v>12</v>
      </c>
      <c r="H4" s="8" t="s">
        <v>332</v>
      </c>
      <c r="I4" s="10">
        <v>44919</v>
      </c>
      <c r="J4" s="8" t="s">
        <v>1615</v>
      </c>
    </row>
    <row r="5" spans="1:10" x14ac:dyDescent="0.15">
      <c r="A5" s="7">
        <v>44926</v>
      </c>
      <c r="B5" s="8" t="s">
        <v>11</v>
      </c>
      <c r="C5" s="8" t="s">
        <v>336</v>
      </c>
      <c r="D5" s="9" t="str">
        <f>HYPERLINK("https://www.marklines.com/en/global/2881","Volkswagen Truck &amp; Bus (VWTB) / Volkswagen Caminhões e Ônibus (VWCO), Resende Plant (formerly MAN Latin America Indústira e Comércio de Veículos, Ltda.)")</f>
        <v>Volkswagen Truck &amp; Bus (VWTB) / Volkswagen Caminhões e Ônibus (VWCO), Resende Plant (formerly MAN Latin America Indústira e Comércio de Veículos, Ltda.)</v>
      </c>
      <c r="E5" s="8" t="s">
        <v>334</v>
      </c>
      <c r="F5" s="8" t="s">
        <v>24</v>
      </c>
      <c r="G5" s="8" t="s">
        <v>68</v>
      </c>
      <c r="H5" s="8"/>
      <c r="I5" s="10">
        <v>44918</v>
      </c>
      <c r="J5" s="8" t="s">
        <v>1616</v>
      </c>
    </row>
    <row r="6" spans="1:10" x14ac:dyDescent="0.15">
      <c r="A6" s="7">
        <v>44926</v>
      </c>
      <c r="B6" s="8" t="s">
        <v>97</v>
      </c>
      <c r="C6" s="8" t="s">
        <v>97</v>
      </c>
      <c r="D6" s="9" t="str">
        <f>HYPERLINK("https://www.marklines.com/en/global/893","Nissan Mexico, Aguascalientes Plant 1")</f>
        <v>Nissan Mexico, Aguascalientes Plant 1</v>
      </c>
      <c r="E6" s="8" t="s">
        <v>1272</v>
      </c>
      <c r="F6" s="8" t="s">
        <v>19</v>
      </c>
      <c r="G6" s="8" t="s">
        <v>47</v>
      </c>
      <c r="H6" s="8"/>
      <c r="I6" s="10">
        <v>44915</v>
      </c>
      <c r="J6" s="8" t="s">
        <v>1617</v>
      </c>
    </row>
    <row r="7" spans="1:10" x14ac:dyDescent="0.15">
      <c r="A7" s="7">
        <v>44925</v>
      </c>
      <c r="B7" s="8" t="s">
        <v>14</v>
      </c>
      <c r="C7" s="8" t="s">
        <v>14</v>
      </c>
      <c r="D7" s="9" t="str">
        <f>HYPERLINK("https://www.marklines.com/en/global/10564","Ultium Cells LLC- Lansing Plant")</f>
        <v>Ultium Cells LLC- Lansing Plant</v>
      </c>
      <c r="E7" s="8" t="s">
        <v>858</v>
      </c>
      <c r="F7" s="8" t="s">
        <v>19</v>
      </c>
      <c r="G7" s="8" t="s">
        <v>12</v>
      </c>
      <c r="H7" s="8" t="s">
        <v>13</v>
      </c>
      <c r="I7" s="10">
        <v>44923</v>
      </c>
      <c r="J7" s="8" t="s">
        <v>1618</v>
      </c>
    </row>
    <row r="8" spans="1:10" x14ac:dyDescent="0.15">
      <c r="A8" s="7">
        <v>44925</v>
      </c>
      <c r="B8" s="8" t="s">
        <v>14</v>
      </c>
      <c r="C8" s="8" t="s">
        <v>14</v>
      </c>
      <c r="D8" s="9" t="str">
        <f>HYPERLINK("https://www.marklines.com/en/global/10475","Ultium Cells LLC- Spring Hill, Tennessee ")</f>
        <v xml:space="preserve">Ultium Cells LLC- Spring Hill, Tennessee </v>
      </c>
      <c r="E8" s="8" t="s">
        <v>859</v>
      </c>
      <c r="F8" s="8" t="s">
        <v>19</v>
      </c>
      <c r="G8" s="8" t="s">
        <v>12</v>
      </c>
      <c r="H8" s="8" t="s">
        <v>107</v>
      </c>
      <c r="I8" s="10">
        <v>44923</v>
      </c>
      <c r="J8" s="8" t="s">
        <v>1618</v>
      </c>
    </row>
    <row r="9" spans="1:10" x14ac:dyDescent="0.15">
      <c r="A9" s="7">
        <v>44925</v>
      </c>
      <c r="B9" s="8" t="s">
        <v>14</v>
      </c>
      <c r="C9" s="8" t="s">
        <v>14</v>
      </c>
      <c r="D9" s="9" t="str">
        <f>HYPERLINK("https://www.marklines.com/en/global/9976","Ultium Cells LLC, Warren Plant ")</f>
        <v xml:space="preserve">Ultium Cells LLC, Warren Plant </v>
      </c>
      <c r="E9" s="8" t="s">
        <v>733</v>
      </c>
      <c r="F9" s="8" t="s">
        <v>19</v>
      </c>
      <c r="G9" s="8" t="s">
        <v>12</v>
      </c>
      <c r="H9" s="8" t="s">
        <v>48</v>
      </c>
      <c r="I9" s="10">
        <v>44923</v>
      </c>
      <c r="J9" s="8" t="s">
        <v>1618</v>
      </c>
    </row>
    <row r="10" spans="1:10" x14ac:dyDescent="0.15">
      <c r="A10" s="7">
        <v>44925</v>
      </c>
      <c r="B10" s="8" t="s">
        <v>327</v>
      </c>
      <c r="C10" s="8" t="s">
        <v>327</v>
      </c>
      <c r="D10" s="9" t="str">
        <f>HYPERLINK("https://www.marklines.com/en/global/9812","Tesla (Shanghai) Co., Ltd.")</f>
        <v>Tesla (Shanghai) Co., Ltd.</v>
      </c>
      <c r="E10" s="8" t="s">
        <v>795</v>
      </c>
      <c r="F10" s="8" t="s">
        <v>25</v>
      </c>
      <c r="G10" s="8" t="s">
        <v>71</v>
      </c>
      <c r="H10" s="8" t="s">
        <v>72</v>
      </c>
      <c r="I10" s="10">
        <v>44922</v>
      </c>
      <c r="J10" s="8" t="s">
        <v>1619</v>
      </c>
    </row>
    <row r="11" spans="1:10" x14ac:dyDescent="0.15">
      <c r="A11" s="7">
        <v>44924</v>
      </c>
      <c r="B11" s="8" t="s">
        <v>14</v>
      </c>
      <c r="C11" s="8" t="s">
        <v>23</v>
      </c>
      <c r="D11" s="9" t="str">
        <f>HYPERLINK("https://www.marklines.com/en/global/873","General Motors Mexico, San Luis Potosi Plant")</f>
        <v>General Motors Mexico, San Luis Potosi Plant</v>
      </c>
      <c r="E11" s="8" t="s">
        <v>1620</v>
      </c>
      <c r="F11" s="8" t="s">
        <v>19</v>
      </c>
      <c r="G11" s="8" t="s">
        <v>47</v>
      </c>
      <c r="H11" s="8"/>
      <c r="I11" s="10">
        <v>44921</v>
      </c>
      <c r="J11" s="8" t="s">
        <v>1621</v>
      </c>
    </row>
    <row r="12" spans="1:10" x14ac:dyDescent="0.15">
      <c r="A12" s="7">
        <v>44924</v>
      </c>
      <c r="B12" s="8" t="s">
        <v>14</v>
      </c>
      <c r="C12" s="8" t="s">
        <v>23</v>
      </c>
      <c r="D12" s="9" t="str">
        <f>HYPERLINK("https://www.marklines.com/en/global/867","General Motors Mexico, Ramos Arizpe Plant")</f>
        <v>General Motors Mexico, Ramos Arizpe Plant</v>
      </c>
      <c r="E12" s="8" t="s">
        <v>1622</v>
      </c>
      <c r="F12" s="8" t="s">
        <v>19</v>
      </c>
      <c r="G12" s="8" t="s">
        <v>47</v>
      </c>
      <c r="H12" s="8"/>
      <c r="I12" s="10">
        <v>44921</v>
      </c>
      <c r="J12" s="8" t="s">
        <v>1621</v>
      </c>
    </row>
    <row r="13" spans="1:10" x14ac:dyDescent="0.15">
      <c r="A13" s="7">
        <v>44924</v>
      </c>
      <c r="B13" s="8" t="s">
        <v>27</v>
      </c>
      <c r="C13" s="8" t="s">
        <v>27</v>
      </c>
      <c r="D13" s="9" t="str">
        <f>HYPERLINK("https://www.marklines.com/en/global/3045","BMW Manufacturing Co., Spartanburg Plant")</f>
        <v>BMW Manufacturing Co., Spartanburg Plant</v>
      </c>
      <c r="E13" s="8" t="s">
        <v>181</v>
      </c>
      <c r="F13" s="8" t="s">
        <v>19</v>
      </c>
      <c r="G13" s="8" t="s">
        <v>12</v>
      </c>
      <c r="H13" s="8" t="s">
        <v>144</v>
      </c>
      <c r="I13" s="10">
        <v>44896</v>
      </c>
      <c r="J13" s="8" t="s">
        <v>1623</v>
      </c>
    </row>
    <row r="14" spans="1:10" x14ac:dyDescent="0.15">
      <c r="A14" s="7">
        <v>44923</v>
      </c>
      <c r="B14" s="8" t="s">
        <v>416</v>
      </c>
      <c r="C14" s="8" t="s">
        <v>416</v>
      </c>
      <c r="D14" s="9" t="str">
        <f>HYPERLINK("https://www.marklines.com/en/global/735","OJSC (OAO) KAMAZ (Kamskiy Avtomobilny Zavod)")</f>
        <v>OJSC (OAO) KAMAZ (Kamskiy Avtomobilny Zavod)</v>
      </c>
      <c r="E14" s="8" t="s">
        <v>1624</v>
      </c>
      <c r="F14" s="8" t="s">
        <v>21</v>
      </c>
      <c r="G14" s="8" t="s">
        <v>16</v>
      </c>
      <c r="H14" s="8"/>
      <c r="I14" s="10">
        <v>44922</v>
      </c>
      <c r="J14" s="8" t="s">
        <v>1625</v>
      </c>
    </row>
    <row r="15" spans="1:10" x14ac:dyDescent="0.15">
      <c r="A15" s="7">
        <v>44923</v>
      </c>
      <c r="B15" s="8" t="s">
        <v>416</v>
      </c>
      <c r="C15" s="8" t="s">
        <v>416</v>
      </c>
      <c r="D15" s="9" t="str">
        <f>HYPERLINK("https://www.marklines.com/en/global/737","Kamaz, Naberezhnye Chelny Plant")</f>
        <v>Kamaz, Naberezhnye Chelny Plant</v>
      </c>
      <c r="E15" s="8" t="s">
        <v>1074</v>
      </c>
      <c r="F15" s="8" t="s">
        <v>21</v>
      </c>
      <c r="G15" s="8" t="s">
        <v>16</v>
      </c>
      <c r="H15" s="8"/>
      <c r="I15" s="10">
        <v>44922</v>
      </c>
      <c r="J15" s="8" t="s">
        <v>1625</v>
      </c>
    </row>
    <row r="16" spans="1:10" x14ac:dyDescent="0.15">
      <c r="A16" s="7">
        <v>44923</v>
      </c>
      <c r="B16" s="8" t="s">
        <v>65</v>
      </c>
      <c r="C16" s="8" t="s">
        <v>65</v>
      </c>
      <c r="D16" s="9" t="str">
        <f>HYPERLINK("https://www.marklines.com/en/global/3153","Rivian Automotive LLC, Normal Plant (former Mitsubishi Motors North America, Normal Plant)")</f>
        <v>Rivian Automotive LLC, Normal Plant (former Mitsubishi Motors North America, Normal Plant)</v>
      </c>
      <c r="E16" s="8" t="s">
        <v>66</v>
      </c>
      <c r="F16" s="8" t="s">
        <v>19</v>
      </c>
      <c r="G16" s="8" t="s">
        <v>12</v>
      </c>
      <c r="H16" s="8" t="s">
        <v>67</v>
      </c>
      <c r="I16" s="10">
        <v>44921</v>
      </c>
      <c r="J16" s="8" t="s">
        <v>1626</v>
      </c>
    </row>
    <row r="17" spans="1:10" x14ac:dyDescent="0.15">
      <c r="A17" s="7">
        <v>44923</v>
      </c>
      <c r="B17" s="8" t="s">
        <v>14</v>
      </c>
      <c r="C17" s="8" t="s">
        <v>23</v>
      </c>
      <c r="D17" s="9" t="str">
        <f>HYPERLINK("https://www.marklines.com/en/global/9012","UzAuto Motors, Asaka Plant (formerly UzDaewooAuto, GM Uzbekistan)")</f>
        <v>UzAuto Motors, Asaka Plant (formerly UzDaewooAuto, GM Uzbekistan)</v>
      </c>
      <c r="E17" s="8" t="s">
        <v>633</v>
      </c>
      <c r="F17" s="8" t="s">
        <v>21</v>
      </c>
      <c r="G17" s="8" t="s">
        <v>634</v>
      </c>
      <c r="H17" s="8"/>
      <c r="I17" s="10">
        <v>44921</v>
      </c>
      <c r="J17" s="8" t="s">
        <v>1627</v>
      </c>
    </row>
    <row r="18" spans="1:10" x14ac:dyDescent="0.15">
      <c r="A18" s="7">
        <v>44923</v>
      </c>
      <c r="B18" s="8" t="s">
        <v>14</v>
      </c>
      <c r="C18" s="8" t="s">
        <v>23</v>
      </c>
      <c r="D18" s="9" t="str">
        <f>HYPERLINK("https://www.marklines.com/en/global/9015","UzAuto Motors Powertrain, Tashkent Plant (formerly General Motors Powertrain-Uzbekistan )")</f>
        <v>UzAuto Motors Powertrain, Tashkent Plant (formerly General Motors Powertrain-Uzbekistan )</v>
      </c>
      <c r="E18" s="8" t="s">
        <v>1628</v>
      </c>
      <c r="F18" s="8" t="s">
        <v>21</v>
      </c>
      <c r="G18" s="8" t="s">
        <v>634</v>
      </c>
      <c r="H18" s="8"/>
      <c r="I18" s="10">
        <v>44921</v>
      </c>
      <c r="J18" s="8" t="s">
        <v>1627</v>
      </c>
    </row>
    <row r="19" spans="1:10" x14ac:dyDescent="0.15">
      <c r="A19" s="7">
        <v>44923</v>
      </c>
      <c r="B19" s="8" t="s">
        <v>327</v>
      </c>
      <c r="C19" s="8" t="s">
        <v>327</v>
      </c>
      <c r="D19" s="9" t="str">
        <f>HYPERLINK("https://www.marklines.com/en/global/3283","Tesla, Fremont Plant")</f>
        <v>Tesla, Fremont Plant</v>
      </c>
      <c r="E19" s="8" t="s">
        <v>607</v>
      </c>
      <c r="F19" s="8" t="s">
        <v>19</v>
      </c>
      <c r="G19" s="8" t="s">
        <v>12</v>
      </c>
      <c r="H19" s="8" t="s">
        <v>608</v>
      </c>
      <c r="I19" s="10">
        <v>44920</v>
      </c>
      <c r="J19" s="8" t="s">
        <v>1629</v>
      </c>
    </row>
    <row r="20" spans="1:10" x14ac:dyDescent="0.15">
      <c r="A20" s="7">
        <v>44923</v>
      </c>
      <c r="B20" s="8" t="s">
        <v>327</v>
      </c>
      <c r="C20" s="8" t="s">
        <v>327</v>
      </c>
      <c r="D20" s="9" t="str">
        <f>HYPERLINK("https://www.marklines.com/en/global/10321","Tesla Gigafactory Texas")</f>
        <v>Tesla Gigafactory Texas</v>
      </c>
      <c r="E20" s="8" t="s">
        <v>331</v>
      </c>
      <c r="F20" s="8" t="s">
        <v>19</v>
      </c>
      <c r="G20" s="8" t="s">
        <v>12</v>
      </c>
      <c r="H20" s="8" t="s">
        <v>332</v>
      </c>
      <c r="I20" s="10">
        <v>44920</v>
      </c>
      <c r="J20" s="8" t="s">
        <v>1629</v>
      </c>
    </row>
    <row r="21" spans="1:10" x14ac:dyDescent="0.15">
      <c r="A21" s="7">
        <v>44923</v>
      </c>
      <c r="B21" s="8" t="s">
        <v>100</v>
      </c>
      <c r="C21" s="8" t="s">
        <v>1606</v>
      </c>
      <c r="D21" s="9" t="str">
        <f>HYPERLINK("https://www.marklines.com/en/global/1159","MG Motor India Pvt. Ltd., Panchmahal (Halol) Plant (former General Motors India)")</f>
        <v>MG Motor India Pvt. Ltd., Panchmahal (Halol) Plant (former General Motors India)</v>
      </c>
      <c r="E21" s="8" t="s">
        <v>1630</v>
      </c>
      <c r="F21" s="8" t="s">
        <v>69</v>
      </c>
      <c r="G21" s="8" t="s">
        <v>70</v>
      </c>
      <c r="H21" s="8" t="s">
        <v>498</v>
      </c>
      <c r="I21" s="10">
        <v>44919</v>
      </c>
      <c r="J21" s="8" t="s">
        <v>1631</v>
      </c>
    </row>
    <row r="22" spans="1:10" x14ac:dyDescent="0.15">
      <c r="A22" s="7">
        <v>44923</v>
      </c>
      <c r="B22" s="8" t="s">
        <v>139</v>
      </c>
      <c r="C22" s="8" t="s">
        <v>139</v>
      </c>
      <c r="D22" s="9" t="str">
        <f>HYPERLINK("https://www.marklines.com/en/global/3865","Anhui Jianghuai Automobile Group Corp., Ltd. (JAC)")</f>
        <v>Anhui Jianghuai Automobile Group Corp., Ltd. (JAC)</v>
      </c>
      <c r="E22" s="8" t="s">
        <v>140</v>
      </c>
      <c r="F22" s="8" t="s">
        <v>25</v>
      </c>
      <c r="G22" s="8" t="s">
        <v>71</v>
      </c>
      <c r="H22" s="8" t="s">
        <v>120</v>
      </c>
      <c r="I22" s="10">
        <v>44918</v>
      </c>
      <c r="J22" s="8" t="s">
        <v>1632</v>
      </c>
    </row>
    <row r="23" spans="1:10" x14ac:dyDescent="0.15">
      <c r="A23" s="7">
        <v>44923</v>
      </c>
      <c r="B23" s="8" t="s">
        <v>139</v>
      </c>
      <c r="C23" s="8" t="s">
        <v>139</v>
      </c>
      <c r="D23" s="9" t="str">
        <f>HYPERLINK("https://www.marklines.com/en/global/10444","Anhui Jianghuai Automobile Group Corp., Ltd. New Energy Passenger Vehicle Branch Second Plant")</f>
        <v>Anhui Jianghuai Automobile Group Corp., Ltd. New Energy Passenger Vehicle Branch Second Plant</v>
      </c>
      <c r="E23" s="8" t="s">
        <v>953</v>
      </c>
      <c r="F23" s="8" t="s">
        <v>25</v>
      </c>
      <c r="G23" s="8" t="s">
        <v>71</v>
      </c>
      <c r="H23" s="8" t="s">
        <v>120</v>
      </c>
      <c r="I23" s="10">
        <v>44918</v>
      </c>
      <c r="J23" s="8" t="s">
        <v>1632</v>
      </c>
    </row>
    <row r="24" spans="1:10" x14ac:dyDescent="0.15">
      <c r="A24" s="7">
        <v>44923</v>
      </c>
      <c r="B24" s="8" t="s">
        <v>753</v>
      </c>
      <c r="C24" s="8" t="s">
        <v>753</v>
      </c>
      <c r="D24" s="9" t="str">
        <f>HYPERLINK("https://www.marklines.com/en/global/10444","Anhui Jianghuai Automobile Group Corp., Ltd. New Energy Passenger Vehicle Branch Second Plant")</f>
        <v>Anhui Jianghuai Automobile Group Corp., Ltd. New Energy Passenger Vehicle Branch Second Plant</v>
      </c>
      <c r="E24" s="8" t="s">
        <v>953</v>
      </c>
      <c r="F24" s="8" t="s">
        <v>25</v>
      </c>
      <c r="G24" s="8" t="s">
        <v>71</v>
      </c>
      <c r="H24" s="8" t="s">
        <v>120</v>
      </c>
      <c r="I24" s="10">
        <v>44918</v>
      </c>
      <c r="J24" s="8" t="s">
        <v>1632</v>
      </c>
    </row>
    <row r="25" spans="1:10" x14ac:dyDescent="0.15">
      <c r="A25" s="7">
        <v>44923</v>
      </c>
      <c r="B25" s="8" t="s">
        <v>89</v>
      </c>
      <c r="C25" s="8" t="s">
        <v>89</v>
      </c>
      <c r="D25" s="9" t="str">
        <f>HYPERLINK("https://www.marklines.com/en/global/10420","Great Wall Automobile Co., Ltd. Jingmen Branch")</f>
        <v>Great Wall Automobile Co., Ltd. Jingmen Branch</v>
      </c>
      <c r="E25" s="8" t="s">
        <v>1227</v>
      </c>
      <c r="F25" s="8" t="s">
        <v>25</v>
      </c>
      <c r="G25" s="8" t="s">
        <v>71</v>
      </c>
      <c r="H25" s="8" t="s">
        <v>90</v>
      </c>
      <c r="I25" s="10">
        <v>44917</v>
      </c>
      <c r="J25" s="8" t="s">
        <v>1633</v>
      </c>
    </row>
    <row r="26" spans="1:10" x14ac:dyDescent="0.15">
      <c r="A26" s="7">
        <v>44923</v>
      </c>
      <c r="B26" s="8" t="s">
        <v>89</v>
      </c>
      <c r="C26" s="8" t="s">
        <v>993</v>
      </c>
      <c r="D26" s="9" t="str">
        <f>HYPERLINK("https://www.marklines.com/en/global/10420","Great Wall Automobile Co., Ltd. Jingmen Branch")</f>
        <v>Great Wall Automobile Co., Ltd. Jingmen Branch</v>
      </c>
      <c r="E26" s="8" t="s">
        <v>1227</v>
      </c>
      <c r="F26" s="8" t="s">
        <v>25</v>
      </c>
      <c r="G26" s="8" t="s">
        <v>71</v>
      </c>
      <c r="H26" s="8" t="s">
        <v>90</v>
      </c>
      <c r="I26" s="10">
        <v>44917</v>
      </c>
      <c r="J26" s="8" t="s">
        <v>1633</v>
      </c>
    </row>
    <row r="27" spans="1:10" x14ac:dyDescent="0.15">
      <c r="A27" s="7">
        <v>44923</v>
      </c>
      <c r="B27" s="8" t="s">
        <v>79</v>
      </c>
      <c r="C27" s="8" t="s">
        <v>79</v>
      </c>
      <c r="D27" s="9" t="str">
        <f>HYPERLINK("https://www.marklines.com/en/global/3539","Hebei Changan Automobile Co., Ltd. ")</f>
        <v xml:space="preserve">Hebei Changan Automobile Co., Ltd. </v>
      </c>
      <c r="E27" s="8" t="s">
        <v>1000</v>
      </c>
      <c r="F27" s="8" t="s">
        <v>25</v>
      </c>
      <c r="G27" s="8" t="s">
        <v>71</v>
      </c>
      <c r="H27" s="8" t="s">
        <v>616</v>
      </c>
      <c r="I27" s="10">
        <v>44917</v>
      </c>
      <c r="J27" s="8" t="s">
        <v>1634</v>
      </c>
    </row>
    <row r="28" spans="1:10" x14ac:dyDescent="0.15">
      <c r="A28" s="7">
        <v>44923</v>
      </c>
      <c r="B28" s="8" t="s">
        <v>73</v>
      </c>
      <c r="C28" s="8" t="s">
        <v>74</v>
      </c>
      <c r="D28" s="9" t="str">
        <f>HYPERLINK("https://www.marklines.com/en/global/2769","Mercedes-Benz Argentina S.A., Juan Manuel Fangio Plant")</f>
        <v>Mercedes-Benz Argentina S.A., Juan Manuel Fangio Plant</v>
      </c>
      <c r="E28" s="8" t="s">
        <v>1635</v>
      </c>
      <c r="F28" s="8" t="s">
        <v>24</v>
      </c>
      <c r="G28" s="8" t="s">
        <v>18</v>
      </c>
      <c r="H28" s="8"/>
      <c r="I28" s="10">
        <v>44917</v>
      </c>
      <c r="J28" s="8" t="s">
        <v>1636</v>
      </c>
    </row>
    <row r="29" spans="1:10" x14ac:dyDescent="0.15">
      <c r="A29" s="7">
        <v>44923</v>
      </c>
      <c r="B29" s="8" t="s">
        <v>15</v>
      </c>
      <c r="C29" s="8" t="s">
        <v>15</v>
      </c>
      <c r="D29" s="9" t="str">
        <f>HYPERLINK("https://www.marklines.com/en/global/757","JSC Moscow Automobile Plant Moskvich, Moscow Plant (former CJSC Renault Russia)")</f>
        <v>JSC Moscow Automobile Plant Moskvich, Moscow Plant (former CJSC Renault Russia)</v>
      </c>
      <c r="E29" s="8" t="s">
        <v>456</v>
      </c>
      <c r="F29" s="8" t="s">
        <v>21</v>
      </c>
      <c r="G29" s="8" t="s">
        <v>16</v>
      </c>
      <c r="H29" s="8"/>
      <c r="I29" s="10">
        <v>44916</v>
      </c>
      <c r="J29" s="8" t="s">
        <v>1637</v>
      </c>
    </row>
    <row r="30" spans="1:10" x14ac:dyDescent="0.15">
      <c r="A30" s="7">
        <v>44923</v>
      </c>
      <c r="B30" s="8" t="s">
        <v>79</v>
      </c>
      <c r="C30" s="8" t="s">
        <v>79</v>
      </c>
      <c r="D30" s="9" t="str">
        <f>HYPERLINK("https://www.marklines.com/en/global/10637","AVATR Co., Ltd.")</f>
        <v>AVATR Co., Ltd.</v>
      </c>
      <c r="E30" s="8" t="s">
        <v>1638</v>
      </c>
      <c r="F30" s="8" t="s">
        <v>25</v>
      </c>
      <c r="G30" s="8" t="s">
        <v>71</v>
      </c>
      <c r="H30" s="8" t="s">
        <v>81</v>
      </c>
      <c r="I30" s="10">
        <v>44915</v>
      </c>
      <c r="J30" s="8" t="s">
        <v>1639</v>
      </c>
    </row>
    <row r="31" spans="1:10" x14ac:dyDescent="0.15">
      <c r="A31" s="7">
        <v>44923</v>
      </c>
      <c r="B31" s="8" t="s">
        <v>753</v>
      </c>
      <c r="C31" s="8" t="s">
        <v>753</v>
      </c>
      <c r="D31" s="9" t="str">
        <f>HYPERLINK("https://www.marklines.com/en/global/10637","AVATR Co., Ltd.")</f>
        <v>AVATR Co., Ltd.</v>
      </c>
      <c r="E31" s="8" t="s">
        <v>1638</v>
      </c>
      <c r="F31" s="8" t="s">
        <v>25</v>
      </c>
      <c r="G31" s="8" t="s">
        <v>71</v>
      </c>
      <c r="H31" s="8" t="s">
        <v>81</v>
      </c>
      <c r="I31" s="10">
        <v>44915</v>
      </c>
      <c r="J31" s="8" t="s">
        <v>1639</v>
      </c>
    </row>
    <row r="32" spans="1:10" x14ac:dyDescent="0.15">
      <c r="A32" s="7">
        <v>44923</v>
      </c>
      <c r="B32" s="8" t="s">
        <v>17</v>
      </c>
      <c r="C32" s="8" t="s">
        <v>17</v>
      </c>
      <c r="D32" s="9" t="str">
        <f>HYPERLINK("https://www.marklines.com/en/global/3981","Dongfeng Honda Automobile Co., Ltd. ")</f>
        <v xml:space="preserve">Dongfeng Honda Automobile Co., Ltd. </v>
      </c>
      <c r="E32" s="8" t="s">
        <v>408</v>
      </c>
      <c r="F32" s="8" t="s">
        <v>25</v>
      </c>
      <c r="G32" s="8" t="s">
        <v>71</v>
      </c>
      <c r="H32" s="8" t="s">
        <v>90</v>
      </c>
      <c r="I32" s="10">
        <v>44915</v>
      </c>
      <c r="J32" s="8" t="s">
        <v>1640</v>
      </c>
    </row>
    <row r="33" spans="1:10" x14ac:dyDescent="0.15">
      <c r="A33" s="7">
        <v>44923</v>
      </c>
      <c r="B33" s="8" t="s">
        <v>11</v>
      </c>
      <c r="C33" s="8" t="s">
        <v>108</v>
      </c>
      <c r="D33" s="9" t="str">
        <f>HYPERLINK("https://www.marklines.com/en/global/10485","Audi FAW New Energy Vehicle Co., Ltd.")</f>
        <v>Audi FAW New Energy Vehicle Co., Ltd.</v>
      </c>
      <c r="E33" s="8" t="s">
        <v>1641</v>
      </c>
      <c r="F33" s="8" t="s">
        <v>25</v>
      </c>
      <c r="G33" s="8" t="s">
        <v>71</v>
      </c>
      <c r="H33" s="8" t="s">
        <v>583</v>
      </c>
      <c r="I33" s="10">
        <v>44914</v>
      </c>
      <c r="J33" s="8" t="s">
        <v>1642</v>
      </c>
    </row>
    <row r="34" spans="1:10" x14ac:dyDescent="0.15">
      <c r="A34" s="7">
        <v>44922</v>
      </c>
      <c r="B34" s="8" t="s">
        <v>94</v>
      </c>
      <c r="C34" s="8" t="s">
        <v>94</v>
      </c>
      <c r="D34" s="9" t="str">
        <f>HYPERLINK("https://www.marklines.com/en/global/1061","Pak Suzuki Motor Co., Ltd. (PSMCL), Karachi Plant")</f>
        <v>Pak Suzuki Motor Co., Ltd. (PSMCL), Karachi Plant</v>
      </c>
      <c r="E34" s="8" t="s">
        <v>378</v>
      </c>
      <c r="F34" s="8" t="s">
        <v>69</v>
      </c>
      <c r="G34" s="8" t="s">
        <v>96</v>
      </c>
      <c r="H34" s="8"/>
      <c r="I34" s="10">
        <v>44921</v>
      </c>
      <c r="J34" s="8" t="s">
        <v>1643</v>
      </c>
    </row>
    <row r="35" spans="1:10" x14ac:dyDescent="0.15">
      <c r="A35" s="7">
        <v>44922</v>
      </c>
      <c r="B35" s="8" t="s">
        <v>14</v>
      </c>
      <c r="C35" s="8" t="s">
        <v>23</v>
      </c>
      <c r="D35" s="9" t="str">
        <f>HYPERLINK("https://www.marklines.com/en/global/9012","UzAuto Motors, Asaka Plant (formerly UzDaewooAuto, GM Uzbekistan)")</f>
        <v>UzAuto Motors, Asaka Plant (formerly UzDaewooAuto, GM Uzbekistan)</v>
      </c>
      <c r="E35" s="8" t="s">
        <v>633</v>
      </c>
      <c r="F35" s="8" t="s">
        <v>21</v>
      </c>
      <c r="G35" s="8" t="s">
        <v>634</v>
      </c>
      <c r="H35" s="8"/>
      <c r="I35" s="10">
        <v>44921</v>
      </c>
      <c r="J35" s="8" t="s">
        <v>1644</v>
      </c>
    </row>
    <row r="36" spans="1:10" x14ac:dyDescent="0.15">
      <c r="A36" s="7">
        <v>44922</v>
      </c>
      <c r="B36" s="8" t="s">
        <v>15</v>
      </c>
      <c r="C36" s="8" t="s">
        <v>15</v>
      </c>
      <c r="D36" s="9" t="str">
        <f>HYPERLINK("https://www.marklines.com/en/global/2749","Valmet Automotive Inc., Uusikaupunki Plant")</f>
        <v>Valmet Automotive Inc., Uusikaupunki Plant</v>
      </c>
      <c r="E36" s="8" t="s">
        <v>663</v>
      </c>
      <c r="F36" s="8" t="s">
        <v>20</v>
      </c>
      <c r="G36" s="8" t="s">
        <v>664</v>
      </c>
      <c r="H36" s="8"/>
      <c r="I36" s="10">
        <v>44921</v>
      </c>
      <c r="J36" s="8" t="s">
        <v>1645</v>
      </c>
    </row>
    <row r="37" spans="1:10" x14ac:dyDescent="0.15">
      <c r="A37" s="7">
        <v>44922</v>
      </c>
      <c r="B37" s="8" t="s">
        <v>344</v>
      </c>
      <c r="C37" s="8" t="s">
        <v>345</v>
      </c>
      <c r="D37" s="9" t="str">
        <f>HYPERLINK("https://www.marklines.com/en/global/729","LLC ""LADA Izhevsk"", LADA Izhevsk Automotive Plant (formerly OJSC Izh-Avto, Izhevsk Automobilny Zavod) ")</f>
        <v xml:space="preserve">LLC "LADA Izhevsk", LADA Izhevsk Automotive Plant (formerly OJSC Izh-Avto, Izhevsk Automobilny Zavod) </v>
      </c>
      <c r="E37" s="8" t="s">
        <v>348</v>
      </c>
      <c r="F37" s="8" t="s">
        <v>21</v>
      </c>
      <c r="G37" s="8" t="s">
        <v>16</v>
      </c>
      <c r="H37" s="8"/>
      <c r="I37" s="10">
        <v>44921</v>
      </c>
      <c r="J37" s="8" t="s">
        <v>1646</v>
      </c>
    </row>
    <row r="38" spans="1:10" x14ac:dyDescent="0.15">
      <c r="A38" s="7">
        <v>44922</v>
      </c>
      <c r="B38" s="8" t="s">
        <v>15</v>
      </c>
      <c r="C38" s="8" t="s">
        <v>1039</v>
      </c>
      <c r="D38" s="9" t="str">
        <f>HYPERLINK("https://www.marklines.com/en/global/1436","Otokar Otobus Karoseri Sanayi A.S., Sakarya Plant")</f>
        <v>Otokar Otobus Karoseri Sanayi A.S., Sakarya Plant</v>
      </c>
      <c r="E38" s="8" t="s">
        <v>1040</v>
      </c>
      <c r="F38" s="8" t="s">
        <v>295</v>
      </c>
      <c r="G38" s="8" t="s">
        <v>296</v>
      </c>
      <c r="H38" s="8"/>
      <c r="I38" s="10">
        <v>44921</v>
      </c>
      <c r="J38" s="8" t="s">
        <v>1647</v>
      </c>
    </row>
    <row r="39" spans="1:10" x14ac:dyDescent="0.15">
      <c r="A39" s="7">
        <v>44922</v>
      </c>
      <c r="B39" s="8" t="s">
        <v>57</v>
      </c>
      <c r="C39" s="8" t="s">
        <v>57</v>
      </c>
      <c r="D39" s="9" t="str">
        <f>HYPERLINK("https://www.marklines.com/en/global/9975","PT. Hyundai Motor Manufacturing Indonesia (HMMI), Cikarang Plant")</f>
        <v>PT. Hyundai Motor Manufacturing Indonesia (HMMI), Cikarang Plant</v>
      </c>
      <c r="E39" s="8" t="s">
        <v>714</v>
      </c>
      <c r="F39" s="8" t="s">
        <v>22</v>
      </c>
      <c r="G39" s="8" t="s">
        <v>53</v>
      </c>
      <c r="H39" s="8"/>
      <c r="I39" s="10">
        <v>44918</v>
      </c>
      <c r="J39" s="8" t="s">
        <v>1648</v>
      </c>
    </row>
    <row r="40" spans="1:10" x14ac:dyDescent="0.15">
      <c r="A40" s="7">
        <v>44922</v>
      </c>
      <c r="B40" s="8" t="s">
        <v>416</v>
      </c>
      <c r="C40" s="8" t="s">
        <v>416</v>
      </c>
      <c r="D40" s="9" t="str">
        <f>HYPERLINK("https://www.marklines.com/en/global/737","Kamaz, Naberezhnye Chelny Plant")</f>
        <v>Kamaz, Naberezhnye Chelny Plant</v>
      </c>
      <c r="E40" s="8" t="s">
        <v>1074</v>
      </c>
      <c r="F40" s="8" t="s">
        <v>21</v>
      </c>
      <c r="G40" s="8" t="s">
        <v>16</v>
      </c>
      <c r="H40" s="8"/>
      <c r="I40" s="10">
        <v>44918</v>
      </c>
      <c r="J40" s="8" t="s">
        <v>1649</v>
      </c>
    </row>
    <row r="41" spans="1:10" x14ac:dyDescent="0.15">
      <c r="A41" s="7">
        <v>44922</v>
      </c>
      <c r="B41" s="8" t="s">
        <v>94</v>
      </c>
      <c r="C41" s="8" t="s">
        <v>94</v>
      </c>
      <c r="D41" s="9" t="str">
        <f>HYPERLINK("https://www.marklines.com/en/global/1793","Magyar Suzuki Zrt., Esztergom Plant")</f>
        <v>Magyar Suzuki Zrt., Esztergom Plant</v>
      </c>
      <c r="E41" s="8" t="s">
        <v>1650</v>
      </c>
      <c r="F41" s="8" t="s">
        <v>21</v>
      </c>
      <c r="G41" s="8" t="s">
        <v>495</v>
      </c>
      <c r="H41" s="8"/>
      <c r="I41" s="10">
        <v>44916</v>
      </c>
      <c r="J41" s="8" t="s">
        <v>1651</v>
      </c>
    </row>
    <row r="42" spans="1:10" x14ac:dyDescent="0.15">
      <c r="A42" s="7">
        <v>44922</v>
      </c>
      <c r="B42" s="8" t="s">
        <v>100</v>
      </c>
      <c r="C42" s="8" t="s">
        <v>1652</v>
      </c>
      <c r="D42" s="9" t="str">
        <f>HYPERLINK("https://www.marklines.com/en/global/3611","SAIC Motor Passenger Vehicle Co., Ltd. Lingang Plant")</f>
        <v>SAIC Motor Passenger Vehicle Co., Ltd. Lingang Plant</v>
      </c>
      <c r="E42" s="8" t="s">
        <v>1653</v>
      </c>
      <c r="F42" s="8" t="s">
        <v>25</v>
      </c>
      <c r="G42" s="8" t="s">
        <v>71</v>
      </c>
      <c r="H42" s="8" t="s">
        <v>72</v>
      </c>
      <c r="I42" s="10">
        <v>44915</v>
      </c>
      <c r="J42" s="8" t="s">
        <v>1654</v>
      </c>
    </row>
    <row r="43" spans="1:10" x14ac:dyDescent="0.15">
      <c r="A43" s="7">
        <v>44922</v>
      </c>
      <c r="B43" s="8" t="s">
        <v>535</v>
      </c>
      <c r="C43" s="8" t="s">
        <v>538</v>
      </c>
      <c r="D43" s="9" t="str">
        <f>HYPERLINK("https://www.marklines.com/en/global/3767","Jiangsu Yueda Kia Motors Co., Ltd. (First Plant) (formerly Kia Motors Co., Ltd. (First Plant))")</f>
        <v>Jiangsu Yueda Kia Motors Co., Ltd. (First Plant) (formerly Kia Motors Co., Ltd. (First Plant))</v>
      </c>
      <c r="E43" s="8" t="s">
        <v>539</v>
      </c>
      <c r="F43" s="8" t="s">
        <v>25</v>
      </c>
      <c r="G43" s="8" t="s">
        <v>71</v>
      </c>
      <c r="H43" s="8" t="s">
        <v>351</v>
      </c>
      <c r="I43" s="10">
        <v>44915</v>
      </c>
      <c r="J43" s="8" t="s">
        <v>1655</v>
      </c>
    </row>
    <row r="44" spans="1:10" x14ac:dyDescent="0.15">
      <c r="A44" s="7">
        <v>44922</v>
      </c>
      <c r="B44" s="8" t="s">
        <v>79</v>
      </c>
      <c r="C44" s="8" t="s">
        <v>79</v>
      </c>
      <c r="D44" s="9" t="str">
        <f>HYPERLINK("https://www.marklines.com/en/global/4163","Chongqing Changan Automobile Co., Ltd.")</f>
        <v>Chongqing Changan Automobile Co., Ltd.</v>
      </c>
      <c r="E44" s="8" t="s">
        <v>80</v>
      </c>
      <c r="F44" s="8" t="s">
        <v>25</v>
      </c>
      <c r="G44" s="8" t="s">
        <v>71</v>
      </c>
      <c r="H44" s="8" t="s">
        <v>81</v>
      </c>
      <c r="I44" s="10">
        <v>44915</v>
      </c>
      <c r="J44" s="8" t="s">
        <v>1656</v>
      </c>
    </row>
    <row r="45" spans="1:10" x14ac:dyDescent="0.15">
      <c r="A45" s="7">
        <v>44922</v>
      </c>
      <c r="B45" s="8" t="s">
        <v>79</v>
      </c>
      <c r="C45" s="8" t="s">
        <v>79</v>
      </c>
      <c r="D45" s="9" t="str">
        <f>HYPERLINK("https://www.marklines.com/en/global/10637","AVATR Co., Ltd.")</f>
        <v>AVATR Co., Ltd.</v>
      </c>
      <c r="E45" s="8" t="s">
        <v>1638</v>
      </c>
      <c r="F45" s="8" t="s">
        <v>25</v>
      </c>
      <c r="G45" s="8" t="s">
        <v>71</v>
      </c>
      <c r="H45" s="8" t="s">
        <v>81</v>
      </c>
      <c r="I45" s="10">
        <v>44915</v>
      </c>
      <c r="J45" s="8" t="s">
        <v>1656</v>
      </c>
    </row>
    <row r="46" spans="1:10" x14ac:dyDescent="0.15">
      <c r="A46" s="7">
        <v>44922</v>
      </c>
      <c r="B46" s="8" t="s">
        <v>30</v>
      </c>
      <c r="C46" s="8" t="s">
        <v>30</v>
      </c>
      <c r="D46" s="9" t="str">
        <f>HYPERLINK("https://www.marklines.com/en/global/10503","GAC Toyota Motor Co., Ltd. (GTMC) Nansha Plant Fifth Production Line")</f>
        <v>GAC Toyota Motor Co., Ltd. (GTMC) Nansha Plant Fifth Production Line</v>
      </c>
      <c r="E46" s="8" t="s">
        <v>370</v>
      </c>
      <c r="F46" s="8" t="s">
        <v>25</v>
      </c>
      <c r="G46" s="8" t="s">
        <v>71</v>
      </c>
      <c r="H46" s="8" t="s">
        <v>83</v>
      </c>
      <c r="I46" s="10">
        <v>44915</v>
      </c>
      <c r="J46" s="8" t="s">
        <v>1657</v>
      </c>
    </row>
    <row r="47" spans="1:10" x14ac:dyDescent="0.15">
      <c r="A47" s="7">
        <v>44922</v>
      </c>
      <c r="B47" s="8" t="s">
        <v>101</v>
      </c>
      <c r="C47" s="8" t="s">
        <v>101</v>
      </c>
      <c r="D47" s="9" t="str">
        <f>HYPERLINK("https://www.marklines.com/en/global/4003","Dongfeng Automobile Co., Ltd., Light Commercial Vehicle Branch")</f>
        <v>Dongfeng Automobile Co., Ltd., Light Commercial Vehicle Branch</v>
      </c>
      <c r="E47" s="8" t="s">
        <v>579</v>
      </c>
      <c r="F47" s="8" t="s">
        <v>25</v>
      </c>
      <c r="G47" s="8" t="s">
        <v>71</v>
      </c>
      <c r="H47" s="8" t="s">
        <v>90</v>
      </c>
      <c r="I47" s="10">
        <v>44914</v>
      </c>
      <c r="J47" s="8" t="s">
        <v>1658</v>
      </c>
    </row>
    <row r="48" spans="1:10" x14ac:dyDescent="0.15">
      <c r="A48" s="7">
        <v>44922</v>
      </c>
      <c r="B48" s="8" t="s">
        <v>30</v>
      </c>
      <c r="C48" s="8" t="s">
        <v>30</v>
      </c>
      <c r="D48" s="9" t="str">
        <f>HYPERLINK("https://www.marklines.com/en/global/3497","FAW Toyota Motor Co., Ltd. Teda Plant (formerly Tianjin FAW Toyota Motor Co., Ltd. Teda Plant)")</f>
        <v>FAW Toyota Motor Co., Ltd. Teda Plant (formerly Tianjin FAW Toyota Motor Co., Ltd. Teda Plant)</v>
      </c>
      <c r="E48" s="8" t="s">
        <v>673</v>
      </c>
      <c r="F48" s="8" t="s">
        <v>25</v>
      </c>
      <c r="G48" s="8" t="s">
        <v>71</v>
      </c>
      <c r="H48" s="8" t="s">
        <v>672</v>
      </c>
      <c r="I48" s="10">
        <v>44913</v>
      </c>
      <c r="J48" s="8" t="s">
        <v>1659</v>
      </c>
    </row>
    <row r="49" spans="1:10" x14ac:dyDescent="0.15">
      <c r="A49" s="7">
        <v>44922</v>
      </c>
      <c r="B49" s="8" t="s">
        <v>76</v>
      </c>
      <c r="C49" s="8" t="s">
        <v>954</v>
      </c>
      <c r="D49" s="9" t="str">
        <f>HYPERLINK("https://www.marklines.com/en/global/10480","Chongqing Livan Automobile Manufacturing Co., Ltd. Beibei Branch (formerly Chongqing Lifan Passenger Vehicle Co., Ltd. Beibei Branch)")</f>
        <v>Chongqing Livan Automobile Manufacturing Co., Ltd. Beibei Branch (formerly Chongqing Lifan Passenger Vehicle Co., Ltd. Beibei Branch)</v>
      </c>
      <c r="E49" s="8" t="s">
        <v>955</v>
      </c>
      <c r="F49" s="8" t="s">
        <v>25</v>
      </c>
      <c r="G49" s="8" t="s">
        <v>71</v>
      </c>
      <c r="H49" s="8" t="s">
        <v>81</v>
      </c>
      <c r="I49" s="10">
        <v>44912</v>
      </c>
      <c r="J49" s="8" t="s">
        <v>1660</v>
      </c>
    </row>
    <row r="50" spans="1:10" x14ac:dyDescent="0.15">
      <c r="A50" s="7">
        <v>44922</v>
      </c>
      <c r="B50" s="8" t="s">
        <v>439</v>
      </c>
      <c r="C50" s="8" t="s">
        <v>704</v>
      </c>
      <c r="D50" s="9" t="str">
        <f>HYPERLINK("https://www.marklines.com/en/global/10415","Foton Motor Changsha Super Truck Plant")</f>
        <v>Foton Motor Changsha Super Truck Plant</v>
      </c>
      <c r="E50" s="8" t="s">
        <v>1661</v>
      </c>
      <c r="F50" s="8" t="s">
        <v>25</v>
      </c>
      <c r="G50" s="8" t="s">
        <v>71</v>
      </c>
      <c r="H50" s="8" t="s">
        <v>482</v>
      </c>
      <c r="I50" s="10">
        <v>44910</v>
      </c>
      <c r="J50" s="8" t="s">
        <v>1662</v>
      </c>
    </row>
    <row r="51" spans="1:10" x14ac:dyDescent="0.15">
      <c r="A51" s="7">
        <v>44922</v>
      </c>
      <c r="B51" s="8" t="s">
        <v>439</v>
      </c>
      <c r="C51" s="8" t="s">
        <v>704</v>
      </c>
      <c r="D51" s="9" t="str">
        <f>HYPERLINK("https://www.marklines.com/en/global/3685","Beiqi Foton Motor Co., Ltd. Forland Truck Plant (formerly Beiqi Foton Motor Co., Ltd. Zhucheng Ollin Automobile Factory)")</f>
        <v>Beiqi Foton Motor Co., Ltd. Forland Truck Plant (formerly Beiqi Foton Motor Co., Ltd. Zhucheng Ollin Automobile Factory)</v>
      </c>
      <c r="E51" s="8" t="s">
        <v>1663</v>
      </c>
      <c r="F51" s="8" t="s">
        <v>25</v>
      </c>
      <c r="G51" s="8" t="s">
        <v>71</v>
      </c>
      <c r="H51" s="8" t="s">
        <v>104</v>
      </c>
      <c r="I51" s="10">
        <v>44910</v>
      </c>
      <c r="J51" s="8" t="s">
        <v>1662</v>
      </c>
    </row>
    <row r="52" spans="1:10" x14ac:dyDescent="0.15">
      <c r="A52" s="7">
        <v>44922</v>
      </c>
      <c r="B52" s="8" t="s">
        <v>439</v>
      </c>
      <c r="C52" s="8" t="s">
        <v>704</v>
      </c>
      <c r="D52" s="9" t="str">
        <f>HYPERLINK("https://www.marklines.com/en/global/3425","Beiqi Foton Motor Co., Ltd.")</f>
        <v>Beiqi Foton Motor Co., Ltd.</v>
      </c>
      <c r="E52" s="8" t="s">
        <v>705</v>
      </c>
      <c r="F52" s="8" t="s">
        <v>25</v>
      </c>
      <c r="G52" s="8" t="s">
        <v>71</v>
      </c>
      <c r="H52" s="8" t="s">
        <v>437</v>
      </c>
      <c r="I52" s="10">
        <v>44910</v>
      </c>
      <c r="J52" s="8" t="s">
        <v>1662</v>
      </c>
    </row>
    <row r="53" spans="1:10" x14ac:dyDescent="0.15">
      <c r="A53" s="7">
        <v>44921</v>
      </c>
      <c r="B53" s="8" t="s">
        <v>59</v>
      </c>
      <c r="C53" s="8" t="s">
        <v>59</v>
      </c>
      <c r="D53" s="9" t="str">
        <f>HYPERLINK("https://www.marklines.com/en/global/10380","Symbio FCell SA")</f>
        <v>Symbio FCell SA</v>
      </c>
      <c r="E53" s="8" t="s">
        <v>1664</v>
      </c>
      <c r="F53" s="8" t="s">
        <v>20</v>
      </c>
      <c r="G53" s="8" t="s">
        <v>86</v>
      </c>
      <c r="H53" s="8"/>
      <c r="I53" s="10">
        <v>44918</v>
      </c>
      <c r="J53" s="8" t="s">
        <v>1665</v>
      </c>
    </row>
    <row r="54" spans="1:10" x14ac:dyDescent="0.15">
      <c r="A54" s="7">
        <v>44918</v>
      </c>
      <c r="B54" s="8" t="s">
        <v>327</v>
      </c>
      <c r="C54" s="8" t="s">
        <v>327</v>
      </c>
      <c r="D54" s="9" t="str">
        <f>HYPERLINK("https://www.marklines.com/en/global/3283","Tesla, Fremont Plant")</f>
        <v>Tesla, Fremont Plant</v>
      </c>
      <c r="E54" s="8" t="s">
        <v>607</v>
      </c>
      <c r="F54" s="8" t="s">
        <v>19</v>
      </c>
      <c r="G54" s="8" t="s">
        <v>12</v>
      </c>
      <c r="H54" s="8" t="s">
        <v>608</v>
      </c>
      <c r="I54" s="10">
        <v>44916</v>
      </c>
      <c r="J54" s="8" t="s">
        <v>1521</v>
      </c>
    </row>
    <row r="55" spans="1:10" x14ac:dyDescent="0.15">
      <c r="A55" s="7">
        <v>44918</v>
      </c>
      <c r="B55" s="8" t="s">
        <v>1418</v>
      </c>
      <c r="C55" s="8" t="s">
        <v>1418</v>
      </c>
      <c r="D55" s="9" t="str">
        <f>HYPERLINK("https://www.marklines.com/en/global/10596","Lion Electric, Joliet plant")</f>
        <v>Lion Electric, Joliet plant</v>
      </c>
      <c r="E55" s="8" t="s">
        <v>1419</v>
      </c>
      <c r="F55" s="8" t="s">
        <v>19</v>
      </c>
      <c r="G55" s="8" t="s">
        <v>12</v>
      </c>
      <c r="H55" s="8" t="s">
        <v>67</v>
      </c>
      <c r="I55" s="10">
        <v>44914</v>
      </c>
      <c r="J55" s="8" t="s">
        <v>1522</v>
      </c>
    </row>
    <row r="56" spans="1:10" x14ac:dyDescent="0.15">
      <c r="A56" s="7">
        <v>44918</v>
      </c>
      <c r="B56" s="8" t="s">
        <v>73</v>
      </c>
      <c r="C56" s="8" t="s">
        <v>299</v>
      </c>
      <c r="D56" s="9" t="str">
        <f>HYPERLINK("https://www.marklines.com/en/global/581","Mitsubishi Fuso Truck and Bus, Kawasaki Plant")</f>
        <v>Mitsubishi Fuso Truck and Bus, Kawasaki Plant</v>
      </c>
      <c r="E56" s="8" t="s">
        <v>1310</v>
      </c>
      <c r="F56" s="8" t="s">
        <v>25</v>
      </c>
      <c r="G56" s="8" t="s">
        <v>31</v>
      </c>
      <c r="H56" s="8" t="s">
        <v>396</v>
      </c>
      <c r="I56" s="10">
        <v>44910</v>
      </c>
      <c r="J56" s="8" t="s">
        <v>1523</v>
      </c>
    </row>
    <row r="57" spans="1:10" x14ac:dyDescent="0.15">
      <c r="A57" s="7">
        <v>44918</v>
      </c>
      <c r="B57" s="8" t="s">
        <v>15</v>
      </c>
      <c r="C57" s="8" t="s">
        <v>1097</v>
      </c>
      <c r="D57" s="9" t="str">
        <f>HYPERLINK("https://www.marklines.com/en/global/10529","Letin Motor Group Ltd")</f>
        <v>Letin Motor Group Ltd</v>
      </c>
      <c r="E57" s="8" t="s">
        <v>1098</v>
      </c>
      <c r="F57" s="8" t="s">
        <v>25</v>
      </c>
      <c r="G57" s="8" t="s">
        <v>71</v>
      </c>
      <c r="H57" s="8" t="s">
        <v>104</v>
      </c>
      <c r="I57" s="10">
        <v>44904</v>
      </c>
      <c r="J57" s="8" t="s">
        <v>1524</v>
      </c>
    </row>
    <row r="58" spans="1:10" x14ac:dyDescent="0.15">
      <c r="A58" s="7">
        <v>44917</v>
      </c>
      <c r="B58" s="8" t="s">
        <v>344</v>
      </c>
      <c r="C58" s="8" t="s">
        <v>345</v>
      </c>
      <c r="D58" s="9" t="str">
        <f>HYPERLINK("https://www.marklines.com/en/global/749","former Nissan Manufacturing Rus OOO, Kamenka (St. Petersburg) Plant")</f>
        <v>former Nissan Manufacturing Rus OOO, Kamenka (St. Petersburg) Plant</v>
      </c>
      <c r="E58" s="8" t="s">
        <v>381</v>
      </c>
      <c r="F58" s="8" t="s">
        <v>21</v>
      </c>
      <c r="G58" s="8" t="s">
        <v>16</v>
      </c>
      <c r="H58" s="8"/>
      <c r="I58" s="10">
        <v>44917</v>
      </c>
      <c r="J58" s="8" t="s">
        <v>1525</v>
      </c>
    </row>
    <row r="59" spans="1:10" x14ac:dyDescent="0.15">
      <c r="A59" s="7">
        <v>44917</v>
      </c>
      <c r="B59" s="8" t="s">
        <v>15</v>
      </c>
      <c r="C59" s="8" t="s">
        <v>15</v>
      </c>
      <c r="D59" s="9" t="str">
        <f>HYPERLINK("https://www.marklines.com/en/global/10544","EKA Mobility, Pithampur Plant")</f>
        <v>EKA Mobility, Pithampur Plant</v>
      </c>
      <c r="E59" s="8" t="s">
        <v>1526</v>
      </c>
      <c r="F59" s="8" t="s">
        <v>69</v>
      </c>
      <c r="G59" s="8" t="s">
        <v>70</v>
      </c>
      <c r="H59" s="8" t="s">
        <v>1128</v>
      </c>
      <c r="I59" s="10">
        <v>44916</v>
      </c>
      <c r="J59" s="8" t="s">
        <v>1527</v>
      </c>
    </row>
    <row r="60" spans="1:10" x14ac:dyDescent="0.15">
      <c r="A60" s="7">
        <v>44917</v>
      </c>
      <c r="B60" s="8" t="s">
        <v>11</v>
      </c>
      <c r="C60" s="8" t="s">
        <v>26</v>
      </c>
      <c r="D60" s="9" t="str">
        <f>HYPERLINK("https://www.marklines.com/en/global/10548","CARIAD SE (Wolfsburg)")</f>
        <v>CARIAD SE (Wolfsburg)</v>
      </c>
      <c r="E60" s="8" t="s">
        <v>1024</v>
      </c>
      <c r="F60" s="8" t="s">
        <v>20</v>
      </c>
      <c r="G60" s="8" t="s">
        <v>29</v>
      </c>
      <c r="H60" s="8"/>
      <c r="I60" s="10">
        <v>44916</v>
      </c>
      <c r="J60" s="8" t="s">
        <v>1528</v>
      </c>
    </row>
    <row r="61" spans="1:10" x14ac:dyDescent="0.15">
      <c r="A61" s="7">
        <v>44917</v>
      </c>
      <c r="B61" s="8" t="s">
        <v>11</v>
      </c>
      <c r="C61" s="8" t="s">
        <v>26</v>
      </c>
      <c r="D61" s="9" t="str">
        <f>HYPERLINK("https://www.marklines.com/en/global/10548","CARIAD SE (Wolfsburg)")</f>
        <v>CARIAD SE (Wolfsburg)</v>
      </c>
      <c r="E61" s="8" t="s">
        <v>1024</v>
      </c>
      <c r="F61" s="8" t="s">
        <v>20</v>
      </c>
      <c r="G61" s="8" t="s">
        <v>29</v>
      </c>
      <c r="H61" s="8"/>
      <c r="I61" s="10">
        <v>44916</v>
      </c>
      <c r="J61" s="8" t="s">
        <v>1529</v>
      </c>
    </row>
    <row r="62" spans="1:10" x14ac:dyDescent="0.15">
      <c r="A62" s="7">
        <v>44917</v>
      </c>
      <c r="B62" s="8" t="s">
        <v>15</v>
      </c>
      <c r="C62" s="8" t="s">
        <v>15</v>
      </c>
      <c r="D62" s="9" t="str">
        <f>HYPERLINK("https://www.marklines.com/en/global/2749","Valmet Automotive Inc., Uusikaupunki Plant")</f>
        <v>Valmet Automotive Inc., Uusikaupunki Plant</v>
      </c>
      <c r="E62" s="8" t="s">
        <v>663</v>
      </c>
      <c r="F62" s="8" t="s">
        <v>20</v>
      </c>
      <c r="G62" s="8" t="s">
        <v>664</v>
      </c>
      <c r="H62" s="8"/>
      <c r="I62" s="10">
        <v>44916</v>
      </c>
      <c r="J62" s="8" t="s">
        <v>1530</v>
      </c>
    </row>
    <row r="63" spans="1:10" x14ac:dyDescent="0.15">
      <c r="A63" s="7">
        <v>44917</v>
      </c>
      <c r="B63" s="8" t="s">
        <v>97</v>
      </c>
      <c r="C63" s="8" t="s">
        <v>97</v>
      </c>
      <c r="D63" s="9" t="str">
        <f>HYPERLINK("https://www.marklines.com/en/global/465","Nissan Motor Kyushu Co.,Ltd.")</f>
        <v>Nissan Motor Kyushu Co.,Ltd.</v>
      </c>
      <c r="E63" s="8" t="s">
        <v>983</v>
      </c>
      <c r="F63" s="8" t="s">
        <v>25</v>
      </c>
      <c r="G63" s="8" t="s">
        <v>31</v>
      </c>
      <c r="H63" s="8" t="s">
        <v>127</v>
      </c>
      <c r="I63" s="10">
        <v>44916</v>
      </c>
      <c r="J63" s="8" t="s">
        <v>1531</v>
      </c>
    </row>
    <row r="64" spans="1:10" x14ac:dyDescent="0.15">
      <c r="A64" s="7">
        <v>44917</v>
      </c>
      <c r="B64" s="8" t="s">
        <v>52</v>
      </c>
      <c r="C64" s="8" t="s">
        <v>267</v>
      </c>
      <c r="D64" s="9" t="str">
        <f>HYPERLINK("https://www.marklines.com/en/global/2675","Stellantis, FCA Canada, Windsor Assembly Plant")</f>
        <v>Stellantis, FCA Canada, Windsor Assembly Plant</v>
      </c>
      <c r="E64" s="8" t="s">
        <v>1093</v>
      </c>
      <c r="F64" s="8" t="s">
        <v>19</v>
      </c>
      <c r="G64" s="8" t="s">
        <v>630</v>
      </c>
      <c r="H64" s="8"/>
      <c r="I64" s="10">
        <v>44916</v>
      </c>
      <c r="J64" s="8" t="s">
        <v>1532</v>
      </c>
    </row>
    <row r="65" spans="1:10" x14ac:dyDescent="0.15">
      <c r="A65" s="7">
        <v>44917</v>
      </c>
      <c r="B65" s="8" t="s">
        <v>30</v>
      </c>
      <c r="C65" s="8" t="s">
        <v>30</v>
      </c>
      <c r="D65" s="9" t="str">
        <f>HYPERLINK("https://www.marklines.com/en/global/10348","BluE Nexus Corporation (Aichi)")</f>
        <v>BluE Nexus Corporation (Aichi)</v>
      </c>
      <c r="E65" s="8" t="s">
        <v>1533</v>
      </c>
      <c r="F65" s="8" t="s">
        <v>25</v>
      </c>
      <c r="G65" s="8" t="s">
        <v>31</v>
      </c>
      <c r="H65" s="8" t="s">
        <v>32</v>
      </c>
      <c r="I65" s="10">
        <v>44915</v>
      </c>
      <c r="J65" s="8" t="s">
        <v>1534</v>
      </c>
    </row>
    <row r="66" spans="1:10" x14ac:dyDescent="0.15">
      <c r="A66" s="7">
        <v>44917</v>
      </c>
      <c r="B66" s="8" t="s">
        <v>17</v>
      </c>
      <c r="C66" s="8" t="s">
        <v>17</v>
      </c>
      <c r="D66" s="9" t="str">
        <f>HYPERLINK("https://www.marklines.com/en/global/10095","Honda R&amp;D Americas, Inc. (HRA), Acura Design Studio (Torrance)")</f>
        <v>Honda R&amp;D Americas, Inc. (HRA), Acura Design Studio (Torrance)</v>
      </c>
      <c r="E66" s="8" t="s">
        <v>1535</v>
      </c>
      <c r="F66" s="8" t="s">
        <v>19</v>
      </c>
      <c r="G66" s="8" t="s">
        <v>12</v>
      </c>
      <c r="H66" s="8" t="s">
        <v>608</v>
      </c>
      <c r="I66" s="10">
        <v>44915</v>
      </c>
      <c r="J66" s="8" t="s">
        <v>1536</v>
      </c>
    </row>
    <row r="67" spans="1:10" x14ac:dyDescent="0.15">
      <c r="A67" s="7">
        <v>44917</v>
      </c>
      <c r="B67" s="8" t="s">
        <v>17</v>
      </c>
      <c r="C67" s="8" t="s">
        <v>308</v>
      </c>
      <c r="D67" s="9" t="str">
        <f>HYPERLINK("https://www.M14marklines.com/en/global/2523","General Motors, Spring Hill Manufacturing (formerly Spring Hill Assembly)")</f>
        <v>General Motors, Spring Hill Manufacturing (formerly Spring Hill Assembly)</v>
      </c>
      <c r="E67" s="8" t="s">
        <v>236</v>
      </c>
      <c r="F67" s="8" t="s">
        <v>19</v>
      </c>
      <c r="G67" s="8" t="s">
        <v>12</v>
      </c>
      <c r="H67" s="8" t="s">
        <v>107</v>
      </c>
      <c r="I67" s="10">
        <v>44915</v>
      </c>
      <c r="J67" s="8" t="s">
        <v>1536</v>
      </c>
    </row>
    <row r="68" spans="1:10" x14ac:dyDescent="0.15">
      <c r="A68" s="7">
        <v>44917</v>
      </c>
      <c r="B68" s="8" t="s">
        <v>467</v>
      </c>
      <c r="C68" s="8" t="s">
        <v>467</v>
      </c>
      <c r="D68" s="9" t="str">
        <f>HYPERLINK("https://www.marklines.com/en/global/10448","Nikola Coolidge Manufacturing Facility")</f>
        <v>Nikola Coolidge Manufacturing Facility</v>
      </c>
      <c r="E68" s="8" t="s">
        <v>468</v>
      </c>
      <c r="F68" s="8" t="s">
        <v>19</v>
      </c>
      <c r="G68" s="8" t="s">
        <v>12</v>
      </c>
      <c r="H68" s="8" t="s">
        <v>469</v>
      </c>
      <c r="I68" s="10">
        <v>44915</v>
      </c>
      <c r="J68" s="8" t="s">
        <v>1537</v>
      </c>
    </row>
    <row r="69" spans="1:10" x14ac:dyDescent="0.15">
      <c r="A69" s="7">
        <v>44917</v>
      </c>
      <c r="B69" s="8" t="s">
        <v>15</v>
      </c>
      <c r="C69" s="8" t="s">
        <v>1194</v>
      </c>
      <c r="D69" s="9" t="str">
        <f>HYPERLINK("https://www.marklines.com/en/global/1428","Karsan Otomotiv Sanayi ve Ticaret A.S., Akçalar (Bursa) Plant")</f>
        <v>Karsan Otomotiv Sanayi ve Ticaret A.S., Akçalar (Bursa) Plant</v>
      </c>
      <c r="E69" s="8" t="s">
        <v>1195</v>
      </c>
      <c r="F69" s="8" t="s">
        <v>295</v>
      </c>
      <c r="G69" s="8" t="s">
        <v>296</v>
      </c>
      <c r="H69" s="8"/>
      <c r="I69" s="10">
        <v>44914</v>
      </c>
      <c r="J69" s="8" t="s">
        <v>1538</v>
      </c>
    </row>
    <row r="70" spans="1:10" x14ac:dyDescent="0.15">
      <c r="A70" s="7">
        <v>44917</v>
      </c>
      <c r="B70" s="8" t="s">
        <v>97</v>
      </c>
      <c r="C70" s="8" t="s">
        <v>97</v>
      </c>
      <c r="D70" s="9" t="str">
        <f>HYPERLINK("https://www.marklines.com/en/global/463","Nissan Motor, Tochigi Plant")</f>
        <v>Nissan Motor, Tochigi Plant</v>
      </c>
      <c r="E70" s="8" t="s">
        <v>138</v>
      </c>
      <c r="F70" s="8" t="s">
        <v>25</v>
      </c>
      <c r="G70" s="8" t="s">
        <v>31</v>
      </c>
      <c r="H70" s="8" t="s">
        <v>33</v>
      </c>
      <c r="I70" s="10">
        <v>44914</v>
      </c>
      <c r="J70" s="8" t="s">
        <v>1539</v>
      </c>
    </row>
    <row r="71" spans="1:10" x14ac:dyDescent="0.15">
      <c r="A71" s="7">
        <v>44917</v>
      </c>
      <c r="B71" s="8" t="s">
        <v>97</v>
      </c>
      <c r="C71" s="8" t="s">
        <v>97</v>
      </c>
      <c r="D71" s="9" t="str">
        <f>HYPERLINK("https://www.marklines.com/en/global/465","Nissan Motor Kyushu Co.,Ltd.")</f>
        <v>Nissan Motor Kyushu Co.,Ltd.</v>
      </c>
      <c r="E71" s="8" t="s">
        <v>983</v>
      </c>
      <c r="F71" s="8" t="s">
        <v>25</v>
      </c>
      <c r="G71" s="8" t="s">
        <v>31</v>
      </c>
      <c r="H71" s="8" t="s">
        <v>127</v>
      </c>
      <c r="I71" s="10">
        <v>44914</v>
      </c>
      <c r="J71" s="8" t="s">
        <v>1539</v>
      </c>
    </row>
    <row r="72" spans="1:10" x14ac:dyDescent="0.15">
      <c r="A72" s="7">
        <v>44917</v>
      </c>
      <c r="B72" s="8" t="s">
        <v>15</v>
      </c>
      <c r="C72" s="8" t="s">
        <v>430</v>
      </c>
      <c r="D72" s="9" t="str">
        <f>HYPERLINK("https://www.marklines.com/en/global/3847","Hunan Jiangnan Automobile Manufacturing Co., Ltd. Yongkang Zotye Branch")</f>
        <v>Hunan Jiangnan Automobile Manufacturing Co., Ltd. Yongkang Zotye Branch</v>
      </c>
      <c r="E72" s="8" t="s">
        <v>431</v>
      </c>
      <c r="F72" s="8" t="s">
        <v>25</v>
      </c>
      <c r="G72" s="8" t="s">
        <v>71</v>
      </c>
      <c r="H72" s="8" t="s">
        <v>78</v>
      </c>
      <c r="I72" s="10">
        <v>44914</v>
      </c>
      <c r="J72" s="8" t="s">
        <v>1540</v>
      </c>
    </row>
    <row r="73" spans="1:10" x14ac:dyDescent="0.15">
      <c r="A73" s="7">
        <v>44917</v>
      </c>
      <c r="B73" s="8" t="s">
        <v>11</v>
      </c>
      <c r="C73" s="8" t="s">
        <v>336</v>
      </c>
      <c r="D73" s="9" t="str">
        <f>HYPERLINK("https://www.marklines.com/en/global/2881","Volkswagen Truck &amp; Bus (VWTB) / Volkswagen Caminhões e Ônibus (VWCO), Resende Plant (formerly MAN Latin America Indústira e Comércio de Veículos, Ltda.)")</f>
        <v>Volkswagen Truck &amp; Bus (VWTB) / Volkswagen Caminhões e Ônibus (VWCO), Resende Plant (formerly MAN Latin America Indústira e Comércio de Veículos, Ltda.)</v>
      </c>
      <c r="E73" s="8" t="s">
        <v>334</v>
      </c>
      <c r="F73" s="8" t="s">
        <v>24</v>
      </c>
      <c r="G73" s="8" t="s">
        <v>68</v>
      </c>
      <c r="H73" s="8"/>
      <c r="I73" s="10">
        <v>44914</v>
      </c>
      <c r="J73" s="8" t="s">
        <v>1541</v>
      </c>
    </row>
    <row r="74" spans="1:10" x14ac:dyDescent="0.15">
      <c r="A74" s="7">
        <v>44917</v>
      </c>
      <c r="B74" s="8" t="s">
        <v>38</v>
      </c>
      <c r="C74" s="8" t="s">
        <v>38</v>
      </c>
      <c r="D74" s="9" t="str">
        <f>HYPERLINK("https://www.marklines.com/en/global/503","Mazda Motor, Hiroshima Plant")</f>
        <v>Mazda Motor, Hiroshima Plant</v>
      </c>
      <c r="E74" s="8" t="s">
        <v>980</v>
      </c>
      <c r="F74" s="8" t="s">
        <v>25</v>
      </c>
      <c r="G74" s="8" t="s">
        <v>31</v>
      </c>
      <c r="H74" s="8" t="s">
        <v>981</v>
      </c>
      <c r="I74" s="10">
        <v>44911</v>
      </c>
      <c r="J74" s="8" t="s">
        <v>1542</v>
      </c>
    </row>
    <row r="75" spans="1:10" x14ac:dyDescent="0.15">
      <c r="A75" s="7">
        <v>44917</v>
      </c>
      <c r="B75" s="8" t="s">
        <v>38</v>
      </c>
      <c r="C75" s="8" t="s">
        <v>38</v>
      </c>
      <c r="D75" s="9" t="str">
        <f>HYPERLINK("https://www.marklines.com/en/global/507","Mazda Motor, Miyoshi Plant")</f>
        <v>Mazda Motor, Miyoshi Plant</v>
      </c>
      <c r="E75" s="8" t="s">
        <v>1543</v>
      </c>
      <c r="F75" s="8" t="s">
        <v>25</v>
      </c>
      <c r="G75" s="8" t="s">
        <v>31</v>
      </c>
      <c r="H75" s="8" t="s">
        <v>981</v>
      </c>
      <c r="I75" s="10">
        <v>44911</v>
      </c>
      <c r="J75" s="8" t="s">
        <v>1542</v>
      </c>
    </row>
    <row r="76" spans="1:10" x14ac:dyDescent="0.15">
      <c r="A76" s="7">
        <v>44917</v>
      </c>
      <c r="B76" s="8" t="s">
        <v>38</v>
      </c>
      <c r="C76" s="8" t="s">
        <v>38</v>
      </c>
      <c r="D76" s="9" t="str">
        <f>HYPERLINK("https://www.marklines.com/en/global/505","Mazda Motor, Hofu Plant")</f>
        <v>Mazda Motor, Hofu Plant</v>
      </c>
      <c r="E76" s="8" t="s">
        <v>1401</v>
      </c>
      <c r="F76" s="8" t="s">
        <v>25</v>
      </c>
      <c r="G76" s="8" t="s">
        <v>31</v>
      </c>
      <c r="H76" s="8" t="s">
        <v>1402</v>
      </c>
      <c r="I76" s="10">
        <v>44911</v>
      </c>
      <c r="J76" s="8" t="s">
        <v>1542</v>
      </c>
    </row>
    <row r="77" spans="1:10" x14ac:dyDescent="0.15">
      <c r="A77" s="7">
        <v>44917</v>
      </c>
      <c r="B77" s="8" t="s">
        <v>76</v>
      </c>
      <c r="C77" s="8" t="s">
        <v>620</v>
      </c>
      <c r="D77" s="9" t="str">
        <f>HYPERLINK("https://www.marklines.com/en/global/9345","Geely Sichuan Commercial Vehicle Co., Ltd.")</f>
        <v>Geely Sichuan Commercial Vehicle Co., Ltd.</v>
      </c>
      <c r="E77" s="8" t="s">
        <v>621</v>
      </c>
      <c r="F77" s="8" t="s">
        <v>25</v>
      </c>
      <c r="G77" s="8" t="s">
        <v>71</v>
      </c>
      <c r="H77" s="8" t="s">
        <v>367</v>
      </c>
      <c r="I77" s="10">
        <v>44911</v>
      </c>
      <c r="J77" s="8" t="s">
        <v>1544</v>
      </c>
    </row>
    <row r="78" spans="1:10" x14ac:dyDescent="0.15">
      <c r="A78" s="7">
        <v>44917</v>
      </c>
      <c r="B78" s="8" t="s">
        <v>76</v>
      </c>
      <c r="C78" s="8" t="s">
        <v>77</v>
      </c>
      <c r="D78" s="9" t="str">
        <f>HYPERLINK("https://www.marklines.com/en/global/1017","Volvo Car Manufacturing Malaysia Sdn. Bhd., Shah Alam Plant (former Swedish Motor Assemblies Sdn Bhd)")</f>
        <v>Volvo Car Manufacturing Malaysia Sdn. Bhd., Shah Alam Plant (former Swedish Motor Assemblies Sdn Bhd)</v>
      </c>
      <c r="E78" s="8" t="s">
        <v>1545</v>
      </c>
      <c r="F78" s="8" t="s">
        <v>22</v>
      </c>
      <c r="G78" s="8" t="s">
        <v>1503</v>
      </c>
      <c r="H78" s="8"/>
      <c r="I78" s="10">
        <v>44911</v>
      </c>
      <c r="J78" s="8" t="s">
        <v>1546</v>
      </c>
    </row>
    <row r="79" spans="1:10" x14ac:dyDescent="0.15">
      <c r="A79" s="7">
        <v>44917</v>
      </c>
      <c r="B79" s="8" t="s">
        <v>30</v>
      </c>
      <c r="C79" s="8" t="s">
        <v>30</v>
      </c>
      <c r="D79" s="9" t="str">
        <f>HYPERLINK("https://www.marklines.com/en/global/10482","FAW Toyota Motor Co., Ltd. New Energy Branch (formerly Tianjin FAW Toyota Motor Co., Ltd. (TFTM) New Energy Branch)")</f>
        <v>FAW Toyota Motor Co., Ltd. New Energy Branch (formerly Tianjin FAW Toyota Motor Co., Ltd. (TFTM) New Energy Branch)</v>
      </c>
      <c r="E79" s="8" t="s">
        <v>838</v>
      </c>
      <c r="F79" s="8" t="s">
        <v>25</v>
      </c>
      <c r="G79" s="8" t="s">
        <v>71</v>
      </c>
      <c r="H79" s="8" t="s">
        <v>672</v>
      </c>
      <c r="I79" s="10">
        <v>44911</v>
      </c>
      <c r="J79" s="8" t="s">
        <v>1547</v>
      </c>
    </row>
    <row r="80" spans="1:10" x14ac:dyDescent="0.15">
      <c r="A80" s="7">
        <v>44917</v>
      </c>
      <c r="B80" s="8" t="s">
        <v>30</v>
      </c>
      <c r="C80" s="8" t="s">
        <v>30</v>
      </c>
      <c r="D80" s="9" t="str">
        <f>HYPERLINK("https://www.marklines.com/en/global/381","Toyota Motor, Tahara Plant")</f>
        <v>Toyota Motor, Tahara Plant</v>
      </c>
      <c r="E80" s="8" t="s">
        <v>131</v>
      </c>
      <c r="F80" s="8" t="s">
        <v>25</v>
      </c>
      <c r="G80" s="8" t="s">
        <v>31</v>
      </c>
      <c r="H80" s="8" t="s">
        <v>32</v>
      </c>
      <c r="I80" s="10">
        <v>44910</v>
      </c>
      <c r="J80" s="8" t="s">
        <v>1548</v>
      </c>
    </row>
    <row r="81" spans="1:10" x14ac:dyDescent="0.15">
      <c r="A81" s="7">
        <v>44917</v>
      </c>
      <c r="B81" s="8" t="s">
        <v>30</v>
      </c>
      <c r="C81" s="8" t="s">
        <v>37</v>
      </c>
      <c r="D81" s="9" t="str">
        <f>HYPERLINK("https://www.marklines.com/en/global/567","Hino Motors, Hamura Plant")</f>
        <v>Hino Motors, Hamura Plant</v>
      </c>
      <c r="E81" s="8" t="s">
        <v>49</v>
      </c>
      <c r="F81" s="8" t="s">
        <v>25</v>
      </c>
      <c r="G81" s="8" t="s">
        <v>31</v>
      </c>
      <c r="H81" s="8" t="s">
        <v>50</v>
      </c>
      <c r="I81" s="10">
        <v>44910</v>
      </c>
      <c r="J81" s="8" t="s">
        <v>1548</v>
      </c>
    </row>
    <row r="82" spans="1:10" x14ac:dyDescent="0.15">
      <c r="A82" s="7">
        <v>44917</v>
      </c>
      <c r="B82" s="8" t="s">
        <v>478</v>
      </c>
      <c r="C82" s="8" t="s">
        <v>478</v>
      </c>
      <c r="D82" s="9" t="str">
        <f>HYPERLINK("https://www.marklines.com/en/global/9500","BYD Co., Ltd.")</f>
        <v>BYD Co., Ltd.</v>
      </c>
      <c r="E82" s="8" t="s">
        <v>528</v>
      </c>
      <c r="F82" s="8" t="s">
        <v>25</v>
      </c>
      <c r="G82" s="8" t="s">
        <v>71</v>
      </c>
      <c r="H82" s="8" t="s">
        <v>83</v>
      </c>
      <c r="I82" s="10">
        <v>44910</v>
      </c>
      <c r="J82" s="8" t="s">
        <v>1549</v>
      </c>
    </row>
    <row r="83" spans="1:10" x14ac:dyDescent="0.15">
      <c r="A83" s="7">
        <v>44917</v>
      </c>
      <c r="B83" s="8" t="s">
        <v>1080</v>
      </c>
      <c r="C83" s="8" t="s">
        <v>1080</v>
      </c>
      <c r="D83" s="9" t="str">
        <f>HYPERLINK("https://www.marklines.com/en/global/8568","China FAW Group Co., Ltd New Energy Vehicle Branch")</f>
        <v>China FAW Group Co., Ltd New Energy Vehicle Branch</v>
      </c>
      <c r="E83" s="8" t="s">
        <v>1550</v>
      </c>
      <c r="F83" s="8" t="s">
        <v>25</v>
      </c>
      <c r="G83" s="8" t="s">
        <v>71</v>
      </c>
      <c r="H83" s="8" t="s">
        <v>583</v>
      </c>
      <c r="I83" s="10">
        <v>44910</v>
      </c>
      <c r="J83" s="8" t="s">
        <v>1551</v>
      </c>
    </row>
    <row r="84" spans="1:10" x14ac:dyDescent="0.15">
      <c r="A84" s="7">
        <v>44917</v>
      </c>
      <c r="B84" s="8" t="s">
        <v>1080</v>
      </c>
      <c r="C84" s="8" t="s">
        <v>1080</v>
      </c>
      <c r="D84" s="9" t="str">
        <f>HYPERLINK("https://www.marklines.com/en/global/10437","FAW Hongqi New Energy Car Plant")</f>
        <v>FAW Hongqi New Energy Car Plant</v>
      </c>
      <c r="E84" s="8" t="s">
        <v>1264</v>
      </c>
      <c r="F84" s="8" t="s">
        <v>25</v>
      </c>
      <c r="G84" s="8" t="s">
        <v>71</v>
      </c>
      <c r="H84" s="8" t="s">
        <v>583</v>
      </c>
      <c r="I84" s="10">
        <v>44910</v>
      </c>
      <c r="J84" s="8" t="s">
        <v>1551</v>
      </c>
    </row>
    <row r="85" spans="1:10" x14ac:dyDescent="0.15">
      <c r="A85" s="7">
        <v>44917</v>
      </c>
      <c r="B85" s="8" t="s">
        <v>1080</v>
      </c>
      <c r="C85" s="8" t="s">
        <v>1080</v>
      </c>
      <c r="D85" s="9" t="str">
        <f>HYPERLINK("https://www.marklines.com/en/global/3339","China FAW Corporation Limited Weishan 2nd Plant")</f>
        <v>China FAW Corporation Limited Weishan 2nd Plant</v>
      </c>
      <c r="E85" s="8" t="s">
        <v>1552</v>
      </c>
      <c r="F85" s="8" t="s">
        <v>25</v>
      </c>
      <c r="G85" s="8" t="s">
        <v>71</v>
      </c>
      <c r="H85" s="8" t="s">
        <v>583</v>
      </c>
      <c r="I85" s="10">
        <v>44910</v>
      </c>
      <c r="J85" s="8" t="s">
        <v>1551</v>
      </c>
    </row>
    <row r="86" spans="1:10" x14ac:dyDescent="0.15">
      <c r="A86" s="7">
        <v>44917</v>
      </c>
      <c r="B86" s="8" t="s">
        <v>100</v>
      </c>
      <c r="C86" s="8" t="s">
        <v>902</v>
      </c>
      <c r="D86" s="9" t="str">
        <f>HYPERLINK("https://www.marklines.com/en/global/3735","Nanjing Automobile(Group)Corporation")</f>
        <v>Nanjing Automobile(Group)Corporation</v>
      </c>
      <c r="E86" s="8" t="s">
        <v>1553</v>
      </c>
      <c r="F86" s="8" t="s">
        <v>25</v>
      </c>
      <c r="G86" s="8" t="s">
        <v>71</v>
      </c>
      <c r="H86" s="8" t="s">
        <v>351</v>
      </c>
      <c r="I86" s="10">
        <v>44910</v>
      </c>
      <c r="J86" s="8" t="s">
        <v>1554</v>
      </c>
    </row>
    <row r="87" spans="1:10" x14ac:dyDescent="0.15">
      <c r="A87" s="7">
        <v>44917</v>
      </c>
      <c r="B87" s="8" t="s">
        <v>101</v>
      </c>
      <c r="C87" s="8" t="s">
        <v>1137</v>
      </c>
      <c r="D87" s="9" t="str">
        <f>HYPERLINK("https://www.marklines.com/en/global/9165"," Dongfeng Motor (Wuhan) Co., Ltd. (formerly Dongfeng Renault Automotive  Co., Ltd.) ")</f>
        <v xml:space="preserve"> Dongfeng Motor (Wuhan) Co., Ltd. (formerly Dongfeng Renault Automotive  Co., Ltd.) </v>
      </c>
      <c r="E87" s="8" t="s">
        <v>1138</v>
      </c>
      <c r="F87" s="8" t="s">
        <v>25</v>
      </c>
      <c r="G87" s="8" t="s">
        <v>71</v>
      </c>
      <c r="H87" s="8" t="s">
        <v>90</v>
      </c>
      <c r="I87" s="10">
        <v>44910</v>
      </c>
      <c r="J87" s="8" t="s">
        <v>1555</v>
      </c>
    </row>
    <row r="88" spans="1:10" x14ac:dyDescent="0.15">
      <c r="A88" s="7">
        <v>44917</v>
      </c>
      <c r="B88" s="8" t="s">
        <v>97</v>
      </c>
      <c r="C88" s="8" t="s">
        <v>97</v>
      </c>
      <c r="D88" s="9" t="str">
        <f>HYPERLINK("https://www.marklines.com/en/global/4101","Dongfeng Nissan Passenger Vehicle Company (DFN)")</f>
        <v>Dongfeng Nissan Passenger Vehicle Company (DFN)</v>
      </c>
      <c r="E88" s="8" t="s">
        <v>1464</v>
      </c>
      <c r="F88" s="8" t="s">
        <v>25</v>
      </c>
      <c r="G88" s="8" t="s">
        <v>71</v>
      </c>
      <c r="H88" s="8" t="s">
        <v>83</v>
      </c>
      <c r="I88" s="10">
        <v>44700</v>
      </c>
      <c r="J88" s="8" t="s">
        <v>1556</v>
      </c>
    </row>
    <row r="89" spans="1:10" x14ac:dyDescent="0.15">
      <c r="A89" s="7">
        <v>44917</v>
      </c>
      <c r="B89" s="8" t="s">
        <v>17</v>
      </c>
      <c r="C89" s="8" t="s">
        <v>17</v>
      </c>
      <c r="D89" s="9" t="str">
        <f>HYPERLINK("https://www.marklines.com/en/global/4089","Dongfeng Honda Engine Co., Ltd. (DHEC)")</f>
        <v>Dongfeng Honda Engine Co., Ltd. (DHEC)</v>
      </c>
      <c r="E89" s="8" t="s">
        <v>1557</v>
      </c>
      <c r="F89" s="8" t="s">
        <v>25</v>
      </c>
      <c r="G89" s="8" t="s">
        <v>71</v>
      </c>
      <c r="H89" s="8" t="s">
        <v>83</v>
      </c>
      <c r="I89" s="10">
        <v>44700</v>
      </c>
      <c r="J89" s="8" t="s">
        <v>1558</v>
      </c>
    </row>
    <row r="90" spans="1:10" x14ac:dyDescent="0.15">
      <c r="A90" s="7">
        <v>44917</v>
      </c>
      <c r="B90" s="8" t="s">
        <v>101</v>
      </c>
      <c r="C90" s="8" t="s">
        <v>101</v>
      </c>
      <c r="D90" s="9" t="str">
        <f>HYPERLINK("https://www.marklines.com/en/global/3971","Dongfeng Motor Corporation ")</f>
        <v xml:space="preserve">Dongfeng Motor Corporation </v>
      </c>
      <c r="E90" s="8" t="s">
        <v>1414</v>
      </c>
      <c r="F90" s="8" t="s">
        <v>25</v>
      </c>
      <c r="G90" s="8" t="s">
        <v>71</v>
      </c>
      <c r="H90" s="8" t="s">
        <v>90</v>
      </c>
      <c r="I90" s="10">
        <v>44700</v>
      </c>
      <c r="J90" s="8" t="s">
        <v>1559</v>
      </c>
    </row>
    <row r="91" spans="1:10" x14ac:dyDescent="0.15">
      <c r="A91" s="7">
        <v>44917</v>
      </c>
      <c r="B91" s="8" t="s">
        <v>97</v>
      </c>
      <c r="C91" s="8" t="s">
        <v>97</v>
      </c>
      <c r="D91" s="9" t="str">
        <f>HYPERLINK("https://www.marklines.com/en/global/4101","Dongfeng Nissan Passenger Vehicle Company (DFN)")</f>
        <v>Dongfeng Nissan Passenger Vehicle Company (DFN)</v>
      </c>
      <c r="E91" s="8" t="s">
        <v>1464</v>
      </c>
      <c r="F91" s="8" t="s">
        <v>25</v>
      </c>
      <c r="G91" s="8" t="s">
        <v>71</v>
      </c>
      <c r="H91" s="8" t="s">
        <v>83</v>
      </c>
      <c r="I91" s="10">
        <v>44700</v>
      </c>
      <c r="J91" s="8" t="s">
        <v>1560</v>
      </c>
    </row>
    <row r="92" spans="1:10" x14ac:dyDescent="0.15">
      <c r="A92" s="7">
        <v>44917</v>
      </c>
      <c r="B92" s="8" t="s">
        <v>101</v>
      </c>
      <c r="C92" s="8" t="s">
        <v>101</v>
      </c>
      <c r="D92" s="9" t="str">
        <f>HYPERLINK("https://www.marklines.com/en/global/3971","Dongfeng Motor Corporation ")</f>
        <v xml:space="preserve">Dongfeng Motor Corporation </v>
      </c>
      <c r="E92" s="8" t="s">
        <v>1414</v>
      </c>
      <c r="F92" s="8" t="s">
        <v>25</v>
      </c>
      <c r="G92" s="8" t="s">
        <v>71</v>
      </c>
      <c r="H92" s="8" t="s">
        <v>90</v>
      </c>
      <c r="I92" s="10">
        <v>44700</v>
      </c>
      <c r="J92" s="8" t="s">
        <v>1561</v>
      </c>
    </row>
    <row r="93" spans="1:10" x14ac:dyDescent="0.15">
      <c r="A93" s="7">
        <v>44916</v>
      </c>
      <c r="B93" s="8" t="s">
        <v>486</v>
      </c>
      <c r="C93" s="8" t="s">
        <v>486</v>
      </c>
      <c r="D93" s="9" t="str">
        <f>HYPERLINK("https://www.marklines.com/en/global/9873","Lucid Motors (Lucid Group, Inc.), Casa Grande plant")</f>
        <v>Lucid Motors (Lucid Group, Inc.), Casa Grande plant</v>
      </c>
      <c r="E93" s="8" t="s">
        <v>487</v>
      </c>
      <c r="F93" s="8" t="s">
        <v>19</v>
      </c>
      <c r="G93" s="8" t="s">
        <v>12</v>
      </c>
      <c r="H93" s="8" t="s">
        <v>469</v>
      </c>
      <c r="I93" s="10">
        <v>44916</v>
      </c>
      <c r="J93" s="8" t="s">
        <v>1562</v>
      </c>
    </row>
    <row r="94" spans="1:10" x14ac:dyDescent="0.15">
      <c r="A94" s="7">
        <v>44916</v>
      </c>
      <c r="B94" s="8" t="s">
        <v>344</v>
      </c>
      <c r="C94" s="8" t="s">
        <v>345</v>
      </c>
      <c r="D94" s="9" t="str">
        <f>HYPERLINK("https://www.marklines.com/en/global/729","LLC ""LADA Izhevsk"", LADA Izhevsk Automotive Plant (formerly OJSC Izh-Avto, Izhevsk Automobilny Zavod) ")</f>
        <v xml:space="preserve">LLC "LADA Izhevsk", LADA Izhevsk Automotive Plant (formerly OJSC Izh-Avto, Izhevsk Automobilny Zavod) </v>
      </c>
      <c r="E94" s="8" t="s">
        <v>348</v>
      </c>
      <c r="F94" s="8" t="s">
        <v>21</v>
      </c>
      <c r="G94" s="8" t="s">
        <v>16</v>
      </c>
      <c r="H94" s="8"/>
      <c r="I94" s="10">
        <v>44916</v>
      </c>
      <c r="J94" s="8" t="s">
        <v>1563</v>
      </c>
    </row>
    <row r="95" spans="1:10" x14ac:dyDescent="0.15">
      <c r="A95" s="7">
        <v>44916</v>
      </c>
      <c r="B95" s="8" t="s">
        <v>344</v>
      </c>
      <c r="C95" s="8" t="s">
        <v>345</v>
      </c>
      <c r="D95" s="9" t="str">
        <f>HYPERLINK("https://www.marklines.com/en/global/675","AvtoVAZ, Togliatti Plant")</f>
        <v>AvtoVAZ, Togliatti Plant</v>
      </c>
      <c r="E95" s="8" t="s">
        <v>346</v>
      </c>
      <c r="F95" s="8" t="s">
        <v>21</v>
      </c>
      <c r="G95" s="8" t="s">
        <v>16</v>
      </c>
      <c r="H95" s="8"/>
      <c r="I95" s="10">
        <v>44916</v>
      </c>
      <c r="J95" s="8" t="s">
        <v>1563</v>
      </c>
    </row>
    <row r="96" spans="1:10" x14ac:dyDescent="0.15">
      <c r="A96" s="7">
        <v>44916</v>
      </c>
      <c r="B96" s="8" t="s">
        <v>76</v>
      </c>
      <c r="C96" s="8" t="s">
        <v>1564</v>
      </c>
      <c r="D96" s="9" t="str">
        <f>HYPERLINK("https://www.marklines.com/en/global/9321","The London Electric Vehicle Company Ltd. (LEVC), Ansty Coventry Plant (formerly London Taxi Corporation Ltd.)")</f>
        <v>The London Electric Vehicle Company Ltd. (LEVC), Ansty Coventry Plant (formerly London Taxi Corporation Ltd.)</v>
      </c>
      <c r="E96" s="8" t="s">
        <v>1565</v>
      </c>
      <c r="F96" s="8" t="s">
        <v>20</v>
      </c>
      <c r="G96" s="8" t="s">
        <v>98</v>
      </c>
      <c r="H96" s="8"/>
      <c r="I96" s="10">
        <v>44915</v>
      </c>
      <c r="J96" s="8" t="s">
        <v>1566</v>
      </c>
    </row>
    <row r="97" spans="1:10" x14ac:dyDescent="0.15">
      <c r="A97" s="7">
        <v>44916</v>
      </c>
      <c r="B97" s="8" t="s">
        <v>59</v>
      </c>
      <c r="C97" s="8" t="s">
        <v>59</v>
      </c>
      <c r="D97" s="9" t="str">
        <f>HYPERLINK("https://www.marklines.com/en/global/159","Stellantis, PSA, Tremery Plant")</f>
        <v>Stellantis, PSA, Tremery Plant</v>
      </c>
      <c r="E97" s="8" t="s">
        <v>596</v>
      </c>
      <c r="F97" s="8" t="s">
        <v>20</v>
      </c>
      <c r="G97" s="8" t="s">
        <v>86</v>
      </c>
      <c r="H97" s="8"/>
      <c r="I97" s="10">
        <v>44914</v>
      </c>
      <c r="J97" s="8" t="s">
        <v>1567</v>
      </c>
    </row>
    <row r="98" spans="1:10" x14ac:dyDescent="0.15">
      <c r="A98" s="7">
        <v>44916</v>
      </c>
      <c r="B98" s="8" t="s">
        <v>59</v>
      </c>
      <c r="C98" s="8" t="s">
        <v>59</v>
      </c>
      <c r="D98" s="9" t="str">
        <f>HYPERLINK("https://www.marklines.com/en/global/9974","Nidec PSA emotors")</f>
        <v>Nidec PSA emotors</v>
      </c>
      <c r="E98" s="8" t="s">
        <v>269</v>
      </c>
      <c r="F98" s="8" t="s">
        <v>20</v>
      </c>
      <c r="G98" s="8" t="s">
        <v>86</v>
      </c>
      <c r="H98" s="8"/>
      <c r="I98" s="10">
        <v>44914</v>
      </c>
      <c r="J98" s="8" t="s">
        <v>1567</v>
      </c>
    </row>
    <row r="99" spans="1:10" x14ac:dyDescent="0.15">
      <c r="A99" s="7">
        <v>44916</v>
      </c>
      <c r="B99" s="8" t="s">
        <v>52</v>
      </c>
      <c r="C99" s="8" t="s">
        <v>91</v>
      </c>
      <c r="D99" s="9" t="str">
        <f>HYPERLINK("https://www.marklines.com/en/global/843","Stellantis, FCA Mexico, Toluca Assembly Plant")</f>
        <v>Stellantis, FCA Mexico, Toluca Assembly Plant</v>
      </c>
      <c r="E99" s="8" t="s">
        <v>1568</v>
      </c>
      <c r="F99" s="8" t="s">
        <v>19</v>
      </c>
      <c r="G99" s="8" t="s">
        <v>47</v>
      </c>
      <c r="H99" s="8"/>
      <c r="I99" s="10">
        <v>44910</v>
      </c>
      <c r="J99" s="8" t="s">
        <v>1569</v>
      </c>
    </row>
    <row r="100" spans="1:10" x14ac:dyDescent="0.15">
      <c r="A100" s="7">
        <v>44916</v>
      </c>
      <c r="B100" s="8" t="s">
        <v>52</v>
      </c>
      <c r="C100" s="8" t="s">
        <v>91</v>
      </c>
      <c r="D100" s="9" t="str">
        <f>HYPERLINK("https://www.marklines.com/en/global/2663","Stellantis, FCA US, Belvidere Assembly Plant and Belvidere Satellite Stamping Plant")</f>
        <v>Stellantis, FCA US, Belvidere Assembly Plant and Belvidere Satellite Stamping Plant</v>
      </c>
      <c r="E100" s="8" t="s">
        <v>1495</v>
      </c>
      <c r="F100" s="8" t="s">
        <v>19</v>
      </c>
      <c r="G100" s="8" t="s">
        <v>12</v>
      </c>
      <c r="H100" s="8" t="s">
        <v>67</v>
      </c>
      <c r="I100" s="10">
        <v>44910</v>
      </c>
      <c r="J100" s="8" t="s">
        <v>1569</v>
      </c>
    </row>
    <row r="101" spans="1:10" x14ac:dyDescent="0.15">
      <c r="A101" s="7">
        <v>44915</v>
      </c>
      <c r="B101" s="8" t="s">
        <v>11</v>
      </c>
      <c r="C101" s="8" t="s">
        <v>108</v>
      </c>
      <c r="D101" s="9" t="str">
        <f>HYPERLINK("https://www.marklines.com/en/global/2201","Audi AG, Audi Sport GmbH, Neckarsulm Plant")</f>
        <v>Audi AG, Audi Sport GmbH, Neckarsulm Plant</v>
      </c>
      <c r="E101" s="8" t="s">
        <v>1512</v>
      </c>
      <c r="F101" s="8" t="s">
        <v>20</v>
      </c>
      <c r="G101" s="8" t="s">
        <v>29</v>
      </c>
      <c r="H101" s="8"/>
      <c r="I101" s="10">
        <v>44915</v>
      </c>
      <c r="J101" s="8" t="s">
        <v>1570</v>
      </c>
    </row>
    <row r="102" spans="1:10" x14ac:dyDescent="0.15">
      <c r="A102" s="7">
        <v>44915</v>
      </c>
      <c r="B102" s="8" t="s">
        <v>11</v>
      </c>
      <c r="C102" s="8" t="s">
        <v>108</v>
      </c>
      <c r="D102" s="9" t="str">
        <f>HYPERLINK("https://www.marklines.com/en/global/9858","Audi AG, Audi Sport GmbH, Böllinger Höfe Plant")</f>
        <v>Audi AG, Audi Sport GmbH, Böllinger Höfe Plant</v>
      </c>
      <c r="E102" s="8" t="s">
        <v>1571</v>
      </c>
      <c r="F102" s="8" t="s">
        <v>20</v>
      </c>
      <c r="G102" s="8" t="s">
        <v>29</v>
      </c>
      <c r="H102" s="8"/>
      <c r="I102" s="10">
        <v>44915</v>
      </c>
      <c r="J102" s="8" t="s">
        <v>1570</v>
      </c>
    </row>
    <row r="103" spans="1:10" x14ac:dyDescent="0.15">
      <c r="A103" s="7">
        <v>44915</v>
      </c>
      <c r="B103" s="8" t="s">
        <v>11</v>
      </c>
      <c r="C103" s="8" t="s">
        <v>108</v>
      </c>
      <c r="D103" s="9" t="str">
        <f>HYPERLINK("https://www.marklines.com/en/global/1777","Audi Hungaria Zrt., Győr Plant (formerly Audi Hungaria Motor Kft.)")</f>
        <v>Audi Hungaria Zrt., Győr Plant (formerly Audi Hungaria Motor Kft.)</v>
      </c>
      <c r="E103" s="8" t="s">
        <v>494</v>
      </c>
      <c r="F103" s="8" t="s">
        <v>21</v>
      </c>
      <c r="G103" s="8" t="s">
        <v>495</v>
      </c>
      <c r="H103" s="8"/>
      <c r="I103" s="10">
        <v>44915</v>
      </c>
      <c r="J103" s="8" t="s">
        <v>1570</v>
      </c>
    </row>
    <row r="104" spans="1:10" x14ac:dyDescent="0.15">
      <c r="A104" s="7">
        <v>44915</v>
      </c>
      <c r="B104" s="8" t="s">
        <v>11</v>
      </c>
      <c r="C104" s="8" t="s">
        <v>108</v>
      </c>
      <c r="D104" s="9" t="str">
        <f>HYPERLINK("https://www.marklines.com/en/global/1514","Audi Brussels S.A./N.V., Brussels Plant")</f>
        <v>Audi Brussels S.A./N.V., Brussels Plant</v>
      </c>
      <c r="E104" s="8" t="s">
        <v>1069</v>
      </c>
      <c r="F104" s="8" t="s">
        <v>20</v>
      </c>
      <c r="G104" s="8" t="s">
        <v>109</v>
      </c>
      <c r="H104" s="8"/>
      <c r="I104" s="10">
        <v>44915</v>
      </c>
      <c r="J104" s="8" t="s">
        <v>1570</v>
      </c>
    </row>
    <row r="105" spans="1:10" x14ac:dyDescent="0.15">
      <c r="A105" s="7">
        <v>44915</v>
      </c>
      <c r="B105" s="8" t="s">
        <v>11</v>
      </c>
      <c r="C105" s="8" t="s">
        <v>108</v>
      </c>
      <c r="D105" s="9" t="str">
        <f>HYPERLINK("https://www.marklines.com/en/global/2199","Audi AG, Ingolstadt Plant")</f>
        <v>Audi AG, Ingolstadt Plant</v>
      </c>
      <c r="E105" s="8" t="s">
        <v>1514</v>
      </c>
      <c r="F105" s="8" t="s">
        <v>20</v>
      </c>
      <c r="G105" s="8" t="s">
        <v>29</v>
      </c>
      <c r="H105" s="8"/>
      <c r="I105" s="10">
        <v>44915</v>
      </c>
      <c r="J105" s="8" t="s">
        <v>1570</v>
      </c>
    </row>
    <row r="106" spans="1:10" x14ac:dyDescent="0.15">
      <c r="A106" s="7">
        <v>44915</v>
      </c>
      <c r="B106" s="8" t="s">
        <v>11</v>
      </c>
      <c r="C106" s="8" t="s">
        <v>108</v>
      </c>
      <c r="D106" s="9" t="str">
        <f>HYPERLINK("https://www.marklines.com/en/global/8739","Audi Mexico S.A. de C.V., San José Chiapa Plant")</f>
        <v>Audi Mexico S.A. de C.V., San José Chiapa Plant</v>
      </c>
      <c r="E106" s="8" t="s">
        <v>197</v>
      </c>
      <c r="F106" s="8" t="s">
        <v>19</v>
      </c>
      <c r="G106" s="8" t="s">
        <v>47</v>
      </c>
      <c r="H106" s="8"/>
      <c r="I106" s="10">
        <v>44915</v>
      </c>
      <c r="J106" s="8" t="s">
        <v>1570</v>
      </c>
    </row>
    <row r="107" spans="1:10" x14ac:dyDescent="0.15">
      <c r="A107" s="7">
        <v>44915</v>
      </c>
      <c r="B107" s="8" t="s">
        <v>73</v>
      </c>
      <c r="C107" s="8" t="s">
        <v>560</v>
      </c>
      <c r="D107" s="9" t="str">
        <f>HYPERLINK("https://www.marklines.com/en/global/2137","EvoBus, Mannheim Plant")</f>
        <v>EvoBus, Mannheim Plant</v>
      </c>
      <c r="E107" s="8" t="s">
        <v>564</v>
      </c>
      <c r="F107" s="8" t="s">
        <v>20</v>
      </c>
      <c r="G107" s="8" t="s">
        <v>29</v>
      </c>
      <c r="H107" s="8"/>
      <c r="I107" s="10">
        <v>44915</v>
      </c>
      <c r="J107" s="8" t="s">
        <v>1572</v>
      </c>
    </row>
    <row r="108" spans="1:10" x14ac:dyDescent="0.15">
      <c r="A108" s="7">
        <v>44915</v>
      </c>
      <c r="B108" s="8" t="s">
        <v>73</v>
      </c>
      <c r="C108" s="8" t="s">
        <v>74</v>
      </c>
      <c r="D108" s="9" t="str">
        <f>HYPERLINK("https://www.marklines.com/en/global/2227","Daimler Truck AG, Mannheim Plant")</f>
        <v>Daimler Truck AG, Mannheim Plant</v>
      </c>
      <c r="E108" s="8" t="s">
        <v>1573</v>
      </c>
      <c r="F108" s="8" t="s">
        <v>20</v>
      </c>
      <c r="G108" s="8" t="s">
        <v>29</v>
      </c>
      <c r="H108" s="8"/>
      <c r="I108" s="10">
        <v>44915</v>
      </c>
      <c r="J108" s="8" t="s">
        <v>1572</v>
      </c>
    </row>
    <row r="109" spans="1:10" x14ac:dyDescent="0.15">
      <c r="A109" s="7">
        <v>44915</v>
      </c>
      <c r="B109" s="8" t="s">
        <v>73</v>
      </c>
      <c r="C109" s="8" t="s">
        <v>74</v>
      </c>
      <c r="D109" s="9" t="str">
        <f>HYPERLINK("https://www.marklines.com/en/global/2243","Daimler Truck AG, Wörth Plant")</f>
        <v>Daimler Truck AG, Wörth Plant</v>
      </c>
      <c r="E109" s="8" t="s">
        <v>1065</v>
      </c>
      <c r="F109" s="8" t="s">
        <v>20</v>
      </c>
      <c r="G109" s="8" t="s">
        <v>29</v>
      </c>
      <c r="H109" s="8"/>
      <c r="I109" s="10">
        <v>44915</v>
      </c>
      <c r="J109" s="8" t="s">
        <v>1572</v>
      </c>
    </row>
    <row r="110" spans="1:10" x14ac:dyDescent="0.15">
      <c r="A110" s="7">
        <v>44915</v>
      </c>
      <c r="B110" s="8" t="s">
        <v>73</v>
      </c>
      <c r="C110" s="8" t="s">
        <v>74</v>
      </c>
      <c r="D110" s="9" t="str">
        <f>HYPERLINK("https://www.marklines.com/en/global/2247","Daimler Truck AG, Kassel Plant")</f>
        <v>Daimler Truck AG, Kassel Plant</v>
      </c>
      <c r="E110" s="8" t="s">
        <v>1574</v>
      </c>
      <c r="F110" s="8" t="s">
        <v>20</v>
      </c>
      <c r="G110" s="8" t="s">
        <v>29</v>
      </c>
      <c r="H110" s="8"/>
      <c r="I110" s="10">
        <v>44915</v>
      </c>
      <c r="J110" s="8" t="s">
        <v>1572</v>
      </c>
    </row>
    <row r="111" spans="1:10" x14ac:dyDescent="0.15">
      <c r="A111" s="7">
        <v>44915</v>
      </c>
      <c r="B111" s="8" t="s">
        <v>73</v>
      </c>
      <c r="C111" s="8" t="s">
        <v>74</v>
      </c>
      <c r="D111" s="9" t="str">
        <f>HYPERLINK("https://www.marklines.com/en/global/2229","Daimler Truck AG/Mercedes-Benz Group AG, Gaggenau Plant")</f>
        <v>Daimler Truck AG/Mercedes-Benz Group AG, Gaggenau Plant</v>
      </c>
      <c r="E111" s="8" t="s">
        <v>589</v>
      </c>
      <c r="F111" s="8" t="s">
        <v>20</v>
      </c>
      <c r="G111" s="8" t="s">
        <v>29</v>
      </c>
      <c r="H111" s="8"/>
      <c r="I111" s="10">
        <v>44915</v>
      </c>
      <c r="J111" s="8" t="s">
        <v>1572</v>
      </c>
    </row>
    <row r="112" spans="1:10" x14ac:dyDescent="0.15">
      <c r="A112" s="7">
        <v>44915</v>
      </c>
      <c r="B112" s="8" t="s">
        <v>11</v>
      </c>
      <c r="C112" s="8" t="s">
        <v>759</v>
      </c>
      <c r="D112" s="9" t="str">
        <f>HYPERLINK("https://www.marklines.com/en/global/2695","Scania AB, Södertälje Plant")</f>
        <v>Scania AB, Södertälje Plant</v>
      </c>
      <c r="E112" s="8" t="s">
        <v>760</v>
      </c>
      <c r="F112" s="8" t="s">
        <v>20</v>
      </c>
      <c r="G112" s="8" t="s">
        <v>34</v>
      </c>
      <c r="H112" s="8"/>
      <c r="I112" s="10">
        <v>44915</v>
      </c>
      <c r="J112" s="8" t="s">
        <v>1575</v>
      </c>
    </row>
    <row r="113" spans="1:10" x14ac:dyDescent="0.15">
      <c r="A113" s="7">
        <v>44915</v>
      </c>
      <c r="B113" s="8" t="s">
        <v>15</v>
      </c>
      <c r="C113" s="8" t="s">
        <v>824</v>
      </c>
      <c r="D113" s="9" t="str">
        <f>HYPERLINK("https://www.marklines.com/en/global/803","JSC UralAZ (Ural Avtomobilny Zavod), Chelyabinsk Plant")</f>
        <v>JSC UralAZ (Ural Avtomobilny Zavod), Chelyabinsk Plant</v>
      </c>
      <c r="E113" s="8" t="s">
        <v>825</v>
      </c>
      <c r="F113" s="8" t="s">
        <v>21</v>
      </c>
      <c r="G113" s="8" t="s">
        <v>16</v>
      </c>
      <c r="H113" s="8"/>
      <c r="I113" s="10">
        <v>44915</v>
      </c>
      <c r="J113" s="8" t="s">
        <v>1576</v>
      </c>
    </row>
    <row r="114" spans="1:10" x14ac:dyDescent="0.15">
      <c r="A114" s="7">
        <v>44915</v>
      </c>
      <c r="B114" s="8" t="s">
        <v>30</v>
      </c>
      <c r="C114" s="8" t="s">
        <v>30</v>
      </c>
      <c r="D114" s="9" t="str">
        <f>HYPERLINK("https://www.marklines.com/en/global/1065","Indus Motor Company Ltd. (IMC), Karachi Plant")</f>
        <v>Indus Motor Company Ltd. (IMC), Karachi Plant</v>
      </c>
      <c r="E114" s="8" t="s">
        <v>1577</v>
      </c>
      <c r="F114" s="8" t="s">
        <v>69</v>
      </c>
      <c r="G114" s="8" t="s">
        <v>96</v>
      </c>
      <c r="H114" s="8"/>
      <c r="I114" s="10">
        <v>44914</v>
      </c>
      <c r="J114" s="8" t="s">
        <v>1578</v>
      </c>
    </row>
    <row r="115" spans="1:10" x14ac:dyDescent="0.15">
      <c r="A115" s="7">
        <v>44915</v>
      </c>
      <c r="B115" s="8" t="s">
        <v>59</v>
      </c>
      <c r="C115" s="8" t="s">
        <v>59</v>
      </c>
      <c r="D115" s="9" t="str">
        <f>HYPERLINK("https://www.marklines.com/en/global/159","Stellantis, PSA, Tremery Plant")</f>
        <v>Stellantis, PSA, Tremery Plant</v>
      </c>
      <c r="E115" s="8" t="s">
        <v>596</v>
      </c>
      <c r="F115" s="8" t="s">
        <v>20</v>
      </c>
      <c r="G115" s="8" t="s">
        <v>86</v>
      </c>
      <c r="H115" s="8"/>
      <c r="I115" s="10">
        <v>44914</v>
      </c>
      <c r="J115" s="8" t="s">
        <v>1579</v>
      </c>
    </row>
    <row r="116" spans="1:10" x14ac:dyDescent="0.15">
      <c r="A116" s="7">
        <v>44915</v>
      </c>
      <c r="B116" s="8" t="s">
        <v>59</v>
      </c>
      <c r="C116" s="8" t="s">
        <v>59</v>
      </c>
      <c r="D116" s="9" t="str">
        <f>HYPERLINK("https://www.marklines.com/en/global/9974","Nidec PSA emotors")</f>
        <v>Nidec PSA emotors</v>
      </c>
      <c r="E116" s="8" t="s">
        <v>269</v>
      </c>
      <c r="F116" s="8" t="s">
        <v>20</v>
      </c>
      <c r="G116" s="8" t="s">
        <v>86</v>
      </c>
      <c r="H116" s="8"/>
      <c r="I116" s="10">
        <v>44914</v>
      </c>
      <c r="J116" s="8" t="s">
        <v>1579</v>
      </c>
    </row>
    <row r="117" spans="1:10" x14ac:dyDescent="0.15">
      <c r="A117" s="7">
        <v>44915</v>
      </c>
      <c r="B117" s="8" t="s">
        <v>30</v>
      </c>
      <c r="C117" s="8" t="s">
        <v>30</v>
      </c>
      <c r="D117" s="9" t="str">
        <f>HYPERLINK("https://www.marklines.com/en/global/1699","Toyota Motor Manufacturing Poland Sp. zo.o. (TMMP), Walbrzych Plant")</f>
        <v>Toyota Motor Manufacturing Poland Sp. zo.o. (TMMP), Walbrzych Plant</v>
      </c>
      <c r="E117" s="8" t="s">
        <v>1580</v>
      </c>
      <c r="F117" s="8" t="s">
        <v>21</v>
      </c>
      <c r="G117" s="8" t="s">
        <v>93</v>
      </c>
      <c r="H117" s="8"/>
      <c r="I117" s="10">
        <v>44914</v>
      </c>
      <c r="J117" s="8" t="s">
        <v>1581</v>
      </c>
    </row>
    <row r="118" spans="1:10" x14ac:dyDescent="0.15">
      <c r="A118" s="7">
        <v>44915</v>
      </c>
      <c r="B118" s="8" t="s">
        <v>30</v>
      </c>
      <c r="C118" s="8" t="s">
        <v>30</v>
      </c>
      <c r="D118" s="9" t="str">
        <f>HYPERLINK("https://www.marklines.com/en/global/1445","Toyota Motor Manufacturing Turkey Inc. (TMMT), Sakarya (Adapazari) Plant")</f>
        <v>Toyota Motor Manufacturing Turkey Inc. (TMMT), Sakarya (Adapazari) Plant</v>
      </c>
      <c r="E118" s="8" t="s">
        <v>1582</v>
      </c>
      <c r="F118" s="8" t="s">
        <v>295</v>
      </c>
      <c r="G118" s="8" t="s">
        <v>296</v>
      </c>
      <c r="H118" s="8"/>
      <c r="I118" s="10">
        <v>44914</v>
      </c>
      <c r="J118" s="8" t="s">
        <v>1583</v>
      </c>
    </row>
    <row r="119" spans="1:10" x14ac:dyDescent="0.15">
      <c r="A119" s="7">
        <v>44915</v>
      </c>
      <c r="B119" s="8" t="s">
        <v>30</v>
      </c>
      <c r="C119" s="8" t="s">
        <v>30</v>
      </c>
      <c r="D119" s="9" t="str">
        <f>HYPERLINK("https://www.marklines.com/en/global/2379","Toyota Motor Manufacturing (UK)Ltd. (TMUK), Burnaston Plant")</f>
        <v>Toyota Motor Manufacturing (UK)Ltd. (TMUK), Burnaston Plant</v>
      </c>
      <c r="E119" s="8" t="s">
        <v>1207</v>
      </c>
      <c r="F119" s="8" t="s">
        <v>20</v>
      </c>
      <c r="G119" s="8" t="s">
        <v>98</v>
      </c>
      <c r="H119" s="8"/>
      <c r="I119" s="10">
        <v>44914</v>
      </c>
      <c r="J119" s="8" t="s">
        <v>1583</v>
      </c>
    </row>
    <row r="120" spans="1:10" x14ac:dyDescent="0.15">
      <c r="A120" s="7">
        <v>44915</v>
      </c>
      <c r="B120" s="8" t="s">
        <v>30</v>
      </c>
      <c r="C120" s="8" t="s">
        <v>30</v>
      </c>
      <c r="D120" s="9" t="str">
        <f>HYPERLINK("https://www.marklines.com/en/global/2381","Toyota Motor Manufacturing (UK)Ltd. (TMUK), Deeside Plant")</f>
        <v>Toyota Motor Manufacturing (UK)Ltd. (TMUK), Deeside Plant</v>
      </c>
      <c r="E120" s="8" t="s">
        <v>150</v>
      </c>
      <c r="F120" s="8" t="s">
        <v>20</v>
      </c>
      <c r="G120" s="8" t="s">
        <v>98</v>
      </c>
      <c r="H120" s="8"/>
      <c r="I120" s="10">
        <v>44914</v>
      </c>
      <c r="J120" s="8" t="s">
        <v>1583</v>
      </c>
    </row>
    <row r="121" spans="1:10" x14ac:dyDescent="0.15">
      <c r="A121" s="7">
        <v>44915</v>
      </c>
      <c r="B121" s="8" t="s">
        <v>27</v>
      </c>
      <c r="C121" s="8" t="s">
        <v>27</v>
      </c>
      <c r="D121" s="9" t="str">
        <f>HYPERLINK("https://www.marklines.com/en/global/2207","BMW AG, Dingolfing Plant")</f>
        <v>BMW AG, Dingolfing Plant</v>
      </c>
      <c r="E121" s="8" t="s">
        <v>42</v>
      </c>
      <c r="F121" s="8" t="s">
        <v>20</v>
      </c>
      <c r="G121" s="8" t="s">
        <v>29</v>
      </c>
      <c r="H121" s="8"/>
      <c r="I121" s="10">
        <v>44914</v>
      </c>
      <c r="J121" s="8" t="s">
        <v>1584</v>
      </c>
    </row>
    <row r="122" spans="1:10" x14ac:dyDescent="0.15">
      <c r="A122" s="7">
        <v>44915</v>
      </c>
      <c r="B122" s="8" t="s">
        <v>289</v>
      </c>
      <c r="C122" s="8" t="s">
        <v>925</v>
      </c>
      <c r="D122" s="9" t="str">
        <f>HYPERLINK("https://www.marklines.com/en/global/1849","SC Automobile Dacia SA, Mioveni Plant - Vehicle Assembly ")</f>
        <v xml:space="preserve">SC Automobile Dacia SA, Mioveni Plant - Vehicle Assembly </v>
      </c>
      <c r="E122" s="8" t="s">
        <v>926</v>
      </c>
      <c r="F122" s="8" t="s">
        <v>21</v>
      </c>
      <c r="G122" s="8" t="s">
        <v>641</v>
      </c>
      <c r="H122" s="8"/>
      <c r="I122" s="10">
        <v>44914</v>
      </c>
      <c r="J122" s="8" t="s">
        <v>1585</v>
      </c>
    </row>
    <row r="123" spans="1:10" x14ac:dyDescent="0.15">
      <c r="A123" s="7">
        <v>44915</v>
      </c>
      <c r="B123" s="8" t="s">
        <v>57</v>
      </c>
      <c r="C123" s="8" t="s">
        <v>57</v>
      </c>
      <c r="D123" s="9" t="str">
        <f>HYPERLINK("https://www.marklines.com/en/global/709","Hyundai Motor Manufacturing Russia (HMMR), Kamenka (St. Petersburg)  Plant")</f>
        <v>Hyundai Motor Manufacturing Russia (HMMR), Kamenka (St. Petersburg)  Plant</v>
      </c>
      <c r="E123" s="8" t="s">
        <v>1586</v>
      </c>
      <c r="F123" s="8" t="s">
        <v>21</v>
      </c>
      <c r="G123" s="8" t="s">
        <v>16</v>
      </c>
      <c r="H123" s="8"/>
      <c r="I123" s="10">
        <v>44914</v>
      </c>
      <c r="J123" s="8" t="s">
        <v>1587</v>
      </c>
    </row>
    <row r="124" spans="1:10" x14ac:dyDescent="0.15">
      <c r="A124" s="7">
        <v>44915</v>
      </c>
      <c r="B124" s="8" t="s">
        <v>1080</v>
      </c>
      <c r="C124" s="8" t="s">
        <v>1080</v>
      </c>
      <c r="D124" s="9" t="str">
        <f>HYPERLINK("https://www.marklines.com/en/global/3349","FAW Jiefang Automotive Co., Ltd.")</f>
        <v>FAW Jiefang Automotive Co., Ltd.</v>
      </c>
      <c r="E124" s="8" t="s">
        <v>1588</v>
      </c>
      <c r="F124" s="8" t="s">
        <v>25</v>
      </c>
      <c r="G124" s="8" t="s">
        <v>71</v>
      </c>
      <c r="H124" s="8" t="s">
        <v>583</v>
      </c>
      <c r="I124" s="10">
        <v>44911</v>
      </c>
      <c r="J124" s="8" t="s">
        <v>1589</v>
      </c>
    </row>
    <row r="125" spans="1:10" x14ac:dyDescent="0.15">
      <c r="A125" s="7">
        <v>44915</v>
      </c>
      <c r="B125" s="8" t="s">
        <v>30</v>
      </c>
      <c r="C125" s="8" t="s">
        <v>30</v>
      </c>
      <c r="D125" s="9" t="str">
        <f>HYPERLINK("https://www.marklines.com/en/global/2811","Toyota Argentina S.A. (TASA), Zarate Plant")</f>
        <v>Toyota Argentina S.A. (TASA), Zarate Plant</v>
      </c>
      <c r="E125" s="8" t="s">
        <v>576</v>
      </c>
      <c r="F125" s="8" t="s">
        <v>24</v>
      </c>
      <c r="G125" s="8" t="s">
        <v>18</v>
      </c>
      <c r="H125" s="8"/>
      <c r="I125" s="10">
        <v>44911</v>
      </c>
      <c r="J125" s="8" t="s">
        <v>1590</v>
      </c>
    </row>
    <row r="126" spans="1:10" x14ac:dyDescent="0.15">
      <c r="A126" s="7">
        <v>44915</v>
      </c>
      <c r="B126" s="8" t="s">
        <v>82</v>
      </c>
      <c r="C126" s="8" t="s">
        <v>82</v>
      </c>
      <c r="D126" s="9" t="str">
        <f>HYPERLINK("https://www.marklines.com/en/global/4073","Guangzhou Automobile Group Co., Ltd. (GAC)")</f>
        <v>Guangzhou Automobile Group Co., Ltd. (GAC)</v>
      </c>
      <c r="E126" s="8" t="s">
        <v>827</v>
      </c>
      <c r="F126" s="8" t="s">
        <v>25</v>
      </c>
      <c r="G126" s="8" t="s">
        <v>71</v>
      </c>
      <c r="H126" s="8" t="s">
        <v>83</v>
      </c>
      <c r="I126" s="10">
        <v>44910</v>
      </c>
      <c r="J126" s="8" t="s">
        <v>1591</v>
      </c>
    </row>
    <row r="127" spans="1:10" x14ac:dyDescent="0.15">
      <c r="A127" s="7">
        <v>44915</v>
      </c>
      <c r="B127" s="8" t="s">
        <v>76</v>
      </c>
      <c r="C127" s="8" t="s">
        <v>620</v>
      </c>
      <c r="D127" s="9" t="str">
        <f>HYPERLINK("https://www.marklines.com/en/global/9345","Geely Sichuan Commercial Vehicle Co., Ltd.")</f>
        <v>Geely Sichuan Commercial Vehicle Co., Ltd.</v>
      </c>
      <c r="E127" s="8" t="s">
        <v>621</v>
      </c>
      <c r="F127" s="8" t="s">
        <v>25</v>
      </c>
      <c r="G127" s="8" t="s">
        <v>71</v>
      </c>
      <c r="H127" s="8" t="s">
        <v>367</v>
      </c>
      <c r="I127" s="10">
        <v>44910</v>
      </c>
      <c r="J127" s="8" t="s">
        <v>1592</v>
      </c>
    </row>
    <row r="128" spans="1:10" x14ac:dyDescent="0.15">
      <c r="A128" s="7">
        <v>44914</v>
      </c>
      <c r="B128" s="8" t="s">
        <v>15</v>
      </c>
      <c r="C128" s="8" t="s">
        <v>135</v>
      </c>
      <c r="D128" s="9" t="str">
        <f>HYPERLINK("https://www.marklines.com/en/global/10409","Zavolzhsky Motor Plant (ZMZ), Sollers Group")</f>
        <v>Zavolzhsky Motor Plant (ZMZ), Sollers Group</v>
      </c>
      <c r="E128" s="8" t="s">
        <v>1593</v>
      </c>
      <c r="F128" s="8" t="s">
        <v>21</v>
      </c>
      <c r="G128" s="8" t="s">
        <v>16</v>
      </c>
      <c r="H128" s="8"/>
      <c r="I128" s="10">
        <v>44914</v>
      </c>
      <c r="J128" s="8" t="s">
        <v>1594</v>
      </c>
    </row>
    <row r="129" spans="1:10" x14ac:dyDescent="0.15">
      <c r="A129" s="7">
        <v>44914</v>
      </c>
      <c r="B129" s="8" t="s">
        <v>11</v>
      </c>
      <c r="C129" s="8" t="s">
        <v>759</v>
      </c>
      <c r="D129" s="9" t="str">
        <f>HYPERLINK("https://www.marklines.com/en/global/2695","Scania AB, Södertälje Plant")</f>
        <v>Scania AB, Södertälje Plant</v>
      </c>
      <c r="E129" s="8" t="s">
        <v>760</v>
      </c>
      <c r="F129" s="8" t="s">
        <v>20</v>
      </c>
      <c r="G129" s="8" t="s">
        <v>34</v>
      </c>
      <c r="H129" s="8"/>
      <c r="I129" s="10">
        <v>44911</v>
      </c>
      <c r="J129" s="8" t="s">
        <v>1595</v>
      </c>
    </row>
    <row r="130" spans="1:10" x14ac:dyDescent="0.15">
      <c r="A130" s="7">
        <v>44914</v>
      </c>
      <c r="B130" s="8" t="s">
        <v>11</v>
      </c>
      <c r="C130" s="8" t="s">
        <v>759</v>
      </c>
      <c r="D130" s="9" t="str">
        <f>HYPERLINK("https://www.marklines.com/en/global/6443","former OOO MAN Truck &amp; Bus Production RUS, St. Peterburg Plant")</f>
        <v>former OOO MAN Truck &amp; Bus Production RUS, St. Peterburg Plant</v>
      </c>
      <c r="E130" s="8" t="s">
        <v>1596</v>
      </c>
      <c r="F130" s="8" t="s">
        <v>21</v>
      </c>
      <c r="G130" s="8" t="s">
        <v>16</v>
      </c>
      <c r="H130" s="8"/>
      <c r="I130" s="10">
        <v>44911</v>
      </c>
      <c r="J130" s="8" t="s">
        <v>1597</v>
      </c>
    </row>
    <row r="131" spans="1:10" x14ac:dyDescent="0.15">
      <c r="A131" s="7">
        <v>44914</v>
      </c>
      <c r="B131" s="8" t="s">
        <v>11</v>
      </c>
      <c r="C131" s="8" t="s">
        <v>341</v>
      </c>
      <c r="D131" s="9" t="str">
        <f>HYPERLINK("https://www.marklines.com/en/global/6443","former OOO MAN Truck &amp; Bus Production RUS, St. Peterburg Plant")</f>
        <v>former OOO MAN Truck &amp; Bus Production RUS, St. Peterburg Plant</v>
      </c>
      <c r="E131" s="8" t="s">
        <v>1596</v>
      </c>
      <c r="F131" s="8" t="s">
        <v>21</v>
      </c>
      <c r="G131" s="8" t="s">
        <v>16</v>
      </c>
      <c r="H131" s="8"/>
      <c r="I131" s="10">
        <v>44911</v>
      </c>
      <c r="J131" s="8" t="s">
        <v>1597</v>
      </c>
    </row>
    <row r="132" spans="1:10" x14ac:dyDescent="0.15">
      <c r="A132" s="7">
        <v>44914</v>
      </c>
      <c r="B132" s="8" t="s">
        <v>11</v>
      </c>
      <c r="C132" s="8" t="s">
        <v>176</v>
      </c>
      <c r="D132" s="9" t="str">
        <f>HYPERLINK("https://www.marklines.com/en/global/10307","ŠKODA AUTO DigiLab India (Pune)")</f>
        <v>ŠKODA AUTO DigiLab India (Pune)</v>
      </c>
      <c r="E132" s="8" t="s">
        <v>1598</v>
      </c>
      <c r="F132" s="8" t="s">
        <v>69</v>
      </c>
      <c r="G132" s="8" t="s">
        <v>70</v>
      </c>
      <c r="H132" s="8" t="s">
        <v>99</v>
      </c>
      <c r="I132" s="10">
        <v>44910</v>
      </c>
      <c r="J132" s="8" t="s">
        <v>1599</v>
      </c>
    </row>
    <row r="133" spans="1:10" x14ac:dyDescent="0.15">
      <c r="A133" s="7">
        <v>44914</v>
      </c>
      <c r="B133" s="8" t="s">
        <v>11</v>
      </c>
      <c r="C133" s="8" t="s">
        <v>176</v>
      </c>
      <c r="D133" s="9" t="str">
        <f>HYPERLINK("https://www.marklines.com/en/global/10571","Volkswagen Group Technology Solutions India Pvt. Ltd. (VWITS) (Pune)")</f>
        <v>Volkswagen Group Technology Solutions India Pvt. Ltd. (VWITS) (Pune)</v>
      </c>
      <c r="E133" s="8" t="s">
        <v>446</v>
      </c>
      <c r="F133" s="8" t="s">
        <v>69</v>
      </c>
      <c r="G133" s="8" t="s">
        <v>70</v>
      </c>
      <c r="H133" s="8" t="s">
        <v>99</v>
      </c>
      <c r="I133" s="10">
        <v>44910</v>
      </c>
      <c r="J133" s="8" t="s">
        <v>1599</v>
      </c>
    </row>
    <row r="134" spans="1:10" x14ac:dyDescent="0.15">
      <c r="A134" s="7">
        <v>44914</v>
      </c>
      <c r="B134" s="8" t="s">
        <v>76</v>
      </c>
      <c r="C134" s="8" t="s">
        <v>76</v>
      </c>
      <c r="D134" s="9" t="str">
        <f>HYPERLINK("https://www.marklines.com/en/global/3807","Zhejiang Geely Holding Group Co., Ltd.")</f>
        <v>Zhejiang Geely Holding Group Co., Ltd.</v>
      </c>
      <c r="E134" s="8" t="s">
        <v>719</v>
      </c>
      <c r="F134" s="8" t="s">
        <v>25</v>
      </c>
      <c r="G134" s="8" t="s">
        <v>71</v>
      </c>
      <c r="H134" s="8" t="s">
        <v>78</v>
      </c>
      <c r="I134" s="10">
        <v>44910</v>
      </c>
      <c r="J134" s="8" t="s">
        <v>1600</v>
      </c>
    </row>
    <row r="135" spans="1:10" x14ac:dyDescent="0.15">
      <c r="A135" s="7">
        <v>44914</v>
      </c>
      <c r="B135" s="8" t="s">
        <v>82</v>
      </c>
      <c r="C135" s="8" t="s">
        <v>82</v>
      </c>
      <c r="D135" s="9" t="str">
        <f>HYPERLINK("https://www.marklines.com/en/global/4073","Guangzhou Automobile Group Co., Ltd. (GAC)")</f>
        <v>Guangzhou Automobile Group Co., Ltd. (GAC)</v>
      </c>
      <c r="E135" s="8" t="s">
        <v>827</v>
      </c>
      <c r="F135" s="8" t="s">
        <v>25</v>
      </c>
      <c r="G135" s="8" t="s">
        <v>71</v>
      </c>
      <c r="H135" s="8" t="s">
        <v>83</v>
      </c>
      <c r="I135" s="10">
        <v>44909</v>
      </c>
      <c r="J135" s="8" t="s">
        <v>1601</v>
      </c>
    </row>
    <row r="136" spans="1:10" x14ac:dyDescent="0.15">
      <c r="A136" s="7">
        <v>44914</v>
      </c>
      <c r="B136" s="8" t="s">
        <v>87</v>
      </c>
      <c r="C136" s="8" t="s">
        <v>88</v>
      </c>
      <c r="D136" s="9" t="str">
        <f>HYPERLINK("https://www.marklines.com/en/global/3427","Beijing Benz Automotive Co., Ltd.")</f>
        <v>Beijing Benz Automotive Co., Ltd.</v>
      </c>
      <c r="E136" s="8" t="s">
        <v>1078</v>
      </c>
      <c r="F136" s="8" t="s">
        <v>25</v>
      </c>
      <c r="G136" s="8" t="s">
        <v>71</v>
      </c>
      <c r="H136" s="8" t="s">
        <v>437</v>
      </c>
      <c r="I136" s="10">
        <v>44909</v>
      </c>
      <c r="J136" s="8" t="s">
        <v>1602</v>
      </c>
    </row>
    <row r="137" spans="1:10" x14ac:dyDescent="0.15">
      <c r="A137" s="7">
        <v>44914</v>
      </c>
      <c r="B137" s="8" t="s">
        <v>57</v>
      </c>
      <c r="C137" s="8" t="s">
        <v>57</v>
      </c>
      <c r="D137" s="9" t="str">
        <f>HYPERLINK("https://www.marklines.com/en/global/3435","Beijing Hyundai Motor Co., Ltd. Beijing Branch Renhe Plant (formerly Beijing Hyundai Motor Co., Ltd., Second Plant)")</f>
        <v>Beijing Hyundai Motor Co., Ltd. Beijing Branch Renhe Plant (formerly Beijing Hyundai Motor Co., Ltd., Second Plant)</v>
      </c>
      <c r="E137" s="8" t="s">
        <v>1603</v>
      </c>
      <c r="F137" s="8" t="s">
        <v>25</v>
      </c>
      <c r="G137" s="8" t="s">
        <v>71</v>
      </c>
      <c r="H137" s="8" t="s">
        <v>437</v>
      </c>
      <c r="I137" s="10">
        <v>44909</v>
      </c>
      <c r="J137" s="8" t="s">
        <v>1602</v>
      </c>
    </row>
    <row r="138" spans="1:10" x14ac:dyDescent="0.15">
      <c r="A138" s="7">
        <v>44914</v>
      </c>
      <c r="B138" s="8" t="s">
        <v>439</v>
      </c>
      <c r="C138" s="8" t="s">
        <v>439</v>
      </c>
      <c r="D138" s="9" t="str">
        <f>HYPERLINK("https://www.marklines.com/en/global/9129","Beijing Automotive Group Off-road vehicle Co., Ltd.,")</f>
        <v>Beijing Automotive Group Off-road vehicle Co., Ltd.,</v>
      </c>
      <c r="E138" s="8" t="s">
        <v>1091</v>
      </c>
      <c r="F138" s="8" t="s">
        <v>25</v>
      </c>
      <c r="G138" s="8" t="s">
        <v>71</v>
      </c>
      <c r="H138" s="8" t="s">
        <v>437</v>
      </c>
      <c r="I138" s="10">
        <v>44909</v>
      </c>
      <c r="J138" s="8" t="s">
        <v>1602</v>
      </c>
    </row>
    <row r="139" spans="1:10" x14ac:dyDescent="0.15">
      <c r="A139" s="7">
        <v>44914</v>
      </c>
      <c r="B139" s="8" t="s">
        <v>439</v>
      </c>
      <c r="C139" s="8" t="s">
        <v>704</v>
      </c>
      <c r="D139" s="9" t="str">
        <f>HYPERLINK("https://www.marklines.com/en/global/8901","Beiqi Foton Motor Co., Ltd., Beijing New Energy Bus Branch")</f>
        <v>Beiqi Foton Motor Co., Ltd., Beijing New Energy Bus Branch</v>
      </c>
      <c r="E139" s="8" t="s">
        <v>1604</v>
      </c>
      <c r="F139" s="8" t="s">
        <v>25</v>
      </c>
      <c r="G139" s="8" t="s">
        <v>71</v>
      </c>
      <c r="H139" s="8" t="s">
        <v>437</v>
      </c>
      <c r="I139" s="10">
        <v>44909</v>
      </c>
      <c r="J139" s="8" t="s">
        <v>1602</v>
      </c>
    </row>
    <row r="140" spans="1:10" x14ac:dyDescent="0.15">
      <c r="A140" s="7">
        <v>44914</v>
      </c>
      <c r="B140" s="8" t="s">
        <v>439</v>
      </c>
      <c r="C140" s="8" t="s">
        <v>704</v>
      </c>
      <c r="D140" s="9" t="str">
        <f>HYPERLINK("https://www.marklines.com/en/global/3425","Beiqi Foton Motor Co., Ltd.")</f>
        <v>Beiqi Foton Motor Co., Ltd.</v>
      </c>
      <c r="E140" s="8" t="s">
        <v>705</v>
      </c>
      <c r="F140" s="8" t="s">
        <v>25</v>
      </c>
      <c r="G140" s="8" t="s">
        <v>71</v>
      </c>
      <c r="H140" s="8" t="s">
        <v>437</v>
      </c>
      <c r="I140" s="10">
        <v>44909</v>
      </c>
      <c r="J140" s="8" t="s">
        <v>1602</v>
      </c>
    </row>
    <row r="141" spans="1:10" x14ac:dyDescent="0.15">
      <c r="A141" s="7">
        <v>44914</v>
      </c>
      <c r="B141" s="8" t="s">
        <v>73</v>
      </c>
      <c r="C141" s="8" t="s">
        <v>74</v>
      </c>
      <c r="D141" s="9" t="str">
        <f>HYPERLINK("https://www.marklines.com/en/global/3429","Beijing Foton Daimler Automotive Co., Ltd. (BFDA)")</f>
        <v>Beijing Foton Daimler Automotive Co., Ltd. (BFDA)</v>
      </c>
      <c r="E141" s="8" t="s">
        <v>1396</v>
      </c>
      <c r="F141" s="8" t="s">
        <v>25</v>
      </c>
      <c r="G141" s="8" t="s">
        <v>71</v>
      </c>
      <c r="H141" s="8" t="s">
        <v>437</v>
      </c>
      <c r="I141" s="10">
        <v>44909</v>
      </c>
      <c r="J141" s="8" t="s">
        <v>1602</v>
      </c>
    </row>
    <row r="142" spans="1:10" x14ac:dyDescent="0.15">
      <c r="A142" s="7">
        <v>44914</v>
      </c>
      <c r="B142" s="8" t="s">
        <v>1080</v>
      </c>
      <c r="C142" s="8" t="s">
        <v>1080</v>
      </c>
      <c r="D142" s="9" t="str">
        <f>HYPERLINK("https://www.marklines.com/en/global/8907","FAW Vehicle Manufacturers SA (Pty) Ltd., Coega plant")</f>
        <v>FAW Vehicle Manufacturers SA (Pty) Ltd., Coega plant</v>
      </c>
      <c r="E142" s="8" t="s">
        <v>1081</v>
      </c>
      <c r="F142" s="8" t="s">
        <v>129</v>
      </c>
      <c r="G142" s="8" t="s">
        <v>130</v>
      </c>
      <c r="H142" s="8"/>
      <c r="I142" s="10">
        <v>44908</v>
      </c>
      <c r="J142" s="8" t="s">
        <v>1605</v>
      </c>
    </row>
    <row r="143" spans="1:10" x14ac:dyDescent="0.15">
      <c r="A143" s="7">
        <v>44914</v>
      </c>
      <c r="B143" s="8" t="s">
        <v>100</v>
      </c>
      <c r="C143" s="8" t="s">
        <v>1606</v>
      </c>
      <c r="D143" s="9" t="str">
        <f>HYPERLINK("https://www.marklines.com/en/global/3735","Nanjing Automobile(Group)Corporation")</f>
        <v>Nanjing Automobile(Group)Corporation</v>
      </c>
      <c r="E143" s="8" t="s">
        <v>1553</v>
      </c>
      <c r="F143" s="8" t="s">
        <v>25</v>
      </c>
      <c r="G143" s="8" t="s">
        <v>71</v>
      </c>
      <c r="H143" s="8" t="s">
        <v>351</v>
      </c>
      <c r="I143" s="10">
        <v>44907</v>
      </c>
      <c r="J143" s="8" t="s">
        <v>1607</v>
      </c>
    </row>
    <row r="144" spans="1:10" x14ac:dyDescent="0.15">
      <c r="A144" s="7">
        <v>44914</v>
      </c>
      <c r="B144" s="8" t="s">
        <v>56</v>
      </c>
      <c r="C144" s="8" t="s">
        <v>56</v>
      </c>
      <c r="D144" s="9" t="str">
        <f>HYPERLINK("https://www.marklines.com/en/global/1561","Ford Vietnam Ltd., Hai Duong Plant")</f>
        <v>Ford Vietnam Ltd., Hai Duong Plant</v>
      </c>
      <c r="E144" s="8" t="s">
        <v>1008</v>
      </c>
      <c r="F144" s="8" t="s">
        <v>22</v>
      </c>
      <c r="G144" s="8" t="s">
        <v>712</v>
      </c>
      <c r="H144" s="8"/>
      <c r="I144" s="10">
        <v>44903</v>
      </c>
      <c r="J144" s="8" t="s">
        <v>1608</v>
      </c>
    </row>
    <row r="145" spans="1:10" x14ac:dyDescent="0.15">
      <c r="A145" s="7">
        <v>44912</v>
      </c>
      <c r="B145" s="8" t="s">
        <v>56</v>
      </c>
      <c r="C145" s="8" t="s">
        <v>56</v>
      </c>
      <c r="D145" s="9" t="str">
        <f>HYPERLINK("https://www.marklines.com/en/global/2143","Ford Motor Germany, Cologne (Koln)-Niehl Plant")</f>
        <v>Ford Motor Germany, Cologne (Koln)-Niehl Plant</v>
      </c>
      <c r="E145" s="8" t="s">
        <v>491</v>
      </c>
      <c r="F145" s="8" t="s">
        <v>20</v>
      </c>
      <c r="G145" s="8" t="s">
        <v>29</v>
      </c>
      <c r="H145" s="8"/>
      <c r="I145" s="10">
        <v>44911</v>
      </c>
      <c r="J145" s="8" t="s">
        <v>1609</v>
      </c>
    </row>
    <row r="146" spans="1:10" x14ac:dyDescent="0.15">
      <c r="A146" s="7">
        <v>44912</v>
      </c>
      <c r="B146" s="8" t="s">
        <v>17</v>
      </c>
      <c r="C146" s="8" t="s">
        <v>17</v>
      </c>
      <c r="D146" s="9" t="str">
        <f>HYPERLINK("https://www.marklines.com/en/global/3121","Honda Manufacturing of Alabama, LLC (HMA), Lincoln Plant")</f>
        <v>Honda Manufacturing of Alabama, LLC (HMA), Lincoln Plant</v>
      </c>
      <c r="E146" s="8" t="s">
        <v>937</v>
      </c>
      <c r="F146" s="8" t="s">
        <v>19</v>
      </c>
      <c r="G146" s="8" t="s">
        <v>12</v>
      </c>
      <c r="H146" s="8" t="s">
        <v>273</v>
      </c>
      <c r="I146" s="10">
        <v>44910</v>
      </c>
      <c r="J146" s="8" t="s">
        <v>1610</v>
      </c>
    </row>
    <row r="147" spans="1:10" x14ac:dyDescent="0.15">
      <c r="A147" s="7">
        <v>44912</v>
      </c>
      <c r="B147" s="8" t="s">
        <v>17</v>
      </c>
      <c r="C147" s="8" t="s">
        <v>17</v>
      </c>
      <c r="D147" s="9" t="str">
        <f>HYPERLINK("https://www.marklines.com/en/global/3137","Honda Precision Parts of Georgia, LLC (HPPG), Tallapoosa Plant")</f>
        <v>Honda Precision Parts of Georgia, LLC (HPPG), Tallapoosa Plant</v>
      </c>
      <c r="E147" s="8" t="s">
        <v>1611</v>
      </c>
      <c r="F147" s="8" t="s">
        <v>19</v>
      </c>
      <c r="G147" s="8" t="s">
        <v>12</v>
      </c>
      <c r="H147" s="8" t="s">
        <v>814</v>
      </c>
      <c r="I147" s="10">
        <v>44910</v>
      </c>
      <c r="J147" s="8" t="s">
        <v>1610</v>
      </c>
    </row>
    <row r="148" spans="1:10" x14ac:dyDescent="0.15">
      <c r="A148" s="7">
        <v>44912</v>
      </c>
      <c r="B148" s="8" t="s">
        <v>17</v>
      </c>
      <c r="C148" s="8" t="s">
        <v>17</v>
      </c>
      <c r="D148" s="9" t="str">
        <f>HYPERLINK("https://www.marklines.com/en/global/3113","Honda of America Manufacturing Inc., Anna Plant")</f>
        <v>Honda of America Manufacturing Inc., Anna Plant</v>
      </c>
      <c r="E148" s="8" t="s">
        <v>307</v>
      </c>
      <c r="F148" s="8" t="s">
        <v>19</v>
      </c>
      <c r="G148" s="8" t="s">
        <v>12</v>
      </c>
      <c r="H148" s="8" t="s">
        <v>48</v>
      </c>
      <c r="I148" s="10">
        <v>44910</v>
      </c>
      <c r="J148" s="8" t="s">
        <v>1610</v>
      </c>
    </row>
    <row r="149" spans="1:10" x14ac:dyDescent="0.15">
      <c r="A149" s="7">
        <v>44912</v>
      </c>
      <c r="B149" s="8" t="s">
        <v>1020</v>
      </c>
      <c r="C149" s="8" t="s">
        <v>1020</v>
      </c>
      <c r="D149" s="9" t="str">
        <f>HYPERLINK("https://www.marklines.com/en/global/9603","Faraday Future Intelligent Electric Inc., Hanford Plant (FF ieFactory California)")</f>
        <v>Faraday Future Intelligent Electric Inc., Hanford Plant (FF ieFactory California)</v>
      </c>
      <c r="E149" s="8" t="s">
        <v>1021</v>
      </c>
      <c r="F149" s="8" t="s">
        <v>19</v>
      </c>
      <c r="G149" s="8" t="s">
        <v>12</v>
      </c>
      <c r="H149" s="8" t="s">
        <v>608</v>
      </c>
      <c r="I149" s="10">
        <v>44910</v>
      </c>
      <c r="J149" s="8" t="s">
        <v>1612</v>
      </c>
    </row>
    <row r="150" spans="1:10" x14ac:dyDescent="0.15">
      <c r="A150" s="7">
        <v>44911</v>
      </c>
      <c r="B150" s="8" t="s">
        <v>15</v>
      </c>
      <c r="C150" s="8" t="s">
        <v>178</v>
      </c>
      <c r="D150" s="9" t="str">
        <f>HYPERLINK("https://www.marklines.com/en/global/10553","Ebusco B.V., Deurne Plant")</f>
        <v>Ebusco B.V., Deurne Plant</v>
      </c>
      <c r="E150" s="8" t="s">
        <v>179</v>
      </c>
      <c r="F150" s="8" t="s">
        <v>20</v>
      </c>
      <c r="G150" s="8" t="s">
        <v>147</v>
      </c>
      <c r="H150" s="8"/>
      <c r="I150" s="10">
        <v>44911</v>
      </c>
      <c r="J150" s="8" t="s">
        <v>1404</v>
      </c>
    </row>
    <row r="151" spans="1:10" x14ac:dyDescent="0.15">
      <c r="A151" s="7">
        <v>44911</v>
      </c>
      <c r="B151" s="8" t="s">
        <v>1044</v>
      </c>
      <c r="C151" s="8" t="s">
        <v>1045</v>
      </c>
      <c r="D151" s="9" t="str">
        <f>HYPERLINK("https://www.marklines.com/en/global/1201","Mahindra, Chakan Plant")</f>
        <v>Mahindra, Chakan Plant</v>
      </c>
      <c r="E151" s="8" t="s">
        <v>1050</v>
      </c>
      <c r="F151" s="8" t="s">
        <v>69</v>
      </c>
      <c r="G151" s="8" t="s">
        <v>70</v>
      </c>
      <c r="H151" s="8" t="s">
        <v>99</v>
      </c>
      <c r="I151" s="10">
        <v>44910</v>
      </c>
      <c r="J151" s="8" t="s">
        <v>1405</v>
      </c>
    </row>
    <row r="152" spans="1:10" x14ac:dyDescent="0.15">
      <c r="A152" s="7">
        <v>44911</v>
      </c>
      <c r="B152" s="8" t="s">
        <v>279</v>
      </c>
      <c r="C152" s="8" t="s">
        <v>279</v>
      </c>
      <c r="D152" s="9" t="str">
        <f>HYPERLINK("https://www.marklines.com/en/global/671","ZAO AvtoTOR, Kaliningrad Plant")</f>
        <v>ZAO AvtoTOR, Kaliningrad Plant</v>
      </c>
      <c r="E152" s="8" t="s">
        <v>280</v>
      </c>
      <c r="F152" s="8" t="s">
        <v>21</v>
      </c>
      <c r="G152" s="8" t="s">
        <v>16</v>
      </c>
      <c r="H152" s="8"/>
      <c r="I152" s="10">
        <v>44910</v>
      </c>
      <c r="J152" s="8" t="s">
        <v>1406</v>
      </c>
    </row>
    <row r="153" spans="1:10" x14ac:dyDescent="0.15">
      <c r="A153" s="7">
        <v>44911</v>
      </c>
      <c r="B153" s="8" t="s">
        <v>11</v>
      </c>
      <c r="C153" s="8" t="s">
        <v>892</v>
      </c>
      <c r="D153" s="9" t="str">
        <f>HYPERLINK("https://www.marklines.com/en/global/1961","SEAT Componentes, El Prat de Llobregat Plant")</f>
        <v>SEAT Componentes, El Prat de Llobregat Plant</v>
      </c>
      <c r="E153" s="8" t="s">
        <v>1407</v>
      </c>
      <c r="F153" s="8" t="s">
        <v>20</v>
      </c>
      <c r="G153" s="8" t="s">
        <v>277</v>
      </c>
      <c r="H153" s="8"/>
      <c r="I153" s="10">
        <v>44910</v>
      </c>
      <c r="J153" s="8" t="s">
        <v>1408</v>
      </c>
    </row>
    <row r="154" spans="1:10" x14ac:dyDescent="0.15">
      <c r="A154" s="7">
        <v>44911</v>
      </c>
      <c r="B154" s="8" t="s">
        <v>94</v>
      </c>
      <c r="C154" s="8" t="s">
        <v>94</v>
      </c>
      <c r="D154" s="9" t="str">
        <f>HYPERLINK("https://www.marklines.com/en/global/499","Suzuki Motor, Sagara Plant")</f>
        <v>Suzuki Motor, Sagara Plant</v>
      </c>
      <c r="E154" s="8" t="s">
        <v>748</v>
      </c>
      <c r="F154" s="8" t="s">
        <v>25</v>
      </c>
      <c r="G154" s="8" t="s">
        <v>31</v>
      </c>
      <c r="H154" s="8" t="s">
        <v>161</v>
      </c>
      <c r="I154" s="10">
        <v>44910</v>
      </c>
      <c r="J154" s="8" t="s">
        <v>1409</v>
      </c>
    </row>
    <row r="155" spans="1:10" x14ac:dyDescent="0.15">
      <c r="A155" s="7">
        <v>44911</v>
      </c>
      <c r="B155" s="8" t="s">
        <v>467</v>
      </c>
      <c r="C155" s="8" t="s">
        <v>467</v>
      </c>
      <c r="D155" s="9" t="str">
        <f>HYPERLINK("https://www.marklines.com/en/global/10448","Nikola Coolidge Manufacturing Facility")</f>
        <v>Nikola Coolidge Manufacturing Facility</v>
      </c>
      <c r="E155" s="8" t="s">
        <v>468</v>
      </c>
      <c r="F155" s="8" t="s">
        <v>19</v>
      </c>
      <c r="G155" s="8" t="s">
        <v>12</v>
      </c>
      <c r="H155" s="8" t="s">
        <v>469</v>
      </c>
      <c r="I155" s="10">
        <v>44910</v>
      </c>
      <c r="J155" s="8" t="s">
        <v>1410</v>
      </c>
    </row>
    <row r="156" spans="1:10" x14ac:dyDescent="0.15">
      <c r="A156" s="7">
        <v>44911</v>
      </c>
      <c r="B156" s="8" t="s">
        <v>11</v>
      </c>
      <c r="C156" s="8" t="s">
        <v>26</v>
      </c>
      <c r="D156" s="9" t="str">
        <f>HYPERLINK("https://www.marklines.com/en/global/3031","Volkswagen Argentina S.A., Cordoba Plant")</f>
        <v>Volkswagen Argentina S.A., Cordoba Plant</v>
      </c>
      <c r="E156" s="8" t="s">
        <v>1411</v>
      </c>
      <c r="F156" s="8" t="s">
        <v>24</v>
      </c>
      <c r="G156" s="8" t="s">
        <v>18</v>
      </c>
      <c r="H156" s="8"/>
      <c r="I156" s="10">
        <v>44909</v>
      </c>
      <c r="J156" s="8" t="s">
        <v>1412</v>
      </c>
    </row>
    <row r="157" spans="1:10" x14ac:dyDescent="0.15">
      <c r="A157" s="7">
        <v>44911</v>
      </c>
      <c r="B157" s="8" t="s">
        <v>76</v>
      </c>
      <c r="C157" s="8" t="s">
        <v>781</v>
      </c>
      <c r="D157" s="9" t="str">
        <f>HYPERLINK("https://www.marklines.com/en/global/10387","Zeekr Automobile (Ningbo Hangzhou Bay New Zone) Co., Ltd. (formerly Ningbo Zeekr Intelligent Technology Co., Ltd.")</f>
        <v>Zeekr Automobile (Ningbo Hangzhou Bay New Zone) Co., Ltd. (formerly Ningbo Zeekr Intelligent Technology Co., Ltd.</v>
      </c>
      <c r="E157" s="8" t="s">
        <v>782</v>
      </c>
      <c r="F157" s="8" t="s">
        <v>25</v>
      </c>
      <c r="G157" s="8" t="s">
        <v>71</v>
      </c>
      <c r="H157" s="8" t="s">
        <v>78</v>
      </c>
      <c r="I157" s="10">
        <v>44908</v>
      </c>
      <c r="J157" s="8" t="s">
        <v>1413</v>
      </c>
    </row>
    <row r="158" spans="1:10" x14ac:dyDescent="0.15">
      <c r="A158" s="7">
        <v>44911</v>
      </c>
      <c r="B158" s="8" t="s">
        <v>101</v>
      </c>
      <c r="C158" s="8" t="s">
        <v>101</v>
      </c>
      <c r="D158" s="9" t="str">
        <f>HYPERLINK("https://www.marklines.com/en/global/3971","Dongfeng Motor Corporation ")</f>
        <v xml:space="preserve">Dongfeng Motor Corporation </v>
      </c>
      <c r="E158" s="8" t="s">
        <v>1414</v>
      </c>
      <c r="F158" s="8" t="s">
        <v>25</v>
      </c>
      <c r="G158" s="8" t="s">
        <v>71</v>
      </c>
      <c r="H158" s="8" t="s">
        <v>90</v>
      </c>
      <c r="I158" s="10">
        <v>44907</v>
      </c>
      <c r="J158" s="8" t="s">
        <v>1415</v>
      </c>
    </row>
    <row r="159" spans="1:10" x14ac:dyDescent="0.15">
      <c r="A159" s="7">
        <v>44911</v>
      </c>
      <c r="B159" s="8" t="s">
        <v>27</v>
      </c>
      <c r="C159" s="8" t="s">
        <v>27</v>
      </c>
      <c r="D159" s="9" t="str">
        <f>HYPERLINK("https://www.marklines.com/en/global/3485","BMW China Automotive Trading Ltd.(Formerly BMW Group Posh China Area) ")</f>
        <v xml:space="preserve">BMW China Automotive Trading Ltd.(Formerly BMW Group Posh China Area) </v>
      </c>
      <c r="E159" s="8" t="s">
        <v>1416</v>
      </c>
      <c r="F159" s="8" t="s">
        <v>25</v>
      </c>
      <c r="G159" s="8" t="s">
        <v>71</v>
      </c>
      <c r="H159" s="8" t="s">
        <v>437</v>
      </c>
      <c r="I159" s="10">
        <v>44907</v>
      </c>
      <c r="J159" s="8" t="s">
        <v>1417</v>
      </c>
    </row>
    <row r="160" spans="1:10" x14ac:dyDescent="0.15">
      <c r="A160" s="7">
        <v>44911</v>
      </c>
      <c r="B160" s="8" t="s">
        <v>1418</v>
      </c>
      <c r="C160" s="8" t="s">
        <v>1418</v>
      </c>
      <c r="D160" s="9" t="str">
        <f>HYPERLINK("https://www.marklines.com/en/global/10596","Lion Electric, Joliet plant")</f>
        <v>Lion Electric, Joliet plant</v>
      </c>
      <c r="E160" s="8" t="s">
        <v>1419</v>
      </c>
      <c r="F160" s="8" t="s">
        <v>19</v>
      </c>
      <c r="G160" s="8" t="s">
        <v>12</v>
      </c>
      <c r="H160" s="8" t="s">
        <v>1420</v>
      </c>
      <c r="I160" s="10">
        <v>44907</v>
      </c>
      <c r="J160" s="8" t="s">
        <v>1421</v>
      </c>
    </row>
    <row r="161" spans="1:10" x14ac:dyDescent="0.15">
      <c r="A161" s="7">
        <v>44911</v>
      </c>
      <c r="B161" s="8" t="s">
        <v>79</v>
      </c>
      <c r="C161" s="8" t="s">
        <v>79</v>
      </c>
      <c r="D161" s="9" t="str">
        <f>HYPERLINK("https://www.marklines.com/en/global/4163","Chongqing Changan Automobile Co., Ltd.")</f>
        <v>Chongqing Changan Automobile Co., Ltd.</v>
      </c>
      <c r="E161" s="8" t="s">
        <v>80</v>
      </c>
      <c r="F161" s="8" t="s">
        <v>25</v>
      </c>
      <c r="G161" s="8" t="s">
        <v>71</v>
      </c>
      <c r="H161" s="8" t="s">
        <v>81</v>
      </c>
      <c r="I161" s="10">
        <v>44904</v>
      </c>
      <c r="J161" s="8" t="s">
        <v>1422</v>
      </c>
    </row>
    <row r="162" spans="1:10" x14ac:dyDescent="0.15">
      <c r="A162" s="7">
        <v>44911</v>
      </c>
      <c r="B162" s="8" t="s">
        <v>101</v>
      </c>
      <c r="C162" s="8" t="s">
        <v>101</v>
      </c>
      <c r="D162" s="9" t="str">
        <f>HYPERLINK("https://www.marklines.com/en/global/3971","Dongfeng Motor Corporation ")</f>
        <v xml:space="preserve">Dongfeng Motor Corporation </v>
      </c>
      <c r="E162" s="8" t="s">
        <v>1414</v>
      </c>
      <c r="F162" s="8" t="s">
        <v>25</v>
      </c>
      <c r="G162" s="8" t="s">
        <v>71</v>
      </c>
      <c r="H162" s="8" t="s">
        <v>90</v>
      </c>
      <c r="I162" s="10">
        <v>44903</v>
      </c>
      <c r="J162" s="8" t="s">
        <v>1423</v>
      </c>
    </row>
    <row r="163" spans="1:10" x14ac:dyDescent="0.15">
      <c r="A163" s="7">
        <v>44911</v>
      </c>
      <c r="B163" s="8" t="s">
        <v>17</v>
      </c>
      <c r="C163" s="8" t="s">
        <v>17</v>
      </c>
      <c r="D163" s="9" t="str">
        <f>HYPERLINK("https://www.marklines.com/en/global/443","Honda Motor, Suzuka Factory")</f>
        <v>Honda Motor, Suzuka Factory</v>
      </c>
      <c r="E163" s="8" t="s">
        <v>43</v>
      </c>
      <c r="F163" s="8" t="s">
        <v>25</v>
      </c>
      <c r="G163" s="8" t="s">
        <v>31</v>
      </c>
      <c r="H163" s="8" t="s">
        <v>44</v>
      </c>
      <c r="I163" s="10">
        <v>44903</v>
      </c>
      <c r="J163" s="8" t="s">
        <v>1424</v>
      </c>
    </row>
    <row r="164" spans="1:10" x14ac:dyDescent="0.15">
      <c r="A164" s="7">
        <v>44911</v>
      </c>
      <c r="B164" s="8" t="s">
        <v>17</v>
      </c>
      <c r="C164" s="8" t="s">
        <v>17</v>
      </c>
      <c r="D164" s="9" t="str">
        <f>HYPERLINK("https://www.marklines.com/en/global/439","Honda Motor, Saitama Factory Automobile Plant")</f>
        <v>Honda Motor, Saitama Factory Automobile Plant</v>
      </c>
      <c r="E164" s="8" t="s">
        <v>45</v>
      </c>
      <c r="F164" s="8" t="s">
        <v>25</v>
      </c>
      <c r="G164" s="8" t="s">
        <v>31</v>
      </c>
      <c r="H164" s="8" t="s">
        <v>46</v>
      </c>
      <c r="I164" s="10">
        <v>44903</v>
      </c>
      <c r="J164" s="8" t="s">
        <v>1424</v>
      </c>
    </row>
    <row r="165" spans="1:10" x14ac:dyDescent="0.15">
      <c r="A165" s="7">
        <v>44911</v>
      </c>
      <c r="B165" s="8" t="s">
        <v>15</v>
      </c>
      <c r="C165" s="8" t="s">
        <v>1328</v>
      </c>
      <c r="D165" s="9" t="str">
        <f>HYPERLINK("https://www.marklines.com/en/global/2687","National Electric Vehicle Sweden AB (NEVS), Trollhattan Plant (Formerly Saab Automobile AB) ")</f>
        <v xml:space="preserve">National Electric Vehicle Sweden AB (NEVS), Trollhattan Plant (Formerly Saab Automobile AB) </v>
      </c>
      <c r="E165" s="8" t="s">
        <v>1329</v>
      </c>
      <c r="F165" s="8" t="s">
        <v>20</v>
      </c>
      <c r="G165" s="8" t="s">
        <v>34</v>
      </c>
      <c r="H165" s="8"/>
      <c r="I165" s="10">
        <v>44902</v>
      </c>
      <c r="J165" s="8" t="s">
        <v>1425</v>
      </c>
    </row>
    <row r="166" spans="1:10" x14ac:dyDescent="0.15">
      <c r="A166" s="7">
        <v>44911</v>
      </c>
      <c r="B166" s="8" t="s">
        <v>15</v>
      </c>
      <c r="C166" s="8" t="s">
        <v>1328</v>
      </c>
      <c r="D166" s="9" t="str">
        <f>HYPERLINK("https://www.marklines.com/en/global/2685","National Electric Vehicle Sweden AB (NEVS, Former: Saab Automobile AB) ")</f>
        <v xml:space="preserve">National Electric Vehicle Sweden AB (NEVS, Former: Saab Automobile AB) </v>
      </c>
      <c r="E166" s="8" t="s">
        <v>1426</v>
      </c>
      <c r="F166" s="8" t="s">
        <v>20</v>
      </c>
      <c r="G166" s="8" t="s">
        <v>34</v>
      </c>
      <c r="H166" s="8"/>
      <c r="I166" s="10">
        <v>44902</v>
      </c>
      <c r="J166" s="8" t="s">
        <v>1425</v>
      </c>
    </row>
    <row r="167" spans="1:10" x14ac:dyDescent="0.15">
      <c r="A167" s="7">
        <v>44910</v>
      </c>
      <c r="B167" s="8" t="s">
        <v>344</v>
      </c>
      <c r="C167" s="8" t="s">
        <v>345</v>
      </c>
      <c r="D167" s="9" t="str">
        <f>HYPERLINK("https://www.marklines.com/en/global/729","LLC ""LADA Izhevsk"", LADA Izhevsk Automotive Plant (formerly OJSC Izh-Avto, Izhevsk Automobilny Zavod) ")</f>
        <v xml:space="preserve">LLC "LADA Izhevsk", LADA Izhevsk Automotive Plant (formerly OJSC Izh-Avto, Izhevsk Automobilny Zavod) </v>
      </c>
      <c r="E167" s="8" t="s">
        <v>348</v>
      </c>
      <c r="F167" s="8" t="s">
        <v>21</v>
      </c>
      <c r="G167" s="8" t="s">
        <v>16</v>
      </c>
      <c r="H167" s="8"/>
      <c r="I167" s="10">
        <v>44910</v>
      </c>
      <c r="J167" s="8" t="s">
        <v>1427</v>
      </c>
    </row>
    <row r="168" spans="1:10" x14ac:dyDescent="0.15">
      <c r="A168" s="7">
        <v>44910</v>
      </c>
      <c r="B168" s="8" t="s">
        <v>11</v>
      </c>
      <c r="C168" s="8" t="s">
        <v>108</v>
      </c>
      <c r="D168" s="9" t="str">
        <f>HYPERLINK("https://www.marklines.com/en/global/1777","Audi Hungaria Zrt., Győr Plant (formerly Audi Hungaria Motor Kft.)")</f>
        <v>Audi Hungaria Zrt., Győr Plant (formerly Audi Hungaria Motor Kft.)</v>
      </c>
      <c r="E168" s="8" t="s">
        <v>494</v>
      </c>
      <c r="F168" s="8" t="s">
        <v>21</v>
      </c>
      <c r="G168" s="8" t="s">
        <v>495</v>
      </c>
      <c r="H168" s="8"/>
      <c r="I168" s="10">
        <v>44909</v>
      </c>
      <c r="J168" s="8" t="s">
        <v>1428</v>
      </c>
    </row>
    <row r="169" spans="1:10" x14ac:dyDescent="0.15">
      <c r="A169" s="7">
        <v>44910</v>
      </c>
      <c r="B169" s="8" t="s">
        <v>11</v>
      </c>
      <c r="C169" s="8" t="s">
        <v>108</v>
      </c>
      <c r="D169" s="9" t="str">
        <f>HYPERLINK("https://www.marklines.com/en/global/1514","Audi Brussels S.A./N.V., Brussels Plant")</f>
        <v>Audi Brussels S.A./N.V., Brussels Plant</v>
      </c>
      <c r="E169" s="8" t="s">
        <v>1069</v>
      </c>
      <c r="F169" s="8" t="s">
        <v>20</v>
      </c>
      <c r="G169" s="8" t="s">
        <v>109</v>
      </c>
      <c r="H169" s="8"/>
      <c r="I169" s="10">
        <v>44909</v>
      </c>
      <c r="J169" s="8" t="s">
        <v>1428</v>
      </c>
    </row>
    <row r="170" spans="1:10" x14ac:dyDescent="0.15">
      <c r="A170" s="7">
        <v>44910</v>
      </c>
      <c r="B170" s="8" t="s">
        <v>11</v>
      </c>
      <c r="C170" s="8" t="s">
        <v>26</v>
      </c>
      <c r="D170" s="9" t="str">
        <f>HYPERLINK("https://www.marklines.com/en/global/2265","Volkswagen AG, Brunswick (Braunschweig) Plant")</f>
        <v>Volkswagen AG, Brunswick (Braunschweig) Plant</v>
      </c>
      <c r="E170" s="8" t="s">
        <v>1429</v>
      </c>
      <c r="F170" s="8" t="s">
        <v>20</v>
      </c>
      <c r="G170" s="8" t="s">
        <v>29</v>
      </c>
      <c r="H170" s="8"/>
      <c r="I170" s="10">
        <v>44909</v>
      </c>
      <c r="J170" s="8" t="s">
        <v>1430</v>
      </c>
    </row>
    <row r="171" spans="1:10" x14ac:dyDescent="0.15">
      <c r="A171" s="7">
        <v>44910</v>
      </c>
      <c r="B171" s="8" t="s">
        <v>289</v>
      </c>
      <c r="C171" s="8" t="s">
        <v>289</v>
      </c>
      <c r="D171" s="9" t="str">
        <f>HYPERLINK("https://www.marklines.com/en/global/171","Renault S.A., Flins Plant - Refactory")</f>
        <v>Renault S.A., Flins Plant - Refactory</v>
      </c>
      <c r="E171" s="8" t="s">
        <v>293</v>
      </c>
      <c r="F171" s="8" t="s">
        <v>20</v>
      </c>
      <c r="G171" s="8" t="s">
        <v>86</v>
      </c>
      <c r="H171" s="8"/>
      <c r="I171" s="10">
        <v>44909</v>
      </c>
      <c r="J171" s="8" t="s">
        <v>1431</v>
      </c>
    </row>
    <row r="172" spans="1:10" x14ac:dyDescent="0.15">
      <c r="A172" s="7">
        <v>44910</v>
      </c>
      <c r="B172" s="8" t="s">
        <v>59</v>
      </c>
      <c r="C172" s="8" t="s">
        <v>265</v>
      </c>
      <c r="D172" s="9" t="str">
        <f>HYPERLINK("https://www.marklines.com/en/global/1931","Stellantis, Opel Espana de Automoviles, S.A., Zaragoza Plant")</f>
        <v>Stellantis, Opel Espana de Automoviles, S.A., Zaragoza Plant</v>
      </c>
      <c r="E172" s="8" t="s">
        <v>276</v>
      </c>
      <c r="F172" s="8" t="s">
        <v>20</v>
      </c>
      <c r="G172" s="8" t="s">
        <v>277</v>
      </c>
      <c r="H172" s="8"/>
      <c r="I172" s="10">
        <v>44909</v>
      </c>
      <c r="J172" s="8" t="s">
        <v>1432</v>
      </c>
    </row>
    <row r="173" spans="1:10" x14ac:dyDescent="0.15">
      <c r="A173" s="7">
        <v>44910</v>
      </c>
      <c r="B173" s="8" t="s">
        <v>753</v>
      </c>
      <c r="C173" s="8" t="s">
        <v>753</v>
      </c>
      <c r="D173" s="9" t="str">
        <f>HYPERLINK("https://www.marklines.com/en/global/10444","Anhui Jianghuai Automobile Group Corp., Ltd. New Energy Passenger Vehicle Branch Second Plant")</f>
        <v>Anhui Jianghuai Automobile Group Corp., Ltd. New Energy Passenger Vehicle Branch Second Plant</v>
      </c>
      <c r="E173" s="8" t="s">
        <v>953</v>
      </c>
      <c r="F173" s="8" t="s">
        <v>25</v>
      </c>
      <c r="G173" s="8" t="s">
        <v>71</v>
      </c>
      <c r="H173" s="8" t="s">
        <v>120</v>
      </c>
      <c r="I173" s="10">
        <v>44907</v>
      </c>
      <c r="J173" s="8" t="s">
        <v>1433</v>
      </c>
    </row>
    <row r="174" spans="1:10" x14ac:dyDescent="0.15">
      <c r="A174" s="7">
        <v>44910</v>
      </c>
      <c r="B174" s="8" t="s">
        <v>100</v>
      </c>
      <c r="C174" s="8" t="s">
        <v>113</v>
      </c>
      <c r="D174" s="9" t="str">
        <f>HYPERLINK("https://www.marklines.com/en/global/4153"," SAIC-GM-Wuling Automobile Co., Ltd. (SGMW)　")</f>
        <v xml:space="preserve"> SAIC-GM-Wuling Automobile Co., Ltd. (SGMW)　</v>
      </c>
      <c r="E174" s="8" t="s">
        <v>121</v>
      </c>
      <c r="F174" s="8" t="s">
        <v>25</v>
      </c>
      <c r="G174" s="8" t="s">
        <v>71</v>
      </c>
      <c r="H174" s="8" t="s">
        <v>122</v>
      </c>
      <c r="I174" s="10">
        <v>44907</v>
      </c>
      <c r="J174" s="8" t="s">
        <v>1434</v>
      </c>
    </row>
    <row r="175" spans="1:10" x14ac:dyDescent="0.15">
      <c r="A175" s="7">
        <v>44910</v>
      </c>
      <c r="B175" s="8" t="s">
        <v>1435</v>
      </c>
      <c r="C175" s="8" t="s">
        <v>1435</v>
      </c>
      <c r="D175" s="9" t="str">
        <f>HYPERLINK("https://www.marklines.com/en/global/9533"," ENOVATE Auto Technology Group Co., Ltd.")</f>
        <v xml:space="preserve"> ENOVATE Auto Technology Group Co., Ltd.</v>
      </c>
      <c r="E175" s="8" t="s">
        <v>1436</v>
      </c>
      <c r="F175" s="8" t="s">
        <v>25</v>
      </c>
      <c r="G175" s="8" t="s">
        <v>71</v>
      </c>
      <c r="H175" s="8" t="s">
        <v>78</v>
      </c>
      <c r="I175" s="10">
        <v>44907</v>
      </c>
      <c r="J175" s="8" t="s">
        <v>1437</v>
      </c>
    </row>
    <row r="176" spans="1:10" x14ac:dyDescent="0.15">
      <c r="A176" s="7">
        <v>44910</v>
      </c>
      <c r="B176" s="8" t="s">
        <v>1438</v>
      </c>
      <c r="C176" s="8" t="s">
        <v>1438</v>
      </c>
      <c r="D176" s="9" t="str">
        <f>HYPERLINK("https://www.marklines.com/en/global/3573","Haima Automobile Co.,Ltd.")</f>
        <v>Haima Automobile Co.,Ltd.</v>
      </c>
      <c r="E176" s="8" t="s">
        <v>1439</v>
      </c>
      <c r="F176" s="8" t="s">
        <v>25</v>
      </c>
      <c r="G176" s="8" t="s">
        <v>71</v>
      </c>
      <c r="H176" s="8" t="s">
        <v>1440</v>
      </c>
      <c r="I176" s="10">
        <v>44906</v>
      </c>
      <c r="J176" s="8" t="s">
        <v>1441</v>
      </c>
    </row>
    <row r="177" spans="1:10" x14ac:dyDescent="0.15">
      <c r="A177" s="7">
        <v>44910</v>
      </c>
      <c r="B177" s="8" t="s">
        <v>58</v>
      </c>
      <c r="C177" s="8" t="s">
        <v>58</v>
      </c>
      <c r="D177" s="9" t="str">
        <f>HYPERLINK("https://www.marklines.com/en/global/9273","Yibin Kaiyi Automobile Co., Ltd. (Formerly Wuhu Cowin Automobile Co., Ltd.)")</f>
        <v>Yibin Kaiyi Automobile Co., Ltd. (Formerly Wuhu Cowin Automobile Co., Ltd.)</v>
      </c>
      <c r="E177" s="8" t="s">
        <v>843</v>
      </c>
      <c r="F177" s="8" t="s">
        <v>25</v>
      </c>
      <c r="G177" s="8" t="s">
        <v>71</v>
      </c>
      <c r="H177" s="8" t="s">
        <v>120</v>
      </c>
      <c r="I177" s="10">
        <v>44905</v>
      </c>
      <c r="J177" s="8" t="s">
        <v>1442</v>
      </c>
    </row>
    <row r="178" spans="1:10" x14ac:dyDescent="0.15">
      <c r="A178" s="7">
        <v>44910</v>
      </c>
      <c r="B178" s="8" t="s">
        <v>478</v>
      </c>
      <c r="C178" s="8" t="s">
        <v>478</v>
      </c>
      <c r="D178" s="9" t="str">
        <f>HYPERLINK("https://www.marklines.com/en/global/4269","BYD Automobile Co., Ltd.")</f>
        <v>BYD Automobile Co., Ltd.</v>
      </c>
      <c r="E178" s="8" t="s">
        <v>1077</v>
      </c>
      <c r="F178" s="8" t="s">
        <v>25</v>
      </c>
      <c r="G178" s="8" t="s">
        <v>71</v>
      </c>
      <c r="H178" s="8" t="s">
        <v>727</v>
      </c>
      <c r="I178" s="10">
        <v>44904</v>
      </c>
      <c r="J178" s="8" t="s">
        <v>1443</v>
      </c>
    </row>
    <row r="179" spans="1:10" x14ac:dyDescent="0.15">
      <c r="A179" s="7">
        <v>44910</v>
      </c>
      <c r="B179" s="8" t="s">
        <v>101</v>
      </c>
      <c r="C179" s="8" t="s">
        <v>101</v>
      </c>
      <c r="D179" s="9" t="str">
        <f>HYPERLINK("https://www.marklines.com/en/global/10504","Dongfeng Motor Group Co., Ltd. Mengshi Automobile Technology Company (formerly Dongfeng Motor Group Co., Ltd. High-end EV Off-road Vehicle Plant)")</f>
        <v>Dongfeng Motor Group Co., Ltd. Mengshi Automobile Technology Company (formerly Dongfeng Motor Group Co., Ltd. High-end EV Off-road Vehicle Plant)</v>
      </c>
      <c r="E179" s="8" t="s">
        <v>1444</v>
      </c>
      <c r="F179" s="8" t="s">
        <v>25</v>
      </c>
      <c r="G179" s="8" t="s">
        <v>71</v>
      </c>
      <c r="H179" s="8" t="s">
        <v>90</v>
      </c>
      <c r="I179" s="10">
        <v>44904</v>
      </c>
      <c r="J179" s="8" t="s">
        <v>1445</v>
      </c>
    </row>
    <row r="180" spans="1:10" x14ac:dyDescent="0.15">
      <c r="A180" s="7">
        <v>44910</v>
      </c>
      <c r="B180" s="8" t="s">
        <v>59</v>
      </c>
      <c r="C180" s="8" t="s">
        <v>63</v>
      </c>
      <c r="D180" s="9" t="str">
        <f>HYPERLINK("https://www.marklines.com/en/global/9883","Stellantis, Peugeot Citroen Production Algeria (PCPA)")</f>
        <v>Stellantis, Peugeot Citroen Production Algeria (PCPA)</v>
      </c>
      <c r="E180" s="8" t="s">
        <v>300</v>
      </c>
      <c r="F180" s="8"/>
      <c r="G180" s="8" t="s">
        <v>301</v>
      </c>
      <c r="H180" s="8"/>
      <c r="I180" s="10">
        <v>44895</v>
      </c>
      <c r="J180" s="8" t="s">
        <v>1446</v>
      </c>
    </row>
    <row r="181" spans="1:10" x14ac:dyDescent="0.15">
      <c r="A181" s="7">
        <v>44909</v>
      </c>
      <c r="B181" s="8" t="s">
        <v>87</v>
      </c>
      <c r="C181" s="8" t="s">
        <v>88</v>
      </c>
      <c r="D181" s="9" t="str">
        <f>HYPERLINK("https://www.marklines.com/en/global/9833","SC Star Assembly SRL (STA), Sebeş Plant")</f>
        <v>SC Star Assembly SRL (STA), Sebeş Plant</v>
      </c>
      <c r="E181" s="8" t="s">
        <v>1447</v>
      </c>
      <c r="F181" s="8" t="s">
        <v>21</v>
      </c>
      <c r="G181" s="8" t="s">
        <v>641</v>
      </c>
      <c r="H181" s="8"/>
      <c r="I181" s="10">
        <v>44909</v>
      </c>
      <c r="J181" s="8" t="s">
        <v>1448</v>
      </c>
    </row>
    <row r="182" spans="1:10" x14ac:dyDescent="0.15">
      <c r="A182" s="7">
        <v>44909</v>
      </c>
      <c r="B182" s="8" t="s">
        <v>87</v>
      </c>
      <c r="C182" s="8" t="s">
        <v>88</v>
      </c>
      <c r="D182" s="9" t="str">
        <f>HYPERLINK("https://www.marklines.com/en/global/3427","Beijing Benz Automotive Co., Ltd.")</f>
        <v>Beijing Benz Automotive Co., Ltd.</v>
      </c>
      <c r="E182" s="8" t="s">
        <v>1078</v>
      </c>
      <c r="F182" s="8" t="s">
        <v>25</v>
      </c>
      <c r="G182" s="8" t="s">
        <v>71</v>
      </c>
      <c r="H182" s="8" t="s">
        <v>437</v>
      </c>
      <c r="I182" s="10">
        <v>44909</v>
      </c>
      <c r="J182" s="8" t="s">
        <v>1448</v>
      </c>
    </row>
    <row r="183" spans="1:10" x14ac:dyDescent="0.15">
      <c r="A183" s="7">
        <v>44909</v>
      </c>
      <c r="B183" s="8" t="s">
        <v>87</v>
      </c>
      <c r="C183" s="8" t="s">
        <v>88</v>
      </c>
      <c r="D183" s="9" t="str">
        <f>HYPERLINK("https://www.marklines.com/en/global/2235","Mercedes-Benz Group AG, Berlin Plant")</f>
        <v>Mercedes-Benz Group AG, Berlin Plant</v>
      </c>
      <c r="E183" s="8" t="s">
        <v>376</v>
      </c>
      <c r="F183" s="8" t="s">
        <v>20</v>
      </c>
      <c r="G183" s="8" t="s">
        <v>29</v>
      </c>
      <c r="H183" s="8"/>
      <c r="I183" s="10">
        <v>44909</v>
      </c>
      <c r="J183" s="8" t="s">
        <v>1449</v>
      </c>
    </row>
    <row r="184" spans="1:10" x14ac:dyDescent="0.15">
      <c r="A184" s="7">
        <v>44909</v>
      </c>
      <c r="B184" s="8" t="s">
        <v>87</v>
      </c>
      <c r="C184" s="8" t="s">
        <v>88</v>
      </c>
      <c r="D184" s="9" t="str">
        <f>HYPERLINK("https://www.marklines.com/en/global/2245","Mercedes-Benz Group AG, Hamburg Plant")</f>
        <v>Mercedes-Benz Group AG, Hamburg Plant</v>
      </c>
      <c r="E184" s="8" t="s">
        <v>1450</v>
      </c>
      <c r="F184" s="8" t="s">
        <v>20</v>
      </c>
      <c r="G184" s="8" t="s">
        <v>29</v>
      </c>
      <c r="H184" s="8"/>
      <c r="I184" s="10">
        <v>44909</v>
      </c>
      <c r="J184" s="8" t="s">
        <v>1449</v>
      </c>
    </row>
    <row r="185" spans="1:10" x14ac:dyDescent="0.15">
      <c r="A185" s="7">
        <v>44909</v>
      </c>
      <c r="B185" s="8" t="s">
        <v>87</v>
      </c>
      <c r="C185" s="8" t="s">
        <v>88</v>
      </c>
      <c r="D185" s="9" t="str">
        <f>HYPERLINK("https://www.marklines.com/en/global/2225","Mercedes-Benz Group AG, Sindelfingen Plant")</f>
        <v>Mercedes-Benz Group AG, Sindelfingen Plant</v>
      </c>
      <c r="E185" s="8" t="s">
        <v>1451</v>
      </c>
      <c r="F185" s="8" t="s">
        <v>20</v>
      </c>
      <c r="G185" s="8" t="s">
        <v>29</v>
      </c>
      <c r="H185" s="8"/>
      <c r="I185" s="10">
        <v>44909</v>
      </c>
      <c r="J185" s="8" t="s">
        <v>1449</v>
      </c>
    </row>
    <row r="186" spans="1:10" x14ac:dyDescent="0.15">
      <c r="A186" s="7">
        <v>44909</v>
      </c>
      <c r="B186" s="8" t="s">
        <v>87</v>
      </c>
      <c r="C186" s="8" t="s">
        <v>88</v>
      </c>
      <c r="D186" s="9" t="str">
        <f>HYPERLINK("https://www.marklines.com/en/global/9396","Deutsche ACCUmotive GmbH &amp; Co. KG, Kamenz Plant")</f>
        <v>Deutsche ACCUmotive GmbH &amp; Co. KG, Kamenz Plant</v>
      </c>
      <c r="E186" s="8" t="s">
        <v>1452</v>
      </c>
      <c r="F186" s="8" t="s">
        <v>20</v>
      </c>
      <c r="G186" s="8" t="s">
        <v>29</v>
      </c>
      <c r="H186" s="8"/>
      <c r="I186" s="10">
        <v>44909</v>
      </c>
      <c r="J186" s="8" t="s">
        <v>1453</v>
      </c>
    </row>
    <row r="187" spans="1:10" x14ac:dyDescent="0.15">
      <c r="A187" s="7">
        <v>44909</v>
      </c>
      <c r="B187" s="8" t="s">
        <v>87</v>
      </c>
      <c r="C187" s="8" t="s">
        <v>88</v>
      </c>
      <c r="D187" s="9" t="str">
        <f>HYPERLINK("https://www.marklines.com/en/global/2233","Mercedes-Benz Group AG, Stuttgart-Untertürkheim Plant")</f>
        <v>Mercedes-Benz Group AG, Stuttgart-Untertürkheim Plant</v>
      </c>
      <c r="E187" s="8" t="s">
        <v>1357</v>
      </c>
      <c r="F187" s="8" t="s">
        <v>20</v>
      </c>
      <c r="G187" s="8" t="s">
        <v>29</v>
      </c>
      <c r="H187" s="8"/>
      <c r="I187" s="10">
        <v>44909</v>
      </c>
      <c r="J187" s="8" t="s">
        <v>1453</v>
      </c>
    </row>
    <row r="188" spans="1:10" x14ac:dyDescent="0.15">
      <c r="A188" s="7">
        <v>44909</v>
      </c>
      <c r="B188" s="8" t="s">
        <v>87</v>
      </c>
      <c r="C188" s="8" t="s">
        <v>88</v>
      </c>
      <c r="D188" s="9" t="str">
        <f>HYPERLINK("https://www.marklines.com/en/global/9315","MDC Power GmbH, Kölleda and Arnstadt Plant")</f>
        <v>MDC Power GmbH, Kölleda and Arnstadt Plant</v>
      </c>
      <c r="E188" s="8" t="s">
        <v>1454</v>
      </c>
      <c r="F188" s="8" t="s">
        <v>20</v>
      </c>
      <c r="G188" s="8" t="s">
        <v>29</v>
      </c>
      <c r="H188" s="8"/>
      <c r="I188" s="10">
        <v>44909</v>
      </c>
      <c r="J188" s="8" t="s">
        <v>1455</v>
      </c>
    </row>
    <row r="189" spans="1:10" x14ac:dyDescent="0.15">
      <c r="A189" s="7">
        <v>44909</v>
      </c>
      <c r="B189" s="8" t="s">
        <v>486</v>
      </c>
      <c r="C189" s="8" t="s">
        <v>486</v>
      </c>
      <c r="D189" s="9" t="str">
        <f>HYPERLINK("https://www.marklines.com/en/global/9873","Lucid Motors (Lucid Group, Inc.), Casa Grande plant")</f>
        <v>Lucid Motors (Lucid Group, Inc.), Casa Grande plant</v>
      </c>
      <c r="E189" s="8" t="s">
        <v>487</v>
      </c>
      <c r="F189" s="8" t="s">
        <v>19</v>
      </c>
      <c r="G189" s="8" t="s">
        <v>12</v>
      </c>
      <c r="H189" s="8" t="s">
        <v>469</v>
      </c>
      <c r="I189" s="10">
        <v>44908</v>
      </c>
      <c r="J189" s="8" t="s">
        <v>1456</v>
      </c>
    </row>
    <row r="190" spans="1:10" x14ac:dyDescent="0.15">
      <c r="A190" s="7">
        <v>44909</v>
      </c>
      <c r="B190" s="8" t="s">
        <v>56</v>
      </c>
      <c r="C190" s="8" t="s">
        <v>56</v>
      </c>
      <c r="D190" s="9" t="str">
        <f>HYPERLINK("https://www.marklines.com/en/global/10376","Ford Motor, Rouge Electric Vehicle Center")</f>
        <v>Ford Motor, Rouge Electric Vehicle Center</v>
      </c>
      <c r="E190" s="8" t="s">
        <v>1457</v>
      </c>
      <c r="F190" s="8" t="s">
        <v>19</v>
      </c>
      <c r="G190" s="8" t="s">
        <v>12</v>
      </c>
      <c r="H190" s="8" t="s">
        <v>13</v>
      </c>
      <c r="I190" s="10">
        <v>44908</v>
      </c>
      <c r="J190" s="8" t="s">
        <v>1458</v>
      </c>
    </row>
    <row r="191" spans="1:10" x14ac:dyDescent="0.15">
      <c r="A191" s="7">
        <v>44909</v>
      </c>
      <c r="B191" s="8" t="s">
        <v>59</v>
      </c>
      <c r="C191" s="8" t="s">
        <v>63</v>
      </c>
      <c r="D191" s="9" t="str">
        <f>HYPERLINK("https://www.marklines.com/en/global/1881","Stellantis, Fiat automobiles Serbia, Kragujevac Plant")</f>
        <v>Stellantis, Fiat automobiles Serbia, Kragujevac Plant</v>
      </c>
      <c r="E191" s="8" t="s">
        <v>1459</v>
      </c>
      <c r="F191" s="8" t="s">
        <v>21</v>
      </c>
      <c r="G191" s="8" t="s">
        <v>1460</v>
      </c>
      <c r="H191" s="8"/>
      <c r="I191" s="10">
        <v>44907</v>
      </c>
      <c r="J191" s="8" t="s">
        <v>1461</v>
      </c>
    </row>
    <row r="192" spans="1:10" x14ac:dyDescent="0.15">
      <c r="A192" s="7">
        <v>44909</v>
      </c>
      <c r="B192" s="8" t="s">
        <v>82</v>
      </c>
      <c r="C192" s="8" t="s">
        <v>133</v>
      </c>
      <c r="D192" s="9" t="str">
        <f>HYPERLINK("https://www.marklines.com/en/global/10622","Yinpai Battery Technology Co., Ltd.")</f>
        <v>Yinpai Battery Technology Co., Ltd.</v>
      </c>
      <c r="E192" s="8" t="s">
        <v>1462</v>
      </c>
      <c r="F192" s="8" t="s">
        <v>25</v>
      </c>
      <c r="G192" s="8" t="s">
        <v>71</v>
      </c>
      <c r="H192" s="8" t="s">
        <v>83</v>
      </c>
      <c r="I192" s="10">
        <v>44906</v>
      </c>
      <c r="J192" s="8" t="s">
        <v>1463</v>
      </c>
    </row>
    <row r="193" spans="1:10" x14ac:dyDescent="0.15">
      <c r="A193" s="7">
        <v>44909</v>
      </c>
      <c r="B193" s="8" t="s">
        <v>97</v>
      </c>
      <c r="C193" s="8" t="s">
        <v>97</v>
      </c>
      <c r="D193" s="9" t="str">
        <f>HYPERLINK("https://www.marklines.com/en/global/4101","Dongfeng Nissan Passenger Vehicle Company (DFN)")</f>
        <v>Dongfeng Nissan Passenger Vehicle Company (DFN)</v>
      </c>
      <c r="E193" s="8" t="s">
        <v>1464</v>
      </c>
      <c r="F193" s="8" t="s">
        <v>25</v>
      </c>
      <c r="G193" s="8" t="s">
        <v>71</v>
      </c>
      <c r="H193" s="8" t="s">
        <v>83</v>
      </c>
      <c r="I193" s="10">
        <v>44906</v>
      </c>
      <c r="J193" s="8" t="s">
        <v>1465</v>
      </c>
    </row>
    <row r="194" spans="1:10" x14ac:dyDescent="0.15">
      <c r="A194" s="7">
        <v>44909</v>
      </c>
      <c r="B194" s="8" t="s">
        <v>467</v>
      </c>
      <c r="C194" s="8" t="s">
        <v>467</v>
      </c>
      <c r="D194" s="9" t="str">
        <f>HYPERLINK("https://www.marklines.com/en/global/9899","Iveco S.p.A., Ulm Plant")</f>
        <v>Iveco S.p.A., Ulm Plant</v>
      </c>
      <c r="E194" s="8" t="s">
        <v>1466</v>
      </c>
      <c r="F194" s="8" t="s">
        <v>20</v>
      </c>
      <c r="G194" s="8" t="s">
        <v>29</v>
      </c>
      <c r="H194" s="8"/>
      <c r="I194" s="10">
        <v>44904</v>
      </c>
      <c r="J194" s="8" t="s">
        <v>1467</v>
      </c>
    </row>
    <row r="195" spans="1:10" x14ac:dyDescent="0.15">
      <c r="A195" s="7">
        <v>44909</v>
      </c>
      <c r="B195" s="8" t="s">
        <v>15</v>
      </c>
      <c r="C195" s="8" t="s">
        <v>1328</v>
      </c>
      <c r="D195" s="9" t="str">
        <f>HYPERLINK("https://www.marklines.com/en/global/2687","National Electric Vehicle Sweden AB (NEVS), Trollhattan Plant (Formerly Saab Automobile AB) ")</f>
        <v xml:space="preserve">National Electric Vehicle Sweden AB (NEVS), Trollhattan Plant (Formerly Saab Automobile AB) </v>
      </c>
      <c r="E195" s="8" t="s">
        <v>1329</v>
      </c>
      <c r="F195" s="8" t="s">
        <v>20</v>
      </c>
      <c r="G195" s="8" t="s">
        <v>34</v>
      </c>
      <c r="H195" s="8"/>
      <c r="I195" s="10">
        <v>44904</v>
      </c>
      <c r="J195" s="8" t="s">
        <v>1468</v>
      </c>
    </row>
    <row r="196" spans="1:10" x14ac:dyDescent="0.15">
      <c r="A196" s="7">
        <v>44909</v>
      </c>
      <c r="B196" s="8" t="s">
        <v>15</v>
      </c>
      <c r="C196" s="8" t="s">
        <v>1328</v>
      </c>
      <c r="D196" s="9" t="str">
        <f>HYPERLINK("https://www.marklines.com/en/global/2685","National Electric Vehicle Sweden AB (NEVS, Former: Saab Automobile AB) ")</f>
        <v xml:space="preserve">National Electric Vehicle Sweden AB (NEVS, Former: Saab Automobile AB) </v>
      </c>
      <c r="E196" s="8" t="s">
        <v>1426</v>
      </c>
      <c r="F196" s="8" t="s">
        <v>20</v>
      </c>
      <c r="G196" s="8" t="s">
        <v>34</v>
      </c>
      <c r="H196" s="8"/>
      <c r="I196" s="10">
        <v>44904</v>
      </c>
      <c r="J196" s="8" t="s">
        <v>1468</v>
      </c>
    </row>
    <row r="197" spans="1:10" x14ac:dyDescent="0.15">
      <c r="A197" s="7">
        <v>44909</v>
      </c>
      <c r="B197" s="8" t="s">
        <v>478</v>
      </c>
      <c r="C197" s="8" t="s">
        <v>478</v>
      </c>
      <c r="D197" s="9" t="str">
        <f>HYPERLINK("https://www.marklines.com/en/global/10569","BYD India, Sriperumbudur Plant")</f>
        <v>BYD India, Sriperumbudur Plant</v>
      </c>
      <c r="E197" s="8" t="s">
        <v>1469</v>
      </c>
      <c r="F197" s="8" t="s">
        <v>69</v>
      </c>
      <c r="G197" s="8" t="s">
        <v>70</v>
      </c>
      <c r="H197" s="8" t="s">
        <v>1295</v>
      </c>
      <c r="I197" s="10">
        <v>44898</v>
      </c>
      <c r="J197" s="8" t="s">
        <v>1470</v>
      </c>
    </row>
    <row r="198" spans="1:10" x14ac:dyDescent="0.15">
      <c r="A198" s="7">
        <v>44909</v>
      </c>
      <c r="B198" s="8" t="s">
        <v>30</v>
      </c>
      <c r="C198" s="8" t="s">
        <v>30</v>
      </c>
      <c r="D198" s="9" t="str">
        <f>HYPERLINK("https://www.marklines.com/en/global/373","Toyota Motor, Motomachi Plant")</f>
        <v>Toyota Motor, Motomachi Plant</v>
      </c>
      <c r="E198" s="8" t="s">
        <v>36</v>
      </c>
      <c r="F198" s="8" t="s">
        <v>25</v>
      </c>
      <c r="G198" s="8" t="s">
        <v>31</v>
      </c>
      <c r="H198" s="8" t="s">
        <v>32</v>
      </c>
      <c r="I198" s="10">
        <v>44897</v>
      </c>
      <c r="J198" s="8" t="s">
        <v>1471</v>
      </c>
    </row>
    <row r="199" spans="1:10" x14ac:dyDescent="0.15">
      <c r="A199" s="7">
        <v>44909</v>
      </c>
      <c r="B199" s="8" t="s">
        <v>375</v>
      </c>
      <c r="C199" s="8" t="s">
        <v>375</v>
      </c>
      <c r="D199" s="9" t="str">
        <f>HYPERLINK("https://www.marklines.com/en/global/531","Subaru, Gunma Yajima Plant (Gunma Plant) ")</f>
        <v xml:space="preserve">Subaru, Gunma Yajima Plant (Gunma Plant) </v>
      </c>
      <c r="E199" s="8" t="s">
        <v>1114</v>
      </c>
      <c r="F199" s="8" t="s">
        <v>25</v>
      </c>
      <c r="G199" s="8" t="s">
        <v>31</v>
      </c>
      <c r="H199" s="8" t="s">
        <v>154</v>
      </c>
      <c r="I199" s="10">
        <v>44896</v>
      </c>
      <c r="J199" s="8" t="s">
        <v>1472</v>
      </c>
    </row>
    <row r="200" spans="1:10" x14ac:dyDescent="0.15">
      <c r="A200" s="7">
        <v>44909</v>
      </c>
      <c r="B200" s="8" t="s">
        <v>101</v>
      </c>
      <c r="C200" s="8" t="s">
        <v>101</v>
      </c>
      <c r="D200" s="9" t="str">
        <f>HYPERLINK("https://www.marklines.com/en/global/3971","Dongfeng Motor Corporation")</f>
        <v>Dongfeng Motor Corporation</v>
      </c>
      <c r="E200" s="8" t="s">
        <v>1473</v>
      </c>
      <c r="F200" s="8" t="s">
        <v>25</v>
      </c>
      <c r="G200" s="8" t="s">
        <v>71</v>
      </c>
      <c r="H200" s="8" t="s">
        <v>746</v>
      </c>
      <c r="I200" s="10">
        <v>44700</v>
      </c>
      <c r="J200" s="8" t="s">
        <v>1474</v>
      </c>
    </row>
    <row r="201" spans="1:10" x14ac:dyDescent="0.15">
      <c r="A201" s="7">
        <v>44909</v>
      </c>
      <c r="B201" s="8" t="s">
        <v>101</v>
      </c>
      <c r="C201" s="8" t="s">
        <v>101</v>
      </c>
      <c r="D201" s="9" t="str">
        <f>HYPERLINK("https://www.marklines.com/en/global/3971","Dongfeng Motor Corporation")</f>
        <v>Dongfeng Motor Corporation</v>
      </c>
      <c r="E201" s="8" t="s">
        <v>1473</v>
      </c>
      <c r="F201" s="8" t="s">
        <v>25</v>
      </c>
      <c r="G201" s="8" t="s">
        <v>71</v>
      </c>
      <c r="H201" s="8" t="s">
        <v>746</v>
      </c>
      <c r="I201" s="10">
        <v>44700</v>
      </c>
      <c r="J201" s="8" t="s">
        <v>1475</v>
      </c>
    </row>
    <row r="202" spans="1:10" x14ac:dyDescent="0.15">
      <c r="A202" s="7">
        <v>44909</v>
      </c>
      <c r="B202" s="8" t="s">
        <v>101</v>
      </c>
      <c r="C202" s="8" t="s">
        <v>101</v>
      </c>
      <c r="D202" s="9" t="str">
        <f>HYPERLINK("https://www.marklines.com/en/global/4011","Dongfeng Commercial Vehicle Co., Ltd.")</f>
        <v>Dongfeng Commercial Vehicle Co., Ltd.</v>
      </c>
      <c r="E202" s="8" t="s">
        <v>1476</v>
      </c>
      <c r="F202" s="8" t="s">
        <v>25</v>
      </c>
      <c r="G202" s="8" t="s">
        <v>71</v>
      </c>
      <c r="H202" s="8" t="s">
        <v>746</v>
      </c>
      <c r="I202" s="10">
        <v>44700</v>
      </c>
      <c r="J202" s="8" t="s">
        <v>1477</v>
      </c>
    </row>
    <row r="203" spans="1:10" x14ac:dyDescent="0.15">
      <c r="A203" s="7">
        <v>44909</v>
      </c>
      <c r="B203" s="8" t="s">
        <v>101</v>
      </c>
      <c r="C203" s="8" t="s">
        <v>101</v>
      </c>
      <c r="D203" s="9" t="str">
        <f>HYPERLINK("https://www.marklines.com/en/global/3971","Dongfeng Motor Corporation")</f>
        <v>Dongfeng Motor Corporation</v>
      </c>
      <c r="E203" s="8" t="s">
        <v>1473</v>
      </c>
      <c r="F203" s="8" t="s">
        <v>25</v>
      </c>
      <c r="G203" s="8" t="s">
        <v>71</v>
      </c>
      <c r="H203" s="8" t="s">
        <v>746</v>
      </c>
      <c r="I203" s="10">
        <v>44700</v>
      </c>
      <c r="J203" s="8" t="s">
        <v>1478</v>
      </c>
    </row>
    <row r="204" spans="1:10" x14ac:dyDescent="0.15">
      <c r="A204" s="7">
        <v>44908</v>
      </c>
      <c r="B204" s="8" t="s">
        <v>27</v>
      </c>
      <c r="C204" s="8" t="s">
        <v>27</v>
      </c>
      <c r="D204" s="9" t="str">
        <f>HYPERLINK("https://www.marklines.com/en/global/10316","BMW Cell Manufacturing Competence Center (CMCC), Parsdorf")</f>
        <v>BMW Cell Manufacturing Competence Center (CMCC), Parsdorf</v>
      </c>
      <c r="E204" s="8" t="s">
        <v>741</v>
      </c>
      <c r="F204" s="8" t="s">
        <v>20</v>
      </c>
      <c r="G204" s="8" t="s">
        <v>29</v>
      </c>
      <c r="H204" s="8"/>
      <c r="I204" s="10">
        <v>44908</v>
      </c>
      <c r="J204" s="8" t="s">
        <v>1479</v>
      </c>
    </row>
    <row r="205" spans="1:10" x14ac:dyDescent="0.15">
      <c r="A205" s="7">
        <v>44908</v>
      </c>
      <c r="B205" s="8" t="s">
        <v>27</v>
      </c>
      <c r="C205" s="8" t="s">
        <v>489</v>
      </c>
      <c r="D205" s="9" t="str">
        <f>HYPERLINK("https://www.marklines.com/en/global/10316","BMW Cell Manufacturing Competence Center (CMCC), Parsdorf")</f>
        <v>BMW Cell Manufacturing Competence Center (CMCC), Parsdorf</v>
      </c>
      <c r="E205" s="8" t="s">
        <v>741</v>
      </c>
      <c r="F205" s="8" t="s">
        <v>20</v>
      </c>
      <c r="G205" s="8" t="s">
        <v>29</v>
      </c>
      <c r="H205" s="8"/>
      <c r="I205" s="10">
        <v>44908</v>
      </c>
      <c r="J205" s="8" t="s">
        <v>1479</v>
      </c>
    </row>
    <row r="206" spans="1:10" x14ac:dyDescent="0.15">
      <c r="A206" s="7">
        <v>44908</v>
      </c>
      <c r="B206" s="8" t="s">
        <v>59</v>
      </c>
      <c r="C206" s="8" t="s">
        <v>265</v>
      </c>
      <c r="D206" s="9" t="str">
        <f>HYPERLINK("https://www.marklines.com/en/global/2389","Stellantis, Vauxhall Motors Ltd., Ellesmere Port plant (Former GM Manufacturing, Ellesmere Port plant)")</f>
        <v>Stellantis, Vauxhall Motors Ltd., Ellesmere Port plant (Former GM Manufacturing, Ellesmere Port plant)</v>
      </c>
      <c r="E206" s="8" t="s">
        <v>1480</v>
      </c>
      <c r="F206" s="8" t="s">
        <v>20</v>
      </c>
      <c r="G206" s="8" t="s">
        <v>98</v>
      </c>
      <c r="H206" s="8"/>
      <c r="I206" s="10">
        <v>44908</v>
      </c>
      <c r="J206" s="8" t="s">
        <v>1481</v>
      </c>
    </row>
    <row r="207" spans="1:10" x14ac:dyDescent="0.15">
      <c r="A207" s="7">
        <v>44908</v>
      </c>
      <c r="B207" s="8" t="s">
        <v>59</v>
      </c>
      <c r="C207" s="8" t="s">
        <v>265</v>
      </c>
      <c r="D207" s="9" t="str">
        <f>HYPERLINK("https://www.marklines.com/en/global/1939","Stellantis, Peugeot Citroen Automoviles Espana S.A., Vigo Plant")</f>
        <v>Stellantis, Peugeot Citroen Automoviles Espana S.A., Vigo Plant</v>
      </c>
      <c r="E207" s="8" t="s">
        <v>1482</v>
      </c>
      <c r="F207" s="8" t="s">
        <v>20</v>
      </c>
      <c r="G207" s="8" t="s">
        <v>277</v>
      </c>
      <c r="H207" s="8"/>
      <c r="I207" s="10">
        <v>44908</v>
      </c>
      <c r="J207" s="8" t="s">
        <v>1481</v>
      </c>
    </row>
    <row r="208" spans="1:10" x14ac:dyDescent="0.15">
      <c r="A208" s="7">
        <v>44908</v>
      </c>
      <c r="B208" s="8" t="s">
        <v>59</v>
      </c>
      <c r="C208" s="8" t="s">
        <v>266</v>
      </c>
      <c r="D208" s="9" t="str">
        <f>HYPERLINK("https://www.marklines.com/en/global/2389","Stellantis, Vauxhall Motors Ltd., Ellesmere Port plant (Former GM Manufacturing, Ellesmere Port plant)")</f>
        <v>Stellantis, Vauxhall Motors Ltd., Ellesmere Port plant (Former GM Manufacturing, Ellesmere Port plant)</v>
      </c>
      <c r="E208" s="8" t="s">
        <v>1480</v>
      </c>
      <c r="F208" s="8" t="s">
        <v>20</v>
      </c>
      <c r="G208" s="8" t="s">
        <v>98</v>
      </c>
      <c r="H208" s="8"/>
      <c r="I208" s="10">
        <v>44908</v>
      </c>
      <c r="J208" s="8" t="s">
        <v>1481</v>
      </c>
    </row>
    <row r="209" spans="1:10" x14ac:dyDescent="0.15">
      <c r="A209" s="7">
        <v>44908</v>
      </c>
      <c r="B209" s="8" t="s">
        <v>59</v>
      </c>
      <c r="C209" s="8" t="s">
        <v>266</v>
      </c>
      <c r="D209" s="9" t="str">
        <f>HYPERLINK("https://www.marklines.com/en/global/1939","Stellantis, Peugeot Citroen Automoviles Espana S.A., Vigo Plant")</f>
        <v>Stellantis, Peugeot Citroen Automoviles Espana S.A., Vigo Plant</v>
      </c>
      <c r="E209" s="8" t="s">
        <v>1482</v>
      </c>
      <c r="F209" s="8" t="s">
        <v>20</v>
      </c>
      <c r="G209" s="8" t="s">
        <v>277</v>
      </c>
      <c r="H209" s="8"/>
      <c r="I209" s="10">
        <v>44908</v>
      </c>
      <c r="J209" s="8" t="s">
        <v>1481</v>
      </c>
    </row>
    <row r="210" spans="1:10" x14ac:dyDescent="0.15">
      <c r="A210" s="7">
        <v>44908</v>
      </c>
      <c r="B210" s="8" t="s">
        <v>344</v>
      </c>
      <c r="C210" s="8" t="s">
        <v>345</v>
      </c>
      <c r="D210" s="9" t="str">
        <f>HYPERLINK("https://www.marklines.com/en/global/729","LLC ""LADA Izhevsk"", LADA Izhevsk Automotive Plant (formerly OJSC Izh-Avto, Izhevsk Automobilny Zavod) ")</f>
        <v xml:space="preserve">LLC "LADA Izhevsk", LADA Izhevsk Automotive Plant (formerly OJSC Izh-Avto, Izhevsk Automobilny Zavod) </v>
      </c>
      <c r="E210" s="8" t="s">
        <v>348</v>
      </c>
      <c r="F210" s="8" t="s">
        <v>21</v>
      </c>
      <c r="G210" s="8" t="s">
        <v>16</v>
      </c>
      <c r="H210" s="8"/>
      <c r="I210" s="10">
        <v>44907</v>
      </c>
      <c r="J210" s="8" t="s">
        <v>1483</v>
      </c>
    </row>
    <row r="211" spans="1:10" x14ac:dyDescent="0.15">
      <c r="A211" s="7">
        <v>44908</v>
      </c>
      <c r="B211" s="8" t="s">
        <v>344</v>
      </c>
      <c r="C211" s="8" t="s">
        <v>345</v>
      </c>
      <c r="D211" s="9" t="str">
        <f>HYPERLINK("https://www.marklines.com/en/global/675","AvtoVAZ, Togliatti Plant")</f>
        <v>AvtoVAZ, Togliatti Plant</v>
      </c>
      <c r="E211" s="8" t="s">
        <v>346</v>
      </c>
      <c r="F211" s="8" t="s">
        <v>21</v>
      </c>
      <c r="G211" s="8" t="s">
        <v>16</v>
      </c>
      <c r="H211" s="8"/>
      <c r="I211" s="10">
        <v>44907</v>
      </c>
      <c r="J211" s="8" t="s">
        <v>1483</v>
      </c>
    </row>
    <row r="212" spans="1:10" x14ac:dyDescent="0.15">
      <c r="A212" s="7">
        <v>44908</v>
      </c>
      <c r="B212" s="8" t="s">
        <v>57</v>
      </c>
      <c r="C212" s="8" t="s">
        <v>57</v>
      </c>
      <c r="D212" s="9" t="str">
        <f>HYPERLINK("https://www.marklines.com/en/global/1727","Hyundai Motor Manufacturing Czech, s.r.o. (HMMC), Nosovice Plant")</f>
        <v>Hyundai Motor Manufacturing Czech, s.r.o. (HMMC), Nosovice Plant</v>
      </c>
      <c r="E212" s="8" t="s">
        <v>1484</v>
      </c>
      <c r="F212" s="8" t="s">
        <v>21</v>
      </c>
      <c r="G212" s="8" t="s">
        <v>872</v>
      </c>
      <c r="H212" s="8"/>
      <c r="I212" s="10">
        <v>44907</v>
      </c>
      <c r="J212" s="8" t="s">
        <v>1485</v>
      </c>
    </row>
    <row r="213" spans="1:10" x14ac:dyDescent="0.15">
      <c r="A213" s="7">
        <v>44908</v>
      </c>
      <c r="B213" s="8" t="s">
        <v>14</v>
      </c>
      <c r="C213" s="8" t="s">
        <v>14</v>
      </c>
      <c r="D213" s="9" t="str">
        <f>HYPERLINK("https://www.marklines.com/en/global/9976","Ultium Cells LLC, Warren Plant ")</f>
        <v xml:space="preserve">Ultium Cells LLC, Warren Plant </v>
      </c>
      <c r="E213" s="8" t="s">
        <v>733</v>
      </c>
      <c r="F213" s="8" t="s">
        <v>19</v>
      </c>
      <c r="G213" s="8" t="s">
        <v>12</v>
      </c>
      <c r="H213" s="8" t="s">
        <v>48</v>
      </c>
      <c r="I213" s="10">
        <v>44907</v>
      </c>
      <c r="J213" s="8" t="s">
        <v>1486</v>
      </c>
    </row>
    <row r="214" spans="1:10" x14ac:dyDescent="0.15">
      <c r="A214" s="7">
        <v>44908</v>
      </c>
      <c r="B214" s="8" t="s">
        <v>14</v>
      </c>
      <c r="C214" s="8" t="s">
        <v>14</v>
      </c>
      <c r="D214" s="9" t="str">
        <f>HYPERLINK("https://www.marklines.com/en/global/10564","Ultium Cells LLC- Lansing Plant")</f>
        <v>Ultium Cells LLC- Lansing Plant</v>
      </c>
      <c r="E214" s="8" t="s">
        <v>858</v>
      </c>
      <c r="F214" s="8" t="s">
        <v>19</v>
      </c>
      <c r="G214" s="8" t="s">
        <v>12</v>
      </c>
      <c r="H214" s="8" t="s">
        <v>13</v>
      </c>
      <c r="I214" s="10">
        <v>44907</v>
      </c>
      <c r="J214" s="8" t="s">
        <v>1486</v>
      </c>
    </row>
    <row r="215" spans="1:10" x14ac:dyDescent="0.15">
      <c r="A215" s="7">
        <v>44908</v>
      </c>
      <c r="B215" s="8" t="s">
        <v>14</v>
      </c>
      <c r="C215" s="8" t="s">
        <v>14</v>
      </c>
      <c r="D215" s="9" t="str">
        <f>HYPERLINK("https://www.marklines.com/en/global/10475","Ultium Cells LLC- Spring Hill, Tennessee ")</f>
        <v xml:space="preserve">Ultium Cells LLC- Spring Hill, Tennessee </v>
      </c>
      <c r="E215" s="8" t="s">
        <v>859</v>
      </c>
      <c r="F215" s="8" t="s">
        <v>19</v>
      </c>
      <c r="G215" s="8" t="s">
        <v>12</v>
      </c>
      <c r="H215" s="8" t="s">
        <v>107</v>
      </c>
      <c r="I215" s="10">
        <v>44907</v>
      </c>
      <c r="J215" s="8" t="s">
        <v>1486</v>
      </c>
    </row>
    <row r="216" spans="1:10" x14ac:dyDescent="0.15">
      <c r="A216" s="7">
        <v>44908</v>
      </c>
      <c r="B216" s="8" t="s">
        <v>89</v>
      </c>
      <c r="C216" s="8" t="s">
        <v>89</v>
      </c>
      <c r="D216" s="9" t="str">
        <f>HYPERLINK("https://www.marklines.com/en/global/10427","SVOLT Energy Technology Europe GmbH, Heusweiler Plant (tentative name)")</f>
        <v>SVOLT Energy Technology Europe GmbH, Heusweiler Plant (tentative name)</v>
      </c>
      <c r="E216" s="8" t="s">
        <v>1487</v>
      </c>
      <c r="F216" s="8" t="s">
        <v>20</v>
      </c>
      <c r="G216" s="8" t="s">
        <v>29</v>
      </c>
      <c r="H216" s="8"/>
      <c r="I216" s="10">
        <v>44904</v>
      </c>
      <c r="J216" s="8" t="s">
        <v>1488</v>
      </c>
    </row>
    <row r="217" spans="1:10" x14ac:dyDescent="0.15">
      <c r="A217" s="7">
        <v>44908</v>
      </c>
      <c r="B217" s="8" t="s">
        <v>97</v>
      </c>
      <c r="C217" s="8" t="s">
        <v>97</v>
      </c>
      <c r="D217" s="9" t="str">
        <f>HYPERLINK("https://www.marklines.com/en/global/10401","Envision AESC UK Ltd., Sunderland Plant")</f>
        <v>Envision AESC UK Ltd., Sunderland Plant</v>
      </c>
      <c r="E217" s="8" t="s">
        <v>1489</v>
      </c>
      <c r="F217" s="8" t="s">
        <v>20</v>
      </c>
      <c r="G217" s="8" t="s">
        <v>98</v>
      </c>
      <c r="H217" s="8"/>
      <c r="I217" s="10">
        <v>44904</v>
      </c>
      <c r="J217" s="8" t="s">
        <v>1490</v>
      </c>
    </row>
    <row r="218" spans="1:10" x14ac:dyDescent="0.15">
      <c r="A218" s="7">
        <v>44908</v>
      </c>
      <c r="B218" s="8" t="s">
        <v>530</v>
      </c>
      <c r="C218" s="8" t="s">
        <v>531</v>
      </c>
      <c r="D218" s="9" t="str">
        <f>HYPERLINK("https://www.marklines.com/en/global/2033","Mitsubishi Motors (Thailand) Co., Ltd. (MMTh), Laemchabang Plant")</f>
        <v>Mitsubishi Motors (Thailand) Co., Ltd. (MMTh), Laemchabang Plant</v>
      </c>
      <c r="E218" s="8" t="s">
        <v>1491</v>
      </c>
      <c r="F218" s="8" t="s">
        <v>22</v>
      </c>
      <c r="G218" s="8" t="s">
        <v>514</v>
      </c>
      <c r="H218" s="8" t="s">
        <v>1492</v>
      </c>
      <c r="I218" s="10">
        <v>44904</v>
      </c>
      <c r="J218" s="8" t="s">
        <v>1493</v>
      </c>
    </row>
    <row r="219" spans="1:10" x14ac:dyDescent="0.15">
      <c r="A219" s="7">
        <v>44908</v>
      </c>
      <c r="B219" s="8" t="s">
        <v>530</v>
      </c>
      <c r="C219" s="8" t="s">
        <v>531</v>
      </c>
      <c r="D219" s="9" t="str">
        <f>HYPERLINK("https://www.marklines.com/en/global/2031","Mitsubishi Motors (Thailand) Co., Ltd. (MMTh)")</f>
        <v>Mitsubishi Motors (Thailand) Co., Ltd. (MMTh)</v>
      </c>
      <c r="E219" s="8" t="s">
        <v>1494</v>
      </c>
      <c r="F219" s="8" t="s">
        <v>22</v>
      </c>
      <c r="G219" s="8" t="s">
        <v>514</v>
      </c>
      <c r="H219" s="8" t="s">
        <v>1254</v>
      </c>
      <c r="I219" s="10">
        <v>44904</v>
      </c>
      <c r="J219" s="8" t="s">
        <v>1493</v>
      </c>
    </row>
    <row r="220" spans="1:10" x14ac:dyDescent="0.15">
      <c r="A220" s="7">
        <v>44908</v>
      </c>
      <c r="B220" s="8" t="s">
        <v>52</v>
      </c>
      <c r="C220" s="8" t="s">
        <v>91</v>
      </c>
      <c r="D220" s="9" t="str">
        <f>HYPERLINK("https://www.marklines.com/en/global/2663","Stellantis, FCA US, Belvidere Assembly Plant and Belvidere Satellite Stamping Plant")</f>
        <v>Stellantis, FCA US, Belvidere Assembly Plant and Belvidere Satellite Stamping Plant</v>
      </c>
      <c r="E220" s="8" t="s">
        <v>1495</v>
      </c>
      <c r="F220" s="8" t="s">
        <v>19</v>
      </c>
      <c r="G220" s="8" t="s">
        <v>12</v>
      </c>
      <c r="H220" s="8" t="s">
        <v>67</v>
      </c>
      <c r="I220" s="10">
        <v>44904</v>
      </c>
      <c r="J220" s="8" t="s">
        <v>1496</v>
      </c>
    </row>
    <row r="221" spans="1:10" x14ac:dyDescent="0.15">
      <c r="A221" s="7">
        <v>44908</v>
      </c>
      <c r="B221" s="8" t="s">
        <v>17</v>
      </c>
      <c r="C221" s="8" t="s">
        <v>17</v>
      </c>
      <c r="D221" s="9" t="str">
        <f>HYPERLINK("https://www.marklines.com/en/global/3473","Honda Motor (China) Investment Co., Ltd. ")</f>
        <v xml:space="preserve">Honda Motor (China) Investment Co., Ltd. </v>
      </c>
      <c r="E221" s="8" t="s">
        <v>1497</v>
      </c>
      <c r="F221" s="8" t="s">
        <v>25</v>
      </c>
      <c r="G221" s="8" t="s">
        <v>71</v>
      </c>
      <c r="H221" s="8" t="s">
        <v>437</v>
      </c>
      <c r="I221" s="10">
        <v>44903</v>
      </c>
      <c r="J221" s="8" t="s">
        <v>1498</v>
      </c>
    </row>
    <row r="222" spans="1:10" x14ac:dyDescent="0.15">
      <c r="A222" s="7">
        <v>44908</v>
      </c>
      <c r="B222" s="8" t="s">
        <v>17</v>
      </c>
      <c r="C222" s="8" t="s">
        <v>17</v>
      </c>
      <c r="D222" s="9" t="str">
        <f>HYPERLINK("https://www.marklines.com/en/global/4087","Honda Automobile (China) Co., Ltd. Guangzhou Development District Plant")</f>
        <v>Honda Automobile (China) Co., Ltd. Guangzhou Development District Plant</v>
      </c>
      <c r="E222" s="8" t="s">
        <v>1499</v>
      </c>
      <c r="F222" s="8" t="s">
        <v>25</v>
      </c>
      <c r="G222" s="8" t="s">
        <v>71</v>
      </c>
      <c r="H222" s="8" t="s">
        <v>83</v>
      </c>
      <c r="I222" s="10">
        <v>44903</v>
      </c>
      <c r="J222" s="8" t="s">
        <v>1498</v>
      </c>
    </row>
    <row r="223" spans="1:10" x14ac:dyDescent="0.15">
      <c r="A223" s="7">
        <v>44908</v>
      </c>
      <c r="B223" s="8" t="s">
        <v>17</v>
      </c>
      <c r="C223" s="8" t="s">
        <v>17</v>
      </c>
      <c r="D223" s="9" t="str">
        <f>HYPERLINK("https://www.marklines.com/en/global/3981","Dongfeng Honda Automobile Co., Ltd. ")</f>
        <v xml:space="preserve">Dongfeng Honda Automobile Co., Ltd. </v>
      </c>
      <c r="E223" s="8" t="s">
        <v>408</v>
      </c>
      <c r="F223" s="8" t="s">
        <v>25</v>
      </c>
      <c r="G223" s="8" t="s">
        <v>71</v>
      </c>
      <c r="H223" s="8" t="s">
        <v>90</v>
      </c>
      <c r="I223" s="10">
        <v>44903</v>
      </c>
      <c r="J223" s="8" t="s">
        <v>1498</v>
      </c>
    </row>
    <row r="224" spans="1:10" x14ac:dyDescent="0.15">
      <c r="A224" s="7">
        <v>44908</v>
      </c>
      <c r="B224" s="8" t="s">
        <v>1500</v>
      </c>
      <c r="C224" s="8" t="s">
        <v>1501</v>
      </c>
      <c r="D224" s="9" t="str">
        <f>HYPERLINK("https://www.marklines.com/en/global/997","Proton, Tanjung Malim Plant")</f>
        <v>Proton, Tanjung Malim Plant</v>
      </c>
      <c r="E224" s="8" t="s">
        <v>1502</v>
      </c>
      <c r="F224" s="8" t="s">
        <v>22</v>
      </c>
      <c r="G224" s="8" t="s">
        <v>1503</v>
      </c>
      <c r="H224" s="8"/>
      <c r="I224" s="10">
        <v>44896</v>
      </c>
      <c r="J224" s="8" t="s">
        <v>1504</v>
      </c>
    </row>
    <row r="225" spans="1:10" x14ac:dyDescent="0.15">
      <c r="A225" s="7">
        <v>44908</v>
      </c>
      <c r="B225" s="8" t="s">
        <v>76</v>
      </c>
      <c r="C225" s="8" t="s">
        <v>620</v>
      </c>
      <c r="D225" s="9" t="str">
        <f>HYPERLINK("https://www.marklines.com/en/global/9345","Geely Sichuan Commercial Vehicle Co., Ltd.")</f>
        <v>Geely Sichuan Commercial Vehicle Co., Ltd.</v>
      </c>
      <c r="E225" s="8" t="s">
        <v>621</v>
      </c>
      <c r="F225" s="8" t="s">
        <v>25</v>
      </c>
      <c r="G225" s="8" t="s">
        <v>71</v>
      </c>
      <c r="H225" s="8" t="s">
        <v>367</v>
      </c>
      <c r="I225" s="10">
        <v>44890</v>
      </c>
      <c r="J225" s="8" t="s">
        <v>1505</v>
      </c>
    </row>
    <row r="226" spans="1:10" x14ac:dyDescent="0.15">
      <c r="A226" s="7">
        <v>44907</v>
      </c>
      <c r="B226" s="8" t="s">
        <v>87</v>
      </c>
      <c r="C226" s="8" t="s">
        <v>88</v>
      </c>
      <c r="D226" s="9" t="str">
        <f>HYPERLINK("https://www.marklines.com/en/global/1921","Mercedes-Benz Spain, Vitoria (Alava) Plant")</f>
        <v>Mercedes-Benz Spain, Vitoria (Alava) Plant</v>
      </c>
      <c r="E226" s="8" t="s">
        <v>1506</v>
      </c>
      <c r="F226" s="8" t="s">
        <v>20</v>
      </c>
      <c r="G226" s="8" t="s">
        <v>277</v>
      </c>
      <c r="H226" s="8"/>
      <c r="I226" s="10">
        <v>44907</v>
      </c>
      <c r="J226" s="8" t="s">
        <v>1507</v>
      </c>
    </row>
    <row r="227" spans="1:10" x14ac:dyDescent="0.15">
      <c r="A227" s="7">
        <v>44907</v>
      </c>
      <c r="B227" s="8" t="s">
        <v>87</v>
      </c>
      <c r="C227" s="8" t="s">
        <v>88</v>
      </c>
      <c r="D227" s="9" t="str">
        <f>HYPERLINK("https://www.marklines.com/en/global/9441","Mercedes-Benz Manufacturing Poland (MBMP), Jawor Plant")</f>
        <v>Mercedes-Benz Manufacturing Poland (MBMP), Jawor Plant</v>
      </c>
      <c r="E227" s="8" t="s">
        <v>1508</v>
      </c>
      <c r="F227" s="8" t="s">
        <v>21</v>
      </c>
      <c r="G227" s="8" t="s">
        <v>93</v>
      </c>
      <c r="H227" s="8"/>
      <c r="I227" s="10">
        <v>44907</v>
      </c>
      <c r="J227" s="8" t="s">
        <v>1509</v>
      </c>
    </row>
    <row r="228" spans="1:10" x14ac:dyDescent="0.15">
      <c r="A228" s="7">
        <v>44907</v>
      </c>
      <c r="B228" s="8" t="s">
        <v>11</v>
      </c>
      <c r="C228" s="8" t="s">
        <v>553</v>
      </c>
      <c r="D228" s="9" t="str">
        <f>HYPERLINK("https://www.marklines.com/en/global/10284","Porsche Engineering, Nardò Technical Center S.r.l.")</f>
        <v>Porsche Engineering, Nardò Technical Center S.r.l.</v>
      </c>
      <c r="E228" s="8" t="s">
        <v>1510</v>
      </c>
      <c r="F228" s="8" t="s">
        <v>20</v>
      </c>
      <c r="G228" s="8" t="s">
        <v>110</v>
      </c>
      <c r="H228" s="8"/>
      <c r="I228" s="10">
        <v>44907</v>
      </c>
      <c r="J228" s="8" t="s">
        <v>1511</v>
      </c>
    </row>
    <row r="229" spans="1:10" x14ac:dyDescent="0.15">
      <c r="A229" s="7">
        <v>44907</v>
      </c>
      <c r="B229" s="8" t="s">
        <v>11</v>
      </c>
      <c r="C229" s="8" t="s">
        <v>108</v>
      </c>
      <c r="D229" s="9" t="str">
        <f>HYPERLINK("https://www.marklines.com/en/global/2201","Audi AG, Audi Sport GmbH, Neckarsulm Plant")</f>
        <v>Audi AG, Audi Sport GmbH, Neckarsulm Plant</v>
      </c>
      <c r="E229" s="8" t="s">
        <v>1512</v>
      </c>
      <c r="F229" s="8" t="s">
        <v>20</v>
      </c>
      <c r="G229" s="8" t="s">
        <v>29</v>
      </c>
      <c r="H229" s="8"/>
      <c r="I229" s="10">
        <v>44904</v>
      </c>
      <c r="J229" s="8" t="s">
        <v>1513</v>
      </c>
    </row>
    <row r="230" spans="1:10" x14ac:dyDescent="0.15">
      <c r="A230" s="7">
        <v>44907</v>
      </c>
      <c r="B230" s="8" t="s">
        <v>11</v>
      </c>
      <c r="C230" s="8" t="s">
        <v>108</v>
      </c>
      <c r="D230" s="9" t="str">
        <f>HYPERLINK("https://www.marklines.com/en/global/2199","Audi AG, Ingolstadt Plant")</f>
        <v>Audi AG, Ingolstadt Plant</v>
      </c>
      <c r="E230" s="8" t="s">
        <v>1514</v>
      </c>
      <c r="F230" s="8" t="s">
        <v>20</v>
      </c>
      <c r="G230" s="8" t="s">
        <v>29</v>
      </c>
      <c r="H230" s="8"/>
      <c r="I230" s="10">
        <v>44904</v>
      </c>
      <c r="J230" s="8" t="s">
        <v>1513</v>
      </c>
    </row>
    <row r="231" spans="1:10" x14ac:dyDescent="0.15">
      <c r="A231" s="7">
        <v>44907</v>
      </c>
      <c r="B231" s="8" t="s">
        <v>344</v>
      </c>
      <c r="C231" s="8" t="s">
        <v>344</v>
      </c>
      <c r="D231" s="9" t="str">
        <f>HYPERLINK("https://www.marklines.com/en/global/749","Nissan Manufacturing Rus OOO, Kamenka (St. Petersburg) Plant")</f>
        <v>Nissan Manufacturing Rus OOO, Kamenka (St. Petersburg) Plant</v>
      </c>
      <c r="E231" s="8" t="s">
        <v>381</v>
      </c>
      <c r="F231" s="8" t="s">
        <v>21</v>
      </c>
      <c r="G231" s="8" t="s">
        <v>16</v>
      </c>
      <c r="H231" s="8"/>
      <c r="I231" s="10">
        <v>44904</v>
      </c>
      <c r="J231" s="8" t="s">
        <v>1515</v>
      </c>
    </row>
    <row r="232" spans="1:10" x14ac:dyDescent="0.15">
      <c r="A232" s="7">
        <v>44907</v>
      </c>
      <c r="B232" s="8" t="s">
        <v>15</v>
      </c>
      <c r="C232" s="8" t="s">
        <v>1516</v>
      </c>
      <c r="D232" s="9" t="str">
        <f>HYPERLINK("https://www.marklines.com/en/global/3885","Qoros Automotive Co. Ltd.")</f>
        <v>Qoros Automotive Co. Ltd.</v>
      </c>
      <c r="E232" s="8" t="s">
        <v>1517</v>
      </c>
      <c r="F232" s="8" t="s">
        <v>25</v>
      </c>
      <c r="G232" s="8" t="s">
        <v>71</v>
      </c>
      <c r="H232" s="8" t="s">
        <v>351</v>
      </c>
      <c r="I232" s="10">
        <v>44902</v>
      </c>
      <c r="J232" s="8" t="s">
        <v>1518</v>
      </c>
    </row>
    <row r="233" spans="1:10" x14ac:dyDescent="0.15">
      <c r="A233" s="7">
        <v>44905</v>
      </c>
      <c r="B233" s="8" t="s">
        <v>14</v>
      </c>
      <c r="C233" s="8" t="s">
        <v>14</v>
      </c>
      <c r="D233" s="9" t="str">
        <f>HYPERLINK("https://www.marklines.com/en/global/9976","Ultium Cells LLC, Warren Plant ")</f>
        <v xml:space="preserve">Ultium Cells LLC, Warren Plant </v>
      </c>
      <c r="E233" s="8" t="s">
        <v>733</v>
      </c>
      <c r="F233" s="8" t="s">
        <v>19</v>
      </c>
      <c r="G233" s="8" t="s">
        <v>12</v>
      </c>
      <c r="H233" s="8" t="s">
        <v>48</v>
      </c>
      <c r="I233" s="10">
        <v>44904</v>
      </c>
      <c r="J233" s="8" t="s">
        <v>1519</v>
      </c>
    </row>
    <row r="234" spans="1:10" x14ac:dyDescent="0.15">
      <c r="A234" s="7">
        <v>44905</v>
      </c>
      <c r="B234" s="8" t="s">
        <v>14</v>
      </c>
      <c r="C234" s="8" t="s">
        <v>14</v>
      </c>
      <c r="D234" s="9" t="str">
        <f>HYPERLINK("https://www.marklines.com/en/global/10564","Ultium Cells LLC- Lansing Plant")</f>
        <v>Ultium Cells LLC- Lansing Plant</v>
      </c>
      <c r="E234" s="8" t="s">
        <v>858</v>
      </c>
      <c r="F234" s="8" t="s">
        <v>19</v>
      </c>
      <c r="G234" s="8" t="s">
        <v>12</v>
      </c>
      <c r="H234" s="8" t="s">
        <v>13</v>
      </c>
      <c r="I234" s="10">
        <v>44904</v>
      </c>
      <c r="J234" s="8" t="s">
        <v>1519</v>
      </c>
    </row>
    <row r="235" spans="1:10" x14ac:dyDescent="0.15">
      <c r="A235" s="7">
        <v>44905</v>
      </c>
      <c r="B235" s="8" t="s">
        <v>14</v>
      </c>
      <c r="C235" s="8" t="s">
        <v>14</v>
      </c>
      <c r="D235" s="9" t="str">
        <f>HYPERLINK("https://www.marklines.com/en/global/10475","Ultium Cells LLC- Spring Hill, Tennessee ")</f>
        <v xml:space="preserve">Ultium Cells LLC- Spring Hill, Tennessee </v>
      </c>
      <c r="E235" s="8" t="s">
        <v>859</v>
      </c>
      <c r="F235" s="8" t="s">
        <v>19</v>
      </c>
      <c r="G235" s="8" t="s">
        <v>12</v>
      </c>
      <c r="H235" s="8" t="s">
        <v>107</v>
      </c>
      <c r="I235" s="10">
        <v>44904</v>
      </c>
      <c r="J235" s="8" t="s">
        <v>1519</v>
      </c>
    </row>
    <row r="236" spans="1:10" x14ac:dyDescent="0.15">
      <c r="A236" s="7">
        <v>44905</v>
      </c>
      <c r="B236" s="8" t="s">
        <v>27</v>
      </c>
      <c r="C236" s="8" t="s">
        <v>27</v>
      </c>
      <c r="D236" s="9" t="str">
        <f>HYPERLINK("https://www.marklines.com/en/global/9255","BMW Mexico, San Luis Potosi Plant")</f>
        <v>BMW Mexico, San Luis Potosi Plant</v>
      </c>
      <c r="E236" s="8" t="s">
        <v>1014</v>
      </c>
      <c r="F236" s="8" t="s">
        <v>19</v>
      </c>
      <c r="G236" s="8" t="s">
        <v>47</v>
      </c>
      <c r="H236" s="8"/>
      <c r="I236" s="10">
        <v>44903</v>
      </c>
      <c r="J236" s="8" t="s">
        <v>1520</v>
      </c>
    </row>
    <row r="237" spans="1:10" x14ac:dyDescent="0.15">
      <c r="A237" s="7">
        <v>44904</v>
      </c>
      <c r="B237" s="8" t="s">
        <v>59</v>
      </c>
      <c r="C237" s="8" t="s">
        <v>265</v>
      </c>
      <c r="D237" s="9" t="str">
        <f>HYPERLINK("https://www.marklines.com/en/global/2257","Stellantis, Opel Automobile GmbH, Kaiserslautern Powertrain Plant (Former GM Powertrain Germany, Kaiserslautern Powertrain Plant)")</f>
        <v>Stellantis, Opel Automobile GmbH, Kaiserslautern Powertrain Plant (Former GM Powertrain Germany, Kaiserslautern Powertrain Plant)</v>
      </c>
      <c r="E237" s="8" t="s">
        <v>338</v>
      </c>
      <c r="F237" s="8" t="s">
        <v>20</v>
      </c>
      <c r="G237" s="8" t="s">
        <v>29</v>
      </c>
      <c r="H237" s="8"/>
      <c r="I237" s="10">
        <v>44904</v>
      </c>
      <c r="J237" s="8" t="s">
        <v>1338</v>
      </c>
    </row>
    <row r="238" spans="1:10" x14ac:dyDescent="0.15">
      <c r="A238" s="7">
        <v>44904</v>
      </c>
      <c r="B238" s="8" t="s">
        <v>15</v>
      </c>
      <c r="C238" s="8" t="s">
        <v>824</v>
      </c>
      <c r="D238" s="9" t="str">
        <f>HYPERLINK("https://www.marklines.com/en/global/803","JSC UralAZ (Ural Avtomobilny Zavod), Chelyabinsk Plant")</f>
        <v>JSC UralAZ (Ural Avtomobilny Zavod), Chelyabinsk Plant</v>
      </c>
      <c r="E238" s="8" t="s">
        <v>825</v>
      </c>
      <c r="F238" s="8" t="s">
        <v>21</v>
      </c>
      <c r="G238" s="8" t="s">
        <v>16</v>
      </c>
      <c r="H238" s="8"/>
      <c r="I238" s="10">
        <v>44904</v>
      </c>
      <c r="J238" s="8" t="s">
        <v>1339</v>
      </c>
    </row>
    <row r="239" spans="1:10" x14ac:dyDescent="0.15">
      <c r="A239" s="7">
        <v>44904</v>
      </c>
      <c r="B239" s="8" t="s">
        <v>279</v>
      </c>
      <c r="C239" s="8" t="s">
        <v>279</v>
      </c>
      <c r="D239" s="9" t="str">
        <f>HYPERLINK("https://www.marklines.com/en/global/671","ZAO AvtoTOR, Kaliningrad Plant")</f>
        <v>ZAO AvtoTOR, Kaliningrad Plant</v>
      </c>
      <c r="E239" s="8" t="s">
        <v>280</v>
      </c>
      <c r="F239" s="8" t="s">
        <v>21</v>
      </c>
      <c r="G239" s="8" t="s">
        <v>16</v>
      </c>
      <c r="H239" s="8"/>
      <c r="I239" s="10">
        <v>44904</v>
      </c>
      <c r="J239" s="8" t="s">
        <v>1340</v>
      </c>
    </row>
    <row r="240" spans="1:10" x14ac:dyDescent="0.15">
      <c r="A240" s="7">
        <v>44904</v>
      </c>
      <c r="B240" s="8" t="s">
        <v>57</v>
      </c>
      <c r="C240" s="8" t="s">
        <v>57</v>
      </c>
      <c r="D240" s="9" t="str">
        <f>HYPERLINK("https://www.marklines.com/en/global/10587","Hyundai Motor Group Metaplant America (HMGMA) LLC")</f>
        <v>Hyundai Motor Group Metaplant America (HMGMA) LLC</v>
      </c>
      <c r="E240" s="8" t="s">
        <v>788</v>
      </c>
      <c r="F240" s="8" t="s">
        <v>19</v>
      </c>
      <c r="G240" s="8" t="s">
        <v>12</v>
      </c>
      <c r="H240" s="8" t="s">
        <v>814</v>
      </c>
      <c r="I240" s="10">
        <v>44903</v>
      </c>
      <c r="J240" s="8" t="s">
        <v>1341</v>
      </c>
    </row>
    <row r="241" spans="1:10" x14ac:dyDescent="0.15">
      <c r="A241" s="7">
        <v>44904</v>
      </c>
      <c r="B241" s="8" t="s">
        <v>57</v>
      </c>
      <c r="C241" s="8" t="s">
        <v>57</v>
      </c>
      <c r="D241" s="9" t="str">
        <f>HYPERLINK("https://www.marklines.com/en/global/3141","Hyundai Motor Manufacturing Alabama, LLC, Montgomery Plant")</f>
        <v>Hyundai Motor Manufacturing Alabama, LLC, Montgomery Plant</v>
      </c>
      <c r="E241" s="8" t="s">
        <v>963</v>
      </c>
      <c r="F241" s="8" t="s">
        <v>19</v>
      </c>
      <c r="G241" s="8" t="s">
        <v>12</v>
      </c>
      <c r="H241" s="8" t="s">
        <v>273</v>
      </c>
      <c r="I241" s="10">
        <v>44903</v>
      </c>
      <c r="J241" s="8" t="s">
        <v>1341</v>
      </c>
    </row>
    <row r="242" spans="1:10" x14ac:dyDescent="0.15">
      <c r="A242" s="7">
        <v>44904</v>
      </c>
      <c r="B242" s="8" t="s">
        <v>57</v>
      </c>
      <c r="C242" s="8" t="s">
        <v>812</v>
      </c>
      <c r="D242" s="9" t="str">
        <f>HYPERLINK("https://www.marklines.com/en/global/3145","Kia Georgia, Inc. (KMMG), West Point Plant")</f>
        <v>Kia Georgia, Inc. (KMMG), West Point Plant</v>
      </c>
      <c r="E242" s="8" t="s">
        <v>813</v>
      </c>
      <c r="F242" s="8" t="s">
        <v>19</v>
      </c>
      <c r="G242" s="8" t="s">
        <v>12</v>
      </c>
      <c r="H242" s="8" t="s">
        <v>814</v>
      </c>
      <c r="I242" s="10">
        <v>44903</v>
      </c>
      <c r="J242" s="8" t="s">
        <v>1341</v>
      </c>
    </row>
    <row r="243" spans="1:10" x14ac:dyDescent="0.15">
      <c r="A243" s="7">
        <v>44904</v>
      </c>
      <c r="B243" s="8" t="s">
        <v>327</v>
      </c>
      <c r="C243" s="8" t="s">
        <v>327</v>
      </c>
      <c r="D243" s="9" t="str">
        <f>HYPERLINK("https://www.marklines.com/en/global/9812","Tesla (Shanghai) Co., Ltd.")</f>
        <v>Tesla (Shanghai) Co., Ltd.</v>
      </c>
      <c r="E243" s="8" t="s">
        <v>795</v>
      </c>
      <c r="F243" s="8" t="s">
        <v>25</v>
      </c>
      <c r="G243" s="8" t="s">
        <v>71</v>
      </c>
      <c r="H243" s="8" t="s">
        <v>72</v>
      </c>
      <c r="I243" s="10">
        <v>44903</v>
      </c>
      <c r="J243" s="8" t="s">
        <v>1342</v>
      </c>
    </row>
    <row r="244" spans="1:10" x14ac:dyDescent="0.15">
      <c r="A244" s="7">
        <v>44904</v>
      </c>
      <c r="B244" s="8" t="s">
        <v>30</v>
      </c>
      <c r="C244" s="8" t="s">
        <v>30</v>
      </c>
      <c r="D244" s="9" t="str">
        <f>HYPERLINK("https://www.marklines.com/en/global/795","Limited Liability Company ""TOYOTA MOTOR"" in Saint-Petersburg (TMR-SP), St.Petersburg Plant")</f>
        <v>Limited Liability Company "TOYOTA MOTOR" in Saint-Petersburg (TMR-SP), St.Petersburg Plant</v>
      </c>
      <c r="E244" s="8" t="s">
        <v>723</v>
      </c>
      <c r="F244" s="8" t="s">
        <v>21</v>
      </c>
      <c r="G244" s="8" t="s">
        <v>16</v>
      </c>
      <c r="H244" s="8"/>
      <c r="I244" s="10">
        <v>44902</v>
      </c>
      <c r="J244" s="8" t="s">
        <v>1344</v>
      </c>
    </row>
    <row r="245" spans="1:10" x14ac:dyDescent="0.15">
      <c r="A245" s="7">
        <v>44904</v>
      </c>
      <c r="B245" s="8" t="s">
        <v>76</v>
      </c>
      <c r="C245" s="8" t="s">
        <v>76</v>
      </c>
      <c r="D245" s="9" t="str">
        <f>HYPERLINK("https://www.marklines.com/en/global/10476","Shanghai Jidu Automobile Co., Ltd.")</f>
        <v>Shanghai Jidu Automobile Co., Ltd.</v>
      </c>
      <c r="E245" s="8" t="s">
        <v>1345</v>
      </c>
      <c r="F245" s="8" t="s">
        <v>25</v>
      </c>
      <c r="G245" s="8" t="s">
        <v>71</v>
      </c>
      <c r="H245" s="8" t="s">
        <v>72</v>
      </c>
      <c r="I245" s="10">
        <v>44902</v>
      </c>
      <c r="J245" s="8" t="s">
        <v>1346</v>
      </c>
    </row>
    <row r="246" spans="1:10" x14ac:dyDescent="0.15">
      <c r="A246" s="7">
        <v>44904</v>
      </c>
      <c r="B246" s="8" t="s">
        <v>15</v>
      </c>
      <c r="C246" s="8" t="s">
        <v>349</v>
      </c>
      <c r="D246" s="9" t="str">
        <f>HYPERLINK("https://www.marklines.com/en/global/9363","Jiangxi Dorcen Automobile Co., Ltd. Jintan Branch  (Formerly Hunan Jiangnan Automobile Manufacturing Co., Ltd. Jintan Branch)")</f>
        <v>Jiangxi Dorcen Automobile Co., Ltd. Jintan Branch  (Formerly Hunan Jiangnan Automobile Manufacturing Co., Ltd. Jintan Branch)</v>
      </c>
      <c r="E246" s="8" t="s">
        <v>350</v>
      </c>
      <c r="F246" s="8" t="s">
        <v>25</v>
      </c>
      <c r="G246" s="8" t="s">
        <v>71</v>
      </c>
      <c r="H246" s="8" t="s">
        <v>351</v>
      </c>
      <c r="I246" s="10">
        <v>44902</v>
      </c>
      <c r="J246" s="8" t="s">
        <v>1347</v>
      </c>
    </row>
    <row r="247" spans="1:10" x14ac:dyDescent="0.15">
      <c r="A247" s="7">
        <v>44904</v>
      </c>
      <c r="B247" s="8" t="s">
        <v>11</v>
      </c>
      <c r="C247" s="8" t="s">
        <v>26</v>
      </c>
      <c r="D247" s="9" t="str">
        <f>HYPERLINK("https://www.marklines.com/en/global/911","Volkswagen Mexico, Puebla Plant")</f>
        <v>Volkswagen Mexico, Puebla Plant</v>
      </c>
      <c r="E247" s="8" t="s">
        <v>853</v>
      </c>
      <c r="F247" s="8" t="s">
        <v>19</v>
      </c>
      <c r="G247" s="8" t="s">
        <v>47</v>
      </c>
      <c r="H247" s="8"/>
      <c r="I247" s="10">
        <v>44900</v>
      </c>
      <c r="J247" s="8" t="s">
        <v>1359</v>
      </c>
    </row>
    <row r="248" spans="1:10" x14ac:dyDescent="0.15">
      <c r="A248" s="7">
        <v>44903</v>
      </c>
      <c r="B248" s="8" t="s">
        <v>11</v>
      </c>
      <c r="C248" s="8" t="s">
        <v>341</v>
      </c>
      <c r="D248" s="9" t="str">
        <f>HYPERLINK("https://www.marklines.com/en/global/1679","MAN Bus Sp. z o.o. Starachowice Plant")</f>
        <v>MAN Bus Sp. z o.o. Starachowice Plant</v>
      </c>
      <c r="E248" s="8" t="s">
        <v>342</v>
      </c>
      <c r="F248" s="8" t="s">
        <v>21</v>
      </c>
      <c r="G248" s="8" t="s">
        <v>93</v>
      </c>
      <c r="H248" s="8"/>
      <c r="I248" s="10">
        <v>44903</v>
      </c>
      <c r="J248" s="8" t="s">
        <v>1343</v>
      </c>
    </row>
    <row r="249" spans="1:10" x14ac:dyDescent="0.15">
      <c r="A249" s="7">
        <v>44903</v>
      </c>
      <c r="B249" s="8" t="s">
        <v>11</v>
      </c>
      <c r="C249" s="8" t="s">
        <v>26</v>
      </c>
      <c r="D249" s="9" t="str">
        <f>HYPERLINK("https://www.marklines.com/en/global/2271","Volkswagen AG, Salzgitter Plant")</f>
        <v>Volkswagen AG, Salzgitter Plant</v>
      </c>
      <c r="E249" s="8" t="s">
        <v>1348</v>
      </c>
      <c r="F249" s="8" t="s">
        <v>20</v>
      </c>
      <c r="G249" s="8" t="s">
        <v>29</v>
      </c>
      <c r="H249" s="8"/>
      <c r="I249" s="10">
        <v>44902</v>
      </c>
      <c r="J249" s="8" t="s">
        <v>1349</v>
      </c>
    </row>
    <row r="250" spans="1:10" x14ac:dyDescent="0.15">
      <c r="A250" s="7">
        <v>44903</v>
      </c>
      <c r="B250" s="8" t="s">
        <v>11</v>
      </c>
      <c r="C250" s="8" t="s">
        <v>26</v>
      </c>
      <c r="D250" s="9" t="str">
        <f>HYPERLINK("https://www.marklines.com/en/global/10547","Volkswagen AG, Warmenau Plant (tentative name)")</f>
        <v>Volkswagen AG, Warmenau Plant (tentative name)</v>
      </c>
      <c r="E250" s="8" t="s">
        <v>1350</v>
      </c>
      <c r="F250" s="8" t="s">
        <v>20</v>
      </c>
      <c r="G250" s="8" t="s">
        <v>29</v>
      </c>
      <c r="H250" s="8"/>
      <c r="I250" s="10">
        <v>44902</v>
      </c>
      <c r="J250" s="8" t="s">
        <v>1349</v>
      </c>
    </row>
    <row r="251" spans="1:10" x14ac:dyDescent="0.15">
      <c r="A251" s="7">
        <v>44903</v>
      </c>
      <c r="B251" s="8" t="s">
        <v>11</v>
      </c>
      <c r="C251" s="8" t="s">
        <v>26</v>
      </c>
      <c r="D251" s="9" t="str">
        <f>HYPERLINK("https://www.marklines.com/en/global/2261","Volkswagen AG, Wolfsburg Plant")</f>
        <v>Volkswagen AG, Wolfsburg Plant</v>
      </c>
      <c r="E251" s="8" t="s">
        <v>1351</v>
      </c>
      <c r="F251" s="8" t="s">
        <v>20</v>
      </c>
      <c r="G251" s="8" t="s">
        <v>29</v>
      </c>
      <c r="H251" s="8"/>
      <c r="I251" s="10">
        <v>44902</v>
      </c>
      <c r="J251" s="8" t="s">
        <v>1349</v>
      </c>
    </row>
    <row r="252" spans="1:10" x14ac:dyDescent="0.15">
      <c r="A252" s="7">
        <v>44903</v>
      </c>
      <c r="B252" s="8" t="s">
        <v>344</v>
      </c>
      <c r="C252" s="8" t="s">
        <v>345</v>
      </c>
      <c r="D252" s="9" t="str">
        <f>HYPERLINK("https://www.marklines.com/en/global/675","AvtoVAZ, Togliatti Plant")</f>
        <v>AvtoVAZ, Togliatti Plant</v>
      </c>
      <c r="E252" s="8" t="s">
        <v>346</v>
      </c>
      <c r="F252" s="8" t="s">
        <v>21</v>
      </c>
      <c r="G252" s="8" t="s">
        <v>16</v>
      </c>
      <c r="H252" s="8"/>
      <c r="I252" s="10">
        <v>44902</v>
      </c>
      <c r="J252" s="8" t="s">
        <v>1352</v>
      </c>
    </row>
    <row r="253" spans="1:10" x14ac:dyDescent="0.15">
      <c r="A253" s="7">
        <v>44903</v>
      </c>
      <c r="B253" s="8" t="s">
        <v>27</v>
      </c>
      <c r="C253" s="8" t="s">
        <v>27</v>
      </c>
      <c r="D253" s="9" t="str">
        <f>HYPERLINK("https://www.marklines.com/en/global/3045","BMW Manufacturing Co., Spartanburg Plant")</f>
        <v>BMW Manufacturing Co., Spartanburg Plant</v>
      </c>
      <c r="E253" s="8" t="s">
        <v>181</v>
      </c>
      <c r="F253" s="8" t="s">
        <v>19</v>
      </c>
      <c r="G253" s="8" t="s">
        <v>12</v>
      </c>
      <c r="H253" s="8" t="s">
        <v>144</v>
      </c>
      <c r="I253" s="10">
        <v>44901</v>
      </c>
      <c r="J253" s="8" t="s">
        <v>1353</v>
      </c>
    </row>
    <row r="254" spans="1:10" x14ac:dyDescent="0.15">
      <c r="A254" s="7">
        <v>44903</v>
      </c>
      <c r="B254" s="8" t="s">
        <v>439</v>
      </c>
      <c r="C254" s="8" t="s">
        <v>704</v>
      </c>
      <c r="D254" s="9" t="str">
        <f>HYPERLINK("https://www.marklines.com/en/global/3425","Beiqi Foton Motor Co., Ltd.")</f>
        <v>Beiqi Foton Motor Co., Ltd.</v>
      </c>
      <c r="E254" s="8" t="s">
        <v>705</v>
      </c>
      <c r="F254" s="8" t="s">
        <v>25</v>
      </c>
      <c r="G254" s="8" t="s">
        <v>71</v>
      </c>
      <c r="H254" s="8" t="s">
        <v>437</v>
      </c>
      <c r="I254" s="10">
        <v>44900</v>
      </c>
      <c r="J254" s="8" t="s">
        <v>1360</v>
      </c>
    </row>
    <row r="255" spans="1:10" x14ac:dyDescent="0.15">
      <c r="A255" s="7">
        <v>44903</v>
      </c>
      <c r="B255" s="8" t="s">
        <v>65</v>
      </c>
      <c r="C255" s="8" t="s">
        <v>65</v>
      </c>
      <c r="D255" s="9" t="str">
        <f>HYPERLINK("https://www.marklines.com/en/global/3153","Rivian Automotive LLC, Normal Plant (former Mitsubishi Motors North America, Normal Plant)")</f>
        <v>Rivian Automotive LLC, Normal Plant (former Mitsubishi Motors North America, Normal Plant)</v>
      </c>
      <c r="E255" s="8" t="s">
        <v>66</v>
      </c>
      <c r="F255" s="8" t="s">
        <v>19</v>
      </c>
      <c r="G255" s="8" t="s">
        <v>12</v>
      </c>
      <c r="H255" s="8" t="s">
        <v>67</v>
      </c>
      <c r="I255" s="10">
        <v>44900</v>
      </c>
      <c r="J255" s="8" t="s">
        <v>1361</v>
      </c>
    </row>
    <row r="256" spans="1:10" x14ac:dyDescent="0.15">
      <c r="A256" s="7">
        <v>44903</v>
      </c>
      <c r="B256" s="8" t="s">
        <v>478</v>
      </c>
      <c r="C256" s="8" t="s">
        <v>478</v>
      </c>
      <c r="D256" s="9" t="str">
        <f>HYPERLINK("https://www.marklines.com/en/global/10574","BYD Automobile Industry Co., Ltd., Jinan Branch")</f>
        <v>BYD Automobile Industry Co., Ltd., Jinan Branch</v>
      </c>
      <c r="E256" s="8" t="s">
        <v>1388</v>
      </c>
      <c r="F256" s="8" t="s">
        <v>25</v>
      </c>
      <c r="G256" s="8" t="s">
        <v>71</v>
      </c>
      <c r="H256" s="8"/>
      <c r="I256" s="10">
        <v>44895</v>
      </c>
      <c r="J256" s="8" t="s">
        <v>1389</v>
      </c>
    </row>
    <row r="257" spans="1:10" x14ac:dyDescent="0.15">
      <c r="A257" s="7">
        <v>44903</v>
      </c>
      <c r="B257" s="8" t="s">
        <v>73</v>
      </c>
      <c r="C257" s="8" t="s">
        <v>74</v>
      </c>
      <c r="D257" s="9" t="str">
        <f>HYPERLINK("https://www.marklines.com/en/global/3429","Beijing Foton Daimler Automotive Co., Ltd. (BFDA)")</f>
        <v>Beijing Foton Daimler Automotive Co., Ltd. (BFDA)</v>
      </c>
      <c r="E257" s="8" t="s">
        <v>1396</v>
      </c>
      <c r="F257" s="8" t="s">
        <v>25</v>
      </c>
      <c r="G257" s="8" t="s">
        <v>71</v>
      </c>
      <c r="H257" s="8" t="s">
        <v>437</v>
      </c>
      <c r="I257" s="10">
        <v>44894</v>
      </c>
      <c r="J257" s="8" t="s">
        <v>1397</v>
      </c>
    </row>
    <row r="258" spans="1:10" x14ac:dyDescent="0.15">
      <c r="A258" s="7">
        <v>44903</v>
      </c>
      <c r="B258" s="8" t="s">
        <v>30</v>
      </c>
      <c r="C258" s="8" t="s">
        <v>30</v>
      </c>
      <c r="D258" s="9" t="str">
        <f>HYPERLINK("https://www.marklines.com/en/global/10482","FAW Toyota Motor Co., Ltd. New Energy Branch (formerly Tianjin FAW Toyota Motor Co., Ltd. (TFTM) New Energy Branch)")</f>
        <v>FAW Toyota Motor Co., Ltd. New Energy Branch (formerly Tianjin FAW Toyota Motor Co., Ltd. (TFTM) New Energy Branch)</v>
      </c>
      <c r="E258" s="8" t="s">
        <v>838</v>
      </c>
      <c r="F258" s="8" t="s">
        <v>25</v>
      </c>
      <c r="G258" s="8" t="s">
        <v>71</v>
      </c>
      <c r="H258" s="8" t="s">
        <v>672</v>
      </c>
      <c r="I258" s="10">
        <v>44893</v>
      </c>
      <c r="J258" s="8" t="s">
        <v>1399</v>
      </c>
    </row>
    <row r="259" spans="1:10" x14ac:dyDescent="0.15">
      <c r="A259" s="7">
        <v>44902</v>
      </c>
      <c r="B259" s="8" t="s">
        <v>11</v>
      </c>
      <c r="C259" s="8" t="s">
        <v>26</v>
      </c>
      <c r="D259" s="9" t="str">
        <f>HYPERLINK("https://www.marklines.com/en/global/655","Volkswagen of South Africa (Pty) Ltd., Kariega Plant (formerly Uitenhage Plant)")</f>
        <v>Volkswagen of South Africa (Pty) Ltd., Kariega Plant (formerly Uitenhage Plant)</v>
      </c>
      <c r="E259" s="8" t="s">
        <v>1354</v>
      </c>
      <c r="F259" s="8" t="s">
        <v>129</v>
      </c>
      <c r="G259" s="8" t="s">
        <v>130</v>
      </c>
      <c r="H259" s="8"/>
      <c r="I259" s="10">
        <v>44901</v>
      </c>
      <c r="J259" s="8" t="s">
        <v>1355</v>
      </c>
    </row>
    <row r="260" spans="1:10" x14ac:dyDescent="0.15">
      <c r="A260" s="7">
        <v>44902</v>
      </c>
      <c r="B260" s="8" t="s">
        <v>30</v>
      </c>
      <c r="C260" s="8" t="s">
        <v>30</v>
      </c>
      <c r="D260" s="9" t="str">
        <f>HYPERLINK("https://www.marklines.com/en/global/10027","Toyota Europe Design Development S.A.R.L (ED2) (Biot)")</f>
        <v>Toyota Europe Design Development S.A.R.L (ED2) (Biot)</v>
      </c>
      <c r="E260" s="8" t="s">
        <v>1362</v>
      </c>
      <c r="F260" s="8" t="s">
        <v>20</v>
      </c>
      <c r="G260" s="8" t="s">
        <v>86</v>
      </c>
      <c r="H260" s="8"/>
      <c r="I260" s="10">
        <v>44900</v>
      </c>
      <c r="J260" s="8" t="s">
        <v>1363</v>
      </c>
    </row>
    <row r="261" spans="1:10" x14ac:dyDescent="0.15">
      <c r="A261" s="7">
        <v>44902</v>
      </c>
      <c r="B261" s="8" t="s">
        <v>82</v>
      </c>
      <c r="C261" s="8" t="s">
        <v>1374</v>
      </c>
      <c r="D261" s="9" t="str">
        <f>HYPERLINK("https://www.marklines.com/en/global/3851"," GAC Motor (Hangzhou) Co., Ltd.")</f>
        <v xml:space="preserve"> GAC Motor (Hangzhou) Co., Ltd.</v>
      </c>
      <c r="E261" s="8" t="s">
        <v>1375</v>
      </c>
      <c r="F261" s="8" t="s">
        <v>25</v>
      </c>
      <c r="G261" s="8" t="s">
        <v>71</v>
      </c>
      <c r="H261" s="8" t="s">
        <v>78</v>
      </c>
      <c r="I261" s="10">
        <v>44898</v>
      </c>
      <c r="J261" s="8" t="s">
        <v>1376</v>
      </c>
    </row>
    <row r="262" spans="1:10" x14ac:dyDescent="0.15">
      <c r="A262" s="7">
        <v>44902</v>
      </c>
      <c r="B262" s="8" t="s">
        <v>100</v>
      </c>
      <c r="C262" s="8" t="s">
        <v>113</v>
      </c>
      <c r="D262" s="9" t="str">
        <f>HYPERLINK("https://www.marklines.com/en/global/4153"," SAIC-GM-Wuling Automobile Co., Ltd. (SGMW)　")</f>
        <v xml:space="preserve"> SAIC-GM-Wuling Automobile Co., Ltd. (SGMW)　</v>
      </c>
      <c r="E262" s="8" t="s">
        <v>121</v>
      </c>
      <c r="F262" s="8" t="s">
        <v>25</v>
      </c>
      <c r="G262" s="8" t="s">
        <v>71</v>
      </c>
      <c r="H262" s="8" t="s">
        <v>122</v>
      </c>
      <c r="I262" s="10">
        <v>44897</v>
      </c>
      <c r="J262" s="8" t="s">
        <v>1377</v>
      </c>
    </row>
    <row r="263" spans="1:10" x14ac:dyDescent="0.15">
      <c r="A263" s="7">
        <v>44902</v>
      </c>
      <c r="B263" s="8" t="s">
        <v>56</v>
      </c>
      <c r="C263" s="8" t="s">
        <v>56</v>
      </c>
      <c r="D263" s="9" t="str">
        <f>HYPERLINK("https://www.marklines.com/en/global/10139","Dunton Campus, Ford Britain (Essex) (formerly Ford Dunton Technical Centre)")</f>
        <v>Dunton Campus, Ford Britain (Essex) (formerly Ford Dunton Technical Centre)</v>
      </c>
      <c r="E263" s="8" t="s">
        <v>1383</v>
      </c>
      <c r="F263" s="8" t="s">
        <v>20</v>
      </c>
      <c r="G263" s="8" t="s">
        <v>98</v>
      </c>
      <c r="H263" s="8"/>
      <c r="I263" s="10">
        <v>44896</v>
      </c>
      <c r="J263" s="8" t="s">
        <v>1384</v>
      </c>
    </row>
    <row r="264" spans="1:10" x14ac:dyDescent="0.15">
      <c r="A264" s="7">
        <v>44902</v>
      </c>
      <c r="B264" s="8" t="s">
        <v>11</v>
      </c>
      <c r="C264" s="8" t="s">
        <v>759</v>
      </c>
      <c r="D264" s="9" t="str">
        <f>HYPERLINK("https://www.marklines.com/en/global/2695","Scania AB, Södertälje Plant")</f>
        <v>Scania AB, Södertälje Plant</v>
      </c>
      <c r="E264" s="8" t="s">
        <v>760</v>
      </c>
      <c r="F264" s="8" t="s">
        <v>20</v>
      </c>
      <c r="G264" s="8" t="s">
        <v>34</v>
      </c>
      <c r="H264" s="8"/>
      <c r="I264" s="10">
        <v>44896</v>
      </c>
      <c r="J264" s="8" t="s">
        <v>1385</v>
      </c>
    </row>
    <row r="265" spans="1:10" x14ac:dyDescent="0.15">
      <c r="A265" s="7">
        <v>44902</v>
      </c>
      <c r="B265" s="8" t="s">
        <v>11</v>
      </c>
      <c r="C265" s="8" t="s">
        <v>759</v>
      </c>
      <c r="D265" s="9" t="str">
        <f>HYPERLINK("https://www.marklines.com/en/global/2911","Scania Latin America Ltda., Sao Bernardo do Campo Plant")</f>
        <v>Scania Latin America Ltda., Sao Bernardo do Campo Plant</v>
      </c>
      <c r="E265" s="8" t="s">
        <v>1386</v>
      </c>
      <c r="F265" s="8" t="s">
        <v>24</v>
      </c>
      <c r="G265" s="8" t="s">
        <v>68</v>
      </c>
      <c r="H265" s="8"/>
      <c r="I265" s="10">
        <v>44896</v>
      </c>
      <c r="J265" s="8" t="s">
        <v>1385</v>
      </c>
    </row>
    <row r="266" spans="1:10" x14ac:dyDescent="0.15">
      <c r="A266" s="7">
        <v>44902</v>
      </c>
      <c r="B266" s="8" t="s">
        <v>79</v>
      </c>
      <c r="C266" s="8" t="s">
        <v>79</v>
      </c>
      <c r="D266" s="9" t="str">
        <f>HYPERLINK("https://www.marklines.com/en/global/3449","China Changan Automobile Group Co., Ltd. ")</f>
        <v xml:space="preserve">China Changan Automobile Group Co., Ltd. </v>
      </c>
      <c r="E266" s="8" t="s">
        <v>1390</v>
      </c>
      <c r="F266" s="8" t="s">
        <v>25</v>
      </c>
      <c r="G266" s="8" t="s">
        <v>71</v>
      </c>
      <c r="H266" s="8" t="s">
        <v>437</v>
      </c>
      <c r="I266" s="10">
        <v>44895</v>
      </c>
      <c r="J266" s="8" t="s">
        <v>1391</v>
      </c>
    </row>
    <row r="267" spans="1:10" x14ac:dyDescent="0.15">
      <c r="A267" s="7">
        <v>44902</v>
      </c>
      <c r="B267" s="8" t="s">
        <v>79</v>
      </c>
      <c r="C267" s="8" t="s">
        <v>79</v>
      </c>
      <c r="D267" s="9" t="str">
        <f>HYPERLINK("https://www.marklines.com/en/global/4163","Chongqing Changan Automobile Co., Ltd.")</f>
        <v>Chongqing Changan Automobile Co., Ltd.</v>
      </c>
      <c r="E267" s="8" t="s">
        <v>80</v>
      </c>
      <c r="F267" s="8" t="s">
        <v>25</v>
      </c>
      <c r="G267" s="8" t="s">
        <v>71</v>
      </c>
      <c r="H267" s="8" t="s">
        <v>81</v>
      </c>
      <c r="I267" s="10">
        <v>44895</v>
      </c>
      <c r="J267" s="8" t="s">
        <v>1391</v>
      </c>
    </row>
    <row r="268" spans="1:10" x14ac:dyDescent="0.15">
      <c r="A268" s="7">
        <v>44902</v>
      </c>
      <c r="B268" s="8" t="s">
        <v>79</v>
      </c>
      <c r="C268" s="8" t="s">
        <v>79</v>
      </c>
      <c r="D268" s="9" t="str">
        <f>HYPERLINK("https://www.marklines.com/en/global/3451","Chongqing Changan Automobile Co., Ltd. Beijing Changan Automobile Co., Ltd.")</f>
        <v>Chongqing Changan Automobile Co., Ltd. Beijing Changan Automobile Co., Ltd.</v>
      </c>
      <c r="E268" s="8" t="s">
        <v>1392</v>
      </c>
      <c r="F268" s="8" t="s">
        <v>25</v>
      </c>
      <c r="G268" s="8" t="s">
        <v>71</v>
      </c>
      <c r="H268" s="8" t="s">
        <v>437</v>
      </c>
      <c r="I268" s="10">
        <v>44895</v>
      </c>
      <c r="J268" s="8" t="s">
        <v>1391</v>
      </c>
    </row>
    <row r="269" spans="1:10" x14ac:dyDescent="0.15">
      <c r="A269" s="7">
        <v>44902</v>
      </c>
      <c r="B269" s="8" t="s">
        <v>79</v>
      </c>
      <c r="C269" s="8" t="s">
        <v>79</v>
      </c>
      <c r="D269" s="9" t="str">
        <f>HYPERLINK("https://www.marklines.com/en/global/3741","Nanjing Changan Automobile Co., Ltd.")</f>
        <v>Nanjing Changan Automobile Co., Ltd.</v>
      </c>
      <c r="E269" s="8" t="s">
        <v>1393</v>
      </c>
      <c r="F269" s="8" t="s">
        <v>25</v>
      </c>
      <c r="G269" s="8" t="s">
        <v>71</v>
      </c>
      <c r="H269" s="8" t="s">
        <v>351</v>
      </c>
      <c r="I269" s="10">
        <v>44895</v>
      </c>
      <c r="J269" s="8" t="s">
        <v>1391</v>
      </c>
    </row>
    <row r="270" spans="1:10" x14ac:dyDescent="0.15">
      <c r="A270" s="7">
        <v>44901</v>
      </c>
      <c r="B270" s="8" t="s">
        <v>344</v>
      </c>
      <c r="C270" s="8" t="s">
        <v>345</v>
      </c>
      <c r="D270" s="9" t="str">
        <f>HYPERLINK("https://www.marklines.com/en/global/675","AvtoVAZ, Togliatti Plant")</f>
        <v>AvtoVAZ, Togliatti Plant</v>
      </c>
      <c r="E270" s="8" t="s">
        <v>346</v>
      </c>
      <c r="F270" s="8" t="s">
        <v>21</v>
      </c>
      <c r="G270" s="8" t="s">
        <v>16</v>
      </c>
      <c r="H270" s="8"/>
      <c r="I270" s="10">
        <v>44901</v>
      </c>
      <c r="J270" s="8" t="s">
        <v>1356</v>
      </c>
    </row>
    <row r="271" spans="1:10" x14ac:dyDescent="0.15">
      <c r="A271" s="7">
        <v>44901</v>
      </c>
      <c r="B271" s="8" t="s">
        <v>87</v>
      </c>
      <c r="C271" s="8" t="s">
        <v>88</v>
      </c>
      <c r="D271" s="9" t="str">
        <f>HYPERLINK("https://www.marklines.com/en/global/2233","Mercedes-Benz Group AG, Stuttgart-Untertürkheim Plant")</f>
        <v>Mercedes-Benz Group AG, Stuttgart-Untertürkheim Plant</v>
      </c>
      <c r="E271" s="8" t="s">
        <v>1357</v>
      </c>
      <c r="F271" s="8" t="s">
        <v>20</v>
      </c>
      <c r="G271" s="8" t="s">
        <v>29</v>
      </c>
      <c r="H271" s="8"/>
      <c r="I271" s="10">
        <v>44901</v>
      </c>
      <c r="J271" s="8" t="s">
        <v>1358</v>
      </c>
    </row>
    <row r="272" spans="1:10" x14ac:dyDescent="0.15">
      <c r="A272" s="7">
        <v>44901</v>
      </c>
      <c r="B272" s="8" t="s">
        <v>30</v>
      </c>
      <c r="C272" s="8" t="s">
        <v>30</v>
      </c>
      <c r="D272" s="9" t="str">
        <f>HYPERLINK("https://www.marklines.com/en/global/2381","Toyota Motor Manufacturing (UK)Ltd. (TMUK), Deeside Plant")</f>
        <v>Toyota Motor Manufacturing (UK)Ltd. (TMUK), Deeside Plant</v>
      </c>
      <c r="E272" s="8" t="s">
        <v>150</v>
      </c>
      <c r="F272" s="8" t="s">
        <v>20</v>
      </c>
      <c r="G272" s="8" t="s">
        <v>98</v>
      </c>
      <c r="H272" s="8"/>
      <c r="I272" s="10">
        <v>44900</v>
      </c>
      <c r="J272" s="8" t="s">
        <v>1364</v>
      </c>
    </row>
    <row r="273" spans="1:10" x14ac:dyDescent="0.15">
      <c r="A273" s="7">
        <v>44901</v>
      </c>
      <c r="B273" s="8" t="s">
        <v>30</v>
      </c>
      <c r="C273" s="8" t="s">
        <v>30</v>
      </c>
      <c r="D273" s="9" t="str">
        <f>HYPERLINK("https://www.marklines.com/en/global/9581","Toyota Motor Europe - Head Office")</f>
        <v>Toyota Motor Europe - Head Office</v>
      </c>
      <c r="E273" s="8" t="s">
        <v>1365</v>
      </c>
      <c r="F273" s="8" t="s">
        <v>20</v>
      </c>
      <c r="G273" s="8" t="s">
        <v>109</v>
      </c>
      <c r="H273" s="8"/>
      <c r="I273" s="10">
        <v>44900</v>
      </c>
      <c r="J273" s="8" t="s">
        <v>1364</v>
      </c>
    </row>
    <row r="274" spans="1:10" x14ac:dyDescent="0.15">
      <c r="A274" s="7">
        <v>44901</v>
      </c>
      <c r="B274" s="8" t="s">
        <v>279</v>
      </c>
      <c r="C274" s="8" t="s">
        <v>279</v>
      </c>
      <c r="D274" s="9" t="str">
        <f>HYPERLINK("https://www.marklines.com/en/global/671","ZAO AvtoTOR, Kaliningrad Plant")</f>
        <v>ZAO AvtoTOR, Kaliningrad Plant</v>
      </c>
      <c r="E274" s="8" t="s">
        <v>280</v>
      </c>
      <c r="F274" s="8" t="s">
        <v>21</v>
      </c>
      <c r="G274" s="8" t="s">
        <v>16</v>
      </c>
      <c r="H274" s="8"/>
      <c r="I274" s="10">
        <v>44900</v>
      </c>
      <c r="J274" s="8" t="s">
        <v>1366</v>
      </c>
    </row>
    <row r="275" spans="1:10" x14ac:dyDescent="0.15">
      <c r="A275" s="7">
        <v>44901</v>
      </c>
      <c r="B275" s="8" t="s">
        <v>27</v>
      </c>
      <c r="C275" s="8" t="s">
        <v>27</v>
      </c>
      <c r="D275" s="9" t="str">
        <f>HYPERLINK("https://www.marklines.com/en/global/1621","Truong Hai Auto Company Ltd. (Thaco), Chu Lai Plant")</f>
        <v>Truong Hai Auto Company Ltd. (Thaco), Chu Lai Plant</v>
      </c>
      <c r="E275" s="8" t="s">
        <v>1367</v>
      </c>
      <c r="F275" s="8" t="s">
        <v>22</v>
      </c>
      <c r="G275" s="8" t="s">
        <v>712</v>
      </c>
      <c r="H275" s="8"/>
      <c r="I275" s="10">
        <v>44900</v>
      </c>
      <c r="J275" s="8" t="s">
        <v>1368</v>
      </c>
    </row>
    <row r="276" spans="1:10" x14ac:dyDescent="0.15">
      <c r="A276" s="7">
        <v>44901</v>
      </c>
      <c r="B276" s="8" t="s">
        <v>15</v>
      </c>
      <c r="C276" s="8" t="s">
        <v>1369</v>
      </c>
      <c r="D276" s="9" t="str">
        <f>HYPERLINK("https://www.marklines.com/en/global/1621","Truong Hai Auto Company Ltd. (Thaco), Chu Lai Plant")</f>
        <v>Truong Hai Auto Company Ltd. (Thaco), Chu Lai Plant</v>
      </c>
      <c r="E276" s="8" t="s">
        <v>1367</v>
      </c>
      <c r="F276" s="8" t="s">
        <v>22</v>
      </c>
      <c r="G276" s="8" t="s">
        <v>712</v>
      </c>
      <c r="H276" s="8"/>
      <c r="I276" s="10">
        <v>44900</v>
      </c>
      <c r="J276" s="8" t="s">
        <v>1368</v>
      </c>
    </row>
    <row r="277" spans="1:10" x14ac:dyDescent="0.15">
      <c r="A277" s="7">
        <v>44901</v>
      </c>
      <c r="B277" s="8" t="s">
        <v>56</v>
      </c>
      <c r="C277" s="8" t="s">
        <v>56</v>
      </c>
      <c r="D277" s="9" t="str">
        <f>HYPERLINK("https://www.marklines.com/en/global/10432","Ford BlueOval SK Battery Park ")</f>
        <v xml:space="preserve">Ford BlueOval SK Battery Park </v>
      </c>
      <c r="E277" s="8" t="s">
        <v>1370</v>
      </c>
      <c r="F277" s="8" t="s">
        <v>19</v>
      </c>
      <c r="G277" s="8" t="s">
        <v>12</v>
      </c>
      <c r="H277" s="8" t="s">
        <v>612</v>
      </c>
      <c r="I277" s="10">
        <v>44900</v>
      </c>
      <c r="J277" s="8" t="s">
        <v>1371</v>
      </c>
    </row>
    <row r="278" spans="1:10" x14ac:dyDescent="0.15">
      <c r="A278" s="7">
        <v>44901</v>
      </c>
      <c r="B278" s="8" t="s">
        <v>14</v>
      </c>
      <c r="C278" s="8" t="s">
        <v>14</v>
      </c>
      <c r="D278" s="9" t="str">
        <f>HYPERLINK("https://www.marklines.com/en/global/2541","General Motors Canada, Ingersoll Plant")</f>
        <v>General Motors Canada, Ingersoll Plant</v>
      </c>
      <c r="E278" s="8" t="s">
        <v>1372</v>
      </c>
      <c r="F278" s="8" t="s">
        <v>19</v>
      </c>
      <c r="G278" s="8" t="s">
        <v>630</v>
      </c>
      <c r="H278" s="8"/>
      <c r="I278" s="10">
        <v>44900</v>
      </c>
      <c r="J278" s="8" t="s">
        <v>1373</v>
      </c>
    </row>
    <row r="279" spans="1:10" x14ac:dyDescent="0.15">
      <c r="A279" s="7">
        <v>44901</v>
      </c>
      <c r="B279" s="8" t="s">
        <v>27</v>
      </c>
      <c r="C279" s="8" t="s">
        <v>27</v>
      </c>
      <c r="D279" s="9" t="str">
        <f>HYPERLINK("https://www.marklines.com/en/global/1801","BMW Motoren GmbH, Steyr Plant")</f>
        <v>BMW Motoren GmbH, Steyr Plant</v>
      </c>
      <c r="E279" s="8" t="s">
        <v>1378</v>
      </c>
      <c r="F279" s="8" t="s">
        <v>20</v>
      </c>
      <c r="G279" s="8" t="s">
        <v>106</v>
      </c>
      <c r="H279" s="8"/>
      <c r="I279" s="10">
        <v>44897</v>
      </c>
      <c r="J279" s="8" t="s">
        <v>1379</v>
      </c>
    </row>
    <row r="280" spans="1:10" x14ac:dyDescent="0.15">
      <c r="A280" s="7">
        <v>44901</v>
      </c>
      <c r="B280" s="8" t="s">
        <v>14</v>
      </c>
      <c r="C280" s="8" t="s">
        <v>14</v>
      </c>
      <c r="D280" s="9" t="str">
        <f>HYPERLINK("https://www.marklines.com/en/global/9976","Ultium Cells LLC, Warren Plant ")</f>
        <v xml:space="preserve">Ultium Cells LLC, Warren Plant </v>
      </c>
      <c r="E280" s="8" t="s">
        <v>733</v>
      </c>
      <c r="F280" s="8" t="s">
        <v>19</v>
      </c>
      <c r="G280" s="8" t="s">
        <v>12</v>
      </c>
      <c r="H280" s="8" t="s">
        <v>48</v>
      </c>
      <c r="I280" s="10">
        <v>44897</v>
      </c>
      <c r="J280" s="8" t="s">
        <v>1380</v>
      </c>
    </row>
    <row r="281" spans="1:10" x14ac:dyDescent="0.15">
      <c r="A281" s="7">
        <v>44901</v>
      </c>
      <c r="B281" s="8" t="s">
        <v>14</v>
      </c>
      <c r="C281" s="8" t="s">
        <v>14</v>
      </c>
      <c r="D281" s="9" t="str">
        <f>HYPERLINK("https://www.marklines.com/en/global/10564","Ultium Cells LLC- Lansing Plant")</f>
        <v>Ultium Cells LLC- Lansing Plant</v>
      </c>
      <c r="E281" s="8" t="s">
        <v>858</v>
      </c>
      <c r="F281" s="8" t="s">
        <v>19</v>
      </c>
      <c r="G281" s="8" t="s">
        <v>12</v>
      </c>
      <c r="H281" s="8" t="s">
        <v>13</v>
      </c>
      <c r="I281" s="10">
        <v>44897</v>
      </c>
      <c r="J281" s="8" t="s">
        <v>1380</v>
      </c>
    </row>
    <row r="282" spans="1:10" x14ac:dyDescent="0.15">
      <c r="A282" s="7">
        <v>44901</v>
      </c>
      <c r="B282" s="8" t="s">
        <v>14</v>
      </c>
      <c r="C282" s="8" t="s">
        <v>14</v>
      </c>
      <c r="D282" s="9" t="str">
        <f>HYPERLINK("https://www.marklines.com/en/global/10475","Ultium Cells LLC- Spring Hill, Tennessee ")</f>
        <v xml:space="preserve">Ultium Cells LLC- Spring Hill, Tennessee </v>
      </c>
      <c r="E282" s="8" t="s">
        <v>859</v>
      </c>
      <c r="F282" s="8" t="s">
        <v>19</v>
      </c>
      <c r="G282" s="8" t="s">
        <v>12</v>
      </c>
      <c r="H282" s="8" t="s">
        <v>107</v>
      </c>
      <c r="I282" s="10">
        <v>44897</v>
      </c>
      <c r="J282" s="8" t="s">
        <v>1380</v>
      </c>
    </row>
    <row r="283" spans="1:10" x14ac:dyDescent="0.15">
      <c r="A283" s="7">
        <v>44901</v>
      </c>
      <c r="B283" s="8" t="s">
        <v>59</v>
      </c>
      <c r="C283" s="8" t="s">
        <v>63</v>
      </c>
      <c r="D283" s="9" t="str">
        <f>HYPERLINK("https://www.marklines.com/en/global/10143","Stellantis, FCA Latam Design Center, Betim")</f>
        <v>Stellantis, FCA Latam Design Center, Betim</v>
      </c>
      <c r="E283" s="8" t="s">
        <v>1381</v>
      </c>
      <c r="F283" s="8" t="s">
        <v>24</v>
      </c>
      <c r="G283" s="8" t="s">
        <v>68</v>
      </c>
      <c r="H283" s="8"/>
      <c r="I283" s="10">
        <v>44897</v>
      </c>
      <c r="J283" s="8" t="s">
        <v>1382</v>
      </c>
    </row>
    <row r="284" spans="1:10" x14ac:dyDescent="0.15">
      <c r="A284" s="7">
        <v>44901</v>
      </c>
      <c r="B284" s="8" t="s">
        <v>17</v>
      </c>
      <c r="C284" s="8" t="s">
        <v>17</v>
      </c>
      <c r="D284" s="9" t="str">
        <f>HYPERLINK("https://www.marklines.com/en/global/293","PT. Honda Prospect Motor (HPM), Karawang Plant")</f>
        <v>PT. Honda Prospect Motor (HPM), Karawang Plant</v>
      </c>
      <c r="E284" s="8" t="s">
        <v>742</v>
      </c>
      <c r="F284" s="8" t="s">
        <v>22</v>
      </c>
      <c r="G284" s="8" t="s">
        <v>53</v>
      </c>
      <c r="H284" s="8"/>
      <c r="I284" s="10">
        <v>44896</v>
      </c>
      <c r="J284" s="8" t="s">
        <v>1387</v>
      </c>
    </row>
    <row r="285" spans="1:10" x14ac:dyDescent="0.15">
      <c r="A285" s="7">
        <v>44901</v>
      </c>
      <c r="B285" s="8" t="s">
        <v>30</v>
      </c>
      <c r="C285" s="8" t="s">
        <v>320</v>
      </c>
      <c r="D285" s="9" t="str">
        <f>HYPERLINK("https://www.marklines.com/en/global/543","Daihatsu Motor, Shiga (Ryuo) Plant")</f>
        <v>Daihatsu Motor, Shiga (Ryuo) Plant</v>
      </c>
      <c r="E285" s="8" t="s">
        <v>372</v>
      </c>
      <c r="F285" s="8" t="s">
        <v>25</v>
      </c>
      <c r="G285" s="8" t="s">
        <v>31</v>
      </c>
      <c r="H285" s="8" t="s">
        <v>373</v>
      </c>
      <c r="I285" s="10">
        <v>44895</v>
      </c>
      <c r="J285" s="8" t="s">
        <v>1394</v>
      </c>
    </row>
    <row r="286" spans="1:10" x14ac:dyDescent="0.15">
      <c r="A286" s="7">
        <v>44901</v>
      </c>
      <c r="B286" s="8" t="s">
        <v>76</v>
      </c>
      <c r="C286" s="8" t="s">
        <v>620</v>
      </c>
      <c r="D286" s="9" t="str">
        <f>HYPERLINK("https://www.marklines.com/en/global/9345","Geely Sichuan Commercial Vehicle Co., Ltd.")</f>
        <v>Geely Sichuan Commercial Vehicle Co., Ltd.</v>
      </c>
      <c r="E286" s="8" t="s">
        <v>621</v>
      </c>
      <c r="F286" s="8" t="s">
        <v>25</v>
      </c>
      <c r="G286" s="8" t="s">
        <v>71</v>
      </c>
      <c r="H286" s="8" t="s">
        <v>367</v>
      </c>
      <c r="I286" s="10">
        <v>44895</v>
      </c>
      <c r="J286" s="8" t="s">
        <v>1395</v>
      </c>
    </row>
    <row r="287" spans="1:10" x14ac:dyDescent="0.15">
      <c r="A287" s="7">
        <v>44901</v>
      </c>
      <c r="B287" s="8" t="s">
        <v>715</v>
      </c>
      <c r="C287" s="8" t="s">
        <v>715</v>
      </c>
      <c r="D287" s="9" t="str">
        <f>HYPERLINK("https://www.marklines.com/en/global/55","Yulon Motor, Sanyi Plant")</f>
        <v>Yulon Motor, Sanyi Plant</v>
      </c>
      <c r="E287" s="8" t="s">
        <v>716</v>
      </c>
      <c r="F287" s="8" t="s">
        <v>25</v>
      </c>
      <c r="G287" s="8" t="s">
        <v>318</v>
      </c>
      <c r="H287" s="8"/>
      <c r="I287" s="10">
        <v>44894</v>
      </c>
      <c r="J287" s="8" t="s">
        <v>1398</v>
      </c>
    </row>
    <row r="288" spans="1:10" x14ac:dyDescent="0.15">
      <c r="A288" s="7">
        <v>44901</v>
      </c>
      <c r="B288" s="8" t="s">
        <v>97</v>
      </c>
      <c r="C288" s="8" t="s">
        <v>97</v>
      </c>
      <c r="D288" s="9" t="str">
        <f>HYPERLINK("https://www.marklines.com/en/global/465","Nissan Motor Kyushu Co.,Ltd.")</f>
        <v>Nissan Motor Kyushu Co.,Ltd.</v>
      </c>
      <c r="E288" s="8" t="s">
        <v>983</v>
      </c>
      <c r="F288" s="8" t="s">
        <v>25</v>
      </c>
      <c r="G288" s="8" t="s">
        <v>31</v>
      </c>
      <c r="H288" s="8" t="s">
        <v>127</v>
      </c>
      <c r="I288" s="10">
        <v>44893</v>
      </c>
      <c r="J288" s="8" t="s">
        <v>1400</v>
      </c>
    </row>
    <row r="289" spans="1:10" x14ac:dyDescent="0.15">
      <c r="A289" s="7">
        <v>44901</v>
      </c>
      <c r="B289" s="8" t="s">
        <v>38</v>
      </c>
      <c r="C289" s="8" t="s">
        <v>38</v>
      </c>
      <c r="D289" s="9" t="str">
        <f>HYPERLINK("https://www.marklines.com/en/global/505","Mazda Motor, Hofu Plant")</f>
        <v>Mazda Motor, Hofu Plant</v>
      </c>
      <c r="E289" s="8" t="s">
        <v>1401</v>
      </c>
      <c r="F289" s="8" t="s">
        <v>25</v>
      </c>
      <c r="G289" s="8" t="s">
        <v>31</v>
      </c>
      <c r="H289" s="8" t="s">
        <v>1402</v>
      </c>
      <c r="I289" s="10">
        <v>44889</v>
      </c>
      <c r="J289" s="8" t="s">
        <v>1403</v>
      </c>
    </row>
    <row r="290" spans="1:10" x14ac:dyDescent="0.15">
      <c r="A290" s="7">
        <v>44900</v>
      </c>
      <c r="B290" s="8" t="s">
        <v>56</v>
      </c>
      <c r="C290" s="8" t="s">
        <v>56</v>
      </c>
      <c r="D290" s="9" t="str">
        <f>HYPERLINK("https://www.marklines.com/en/global/1419","Ford Otomotiv Sanayi A.Ş. (Ford Otosan), Gölcük Plant (Kocaeli Plant)")</f>
        <v>Ford Otomotiv Sanayi A.Ş. (Ford Otosan), Gölcük Plant (Kocaeli Plant)</v>
      </c>
      <c r="E290" s="8" t="s">
        <v>1147</v>
      </c>
      <c r="F290" s="8" t="s">
        <v>295</v>
      </c>
      <c r="G290" s="8" t="s">
        <v>296</v>
      </c>
      <c r="H290" s="8"/>
      <c r="I290" s="10">
        <v>44900</v>
      </c>
      <c r="J290" s="8" t="s">
        <v>1205</v>
      </c>
    </row>
    <row r="291" spans="1:10" x14ac:dyDescent="0.15">
      <c r="A291" s="7">
        <v>44900</v>
      </c>
      <c r="B291" s="8" t="s">
        <v>94</v>
      </c>
      <c r="C291" s="8" t="s">
        <v>94</v>
      </c>
      <c r="D291" s="9" t="str">
        <f>HYPERLINK("https://www.marklines.com/en/global/1256","Suzuki Motor Gujarat Private Limited (SMG), Hansalpur plant")</f>
        <v>Suzuki Motor Gujarat Private Limited (SMG), Hansalpur plant</v>
      </c>
      <c r="E291" s="8" t="s">
        <v>766</v>
      </c>
      <c r="F291" s="8" t="s">
        <v>69</v>
      </c>
      <c r="G291" s="8" t="s">
        <v>70</v>
      </c>
      <c r="H291" s="8" t="s">
        <v>498</v>
      </c>
      <c r="I291" s="10">
        <v>44897</v>
      </c>
      <c r="J291" s="8" t="s">
        <v>1206</v>
      </c>
    </row>
    <row r="292" spans="1:10" x14ac:dyDescent="0.15">
      <c r="A292" s="7">
        <v>44900</v>
      </c>
      <c r="B292" s="8" t="s">
        <v>94</v>
      </c>
      <c r="C292" s="8" t="s">
        <v>94</v>
      </c>
      <c r="D292" s="9" t="str">
        <f>HYPERLINK("https://www.marklines.com/en/global/1255","Maruti Suzuki India Ltd. (MSIL), Manesar Plant")</f>
        <v>Maruti Suzuki India Ltd. (MSIL), Manesar Plant</v>
      </c>
      <c r="E292" s="8" t="s">
        <v>768</v>
      </c>
      <c r="F292" s="8" t="s">
        <v>69</v>
      </c>
      <c r="G292" s="8" t="s">
        <v>70</v>
      </c>
      <c r="H292" s="8" t="s">
        <v>769</v>
      </c>
      <c r="I292" s="10">
        <v>44897</v>
      </c>
      <c r="J292" s="8" t="s">
        <v>1206</v>
      </c>
    </row>
    <row r="293" spans="1:10" x14ac:dyDescent="0.15">
      <c r="A293" s="7">
        <v>44900</v>
      </c>
      <c r="B293" s="8" t="s">
        <v>94</v>
      </c>
      <c r="C293" s="8" t="s">
        <v>94</v>
      </c>
      <c r="D293" s="9" t="str">
        <f>HYPERLINK("https://www.marklines.com/en/global/1253","Maruti Suzuki India Ltd. (MSIL), Gurgaon Plant")</f>
        <v>Maruti Suzuki India Ltd. (MSIL), Gurgaon Plant</v>
      </c>
      <c r="E293" s="8" t="s">
        <v>770</v>
      </c>
      <c r="F293" s="8" t="s">
        <v>69</v>
      </c>
      <c r="G293" s="8" t="s">
        <v>70</v>
      </c>
      <c r="H293" s="8" t="s">
        <v>769</v>
      </c>
      <c r="I293" s="10">
        <v>44897</v>
      </c>
      <c r="J293" s="8" t="s">
        <v>1206</v>
      </c>
    </row>
    <row r="294" spans="1:10" x14ac:dyDescent="0.15">
      <c r="A294" s="7">
        <v>44900</v>
      </c>
      <c r="B294" s="8" t="s">
        <v>30</v>
      </c>
      <c r="C294" s="8" t="s">
        <v>30</v>
      </c>
      <c r="D294" s="9" t="str">
        <f>HYPERLINK("https://www.marklines.com/en/global/2379","Toyota Motor Manufacturing (UK)Ltd. (TMUK), Burnaston Plant")</f>
        <v>Toyota Motor Manufacturing (UK)Ltd. (TMUK), Burnaston Plant</v>
      </c>
      <c r="E294" s="8" t="s">
        <v>1207</v>
      </c>
      <c r="F294" s="8" t="s">
        <v>20</v>
      </c>
      <c r="G294" s="8" t="s">
        <v>98</v>
      </c>
      <c r="H294" s="8"/>
      <c r="I294" s="10">
        <v>44897</v>
      </c>
      <c r="J294" s="8" t="s">
        <v>1208</v>
      </c>
    </row>
    <row r="295" spans="1:10" x14ac:dyDescent="0.15">
      <c r="A295" s="7">
        <v>44900</v>
      </c>
      <c r="B295" s="8" t="s">
        <v>30</v>
      </c>
      <c r="C295" s="8" t="s">
        <v>30</v>
      </c>
      <c r="D295" s="9" t="str">
        <f>HYPERLINK("https://www.marklines.com/en/global/10026","Toyota Motor Europe (TME) S.A./N.V., Toyota Technical Center Europe (Zaventem)")</f>
        <v>Toyota Motor Europe (TME) S.A./N.V., Toyota Technical Center Europe (Zaventem)</v>
      </c>
      <c r="E295" s="8" t="s">
        <v>1209</v>
      </c>
      <c r="F295" s="8" t="s">
        <v>20</v>
      </c>
      <c r="G295" s="8" t="s">
        <v>109</v>
      </c>
      <c r="H295" s="8"/>
      <c r="I295" s="10">
        <v>44897</v>
      </c>
      <c r="J295" s="8" t="s">
        <v>1208</v>
      </c>
    </row>
    <row r="296" spans="1:10" x14ac:dyDescent="0.15">
      <c r="A296" s="7">
        <v>44900</v>
      </c>
      <c r="B296" s="8" t="s">
        <v>27</v>
      </c>
      <c r="C296" s="8" t="s">
        <v>27</v>
      </c>
      <c r="D296" s="9" t="str">
        <f>HYPERLINK("https://www.marklines.com/en/global/10297","BMW Group's Aschheim proving ground")</f>
        <v>BMW Group's Aschheim proving ground</v>
      </c>
      <c r="E296" s="8" t="s">
        <v>1210</v>
      </c>
      <c r="F296" s="8" t="s">
        <v>20</v>
      </c>
      <c r="G296" s="8" t="s">
        <v>29</v>
      </c>
      <c r="H296" s="8"/>
      <c r="I296" s="10">
        <v>44897</v>
      </c>
      <c r="J296" s="8" t="s">
        <v>1211</v>
      </c>
    </row>
    <row r="297" spans="1:10" x14ac:dyDescent="0.15">
      <c r="A297" s="7">
        <v>44900</v>
      </c>
      <c r="B297" s="8" t="s">
        <v>27</v>
      </c>
      <c r="C297" s="8" t="s">
        <v>27</v>
      </c>
      <c r="D297" s="9" t="str">
        <f>HYPERLINK("https://www.marklines.com/en/global/10534","BMW Group Additive Manufacturing Campus (AMC), Oberschleißheim")</f>
        <v>BMW Group Additive Manufacturing Campus (AMC), Oberschleißheim</v>
      </c>
      <c r="E297" s="8" t="s">
        <v>1212</v>
      </c>
      <c r="F297" s="8" t="s">
        <v>20</v>
      </c>
      <c r="G297" s="8" t="s">
        <v>29</v>
      </c>
      <c r="H297" s="8"/>
      <c r="I297" s="10">
        <v>44897</v>
      </c>
      <c r="J297" s="8" t="s">
        <v>1211</v>
      </c>
    </row>
    <row r="298" spans="1:10" x14ac:dyDescent="0.15">
      <c r="A298" s="7">
        <v>44900</v>
      </c>
      <c r="B298" s="8" t="s">
        <v>27</v>
      </c>
      <c r="C298" s="8" t="s">
        <v>27</v>
      </c>
      <c r="D298" s="9" t="str">
        <f>HYPERLINK("https://www.marklines.com/en/global/3045","BMW Manufacturing Co., Spartanburg Plant")</f>
        <v>BMW Manufacturing Co., Spartanburg Plant</v>
      </c>
      <c r="E298" s="8" t="s">
        <v>181</v>
      </c>
      <c r="F298" s="8" t="s">
        <v>19</v>
      </c>
      <c r="G298" s="8" t="s">
        <v>12</v>
      </c>
      <c r="H298" s="8" t="s">
        <v>144</v>
      </c>
      <c r="I298" s="10">
        <v>44897</v>
      </c>
      <c r="J298" s="8" t="s">
        <v>1211</v>
      </c>
    </row>
    <row r="299" spans="1:10" x14ac:dyDescent="0.15">
      <c r="A299" s="7">
        <v>44900</v>
      </c>
      <c r="B299" s="8" t="s">
        <v>27</v>
      </c>
      <c r="C299" s="8" t="s">
        <v>27</v>
      </c>
      <c r="D299" s="9" t="str">
        <f>HYPERLINK("https://www.marklines.com/en/global/10197","BMW Group Research and Innovation Centre (FIZ) (Munich)")</f>
        <v>BMW Group Research and Innovation Centre (FIZ) (Munich)</v>
      </c>
      <c r="E299" s="8" t="s">
        <v>1213</v>
      </c>
      <c r="F299" s="8" t="s">
        <v>20</v>
      </c>
      <c r="G299" s="8" t="s">
        <v>29</v>
      </c>
      <c r="H299" s="8"/>
      <c r="I299" s="10">
        <v>44897</v>
      </c>
      <c r="J299" s="8" t="s">
        <v>1211</v>
      </c>
    </row>
    <row r="300" spans="1:10" x14ac:dyDescent="0.15">
      <c r="A300" s="7">
        <v>44900</v>
      </c>
      <c r="B300" s="8" t="s">
        <v>11</v>
      </c>
      <c r="C300" s="8" t="s">
        <v>341</v>
      </c>
      <c r="D300" s="9" t="str">
        <f>HYPERLINK("https://www.marklines.com/en/global/1815","Steyr Automotive GmbH, Steyr Plant (formerly MAN Truck &amp; Bus Oesterreich GmbH)")</f>
        <v>Steyr Automotive GmbH, Steyr Plant (formerly MAN Truck &amp; Bus Oesterreich GmbH)</v>
      </c>
      <c r="E300" s="8" t="s">
        <v>1214</v>
      </c>
      <c r="F300" s="8" t="s">
        <v>20</v>
      </c>
      <c r="G300" s="8" t="s">
        <v>106</v>
      </c>
      <c r="H300" s="8"/>
      <c r="I300" s="10">
        <v>44896</v>
      </c>
      <c r="J300" s="8" t="s">
        <v>1215</v>
      </c>
    </row>
    <row r="301" spans="1:10" x14ac:dyDescent="0.15">
      <c r="A301" s="7">
        <v>44900</v>
      </c>
      <c r="B301" s="8" t="s">
        <v>52</v>
      </c>
      <c r="C301" s="8" t="s">
        <v>91</v>
      </c>
      <c r="D301" s="9" t="str">
        <f>HYPERLINK("https://www.marklines.com/en/global/1655","Stellantis, Fiat Auto Poland S.A., Tychy Plant")</f>
        <v>Stellantis, Fiat Auto Poland S.A., Tychy Plant</v>
      </c>
      <c r="E301" s="8" t="s">
        <v>165</v>
      </c>
      <c r="F301" s="8" t="s">
        <v>21</v>
      </c>
      <c r="G301" s="8" t="s">
        <v>93</v>
      </c>
      <c r="H301" s="8"/>
      <c r="I301" s="10">
        <v>44896</v>
      </c>
      <c r="J301" s="8" t="s">
        <v>1216</v>
      </c>
    </row>
    <row r="302" spans="1:10" x14ac:dyDescent="0.15">
      <c r="A302" s="7">
        <v>44900</v>
      </c>
      <c r="B302" s="8" t="s">
        <v>170</v>
      </c>
      <c r="C302" s="8" t="s">
        <v>171</v>
      </c>
      <c r="D302" s="9" t="str">
        <f>HYPERLINK("https://www.marklines.com/en/global/1751","TATRA Trucks a.s., Koprivnice Plant")</f>
        <v>TATRA Trucks a.s., Koprivnice Plant</v>
      </c>
      <c r="E302" s="8" t="s">
        <v>1217</v>
      </c>
      <c r="F302" s="8" t="s">
        <v>21</v>
      </c>
      <c r="G302" s="8" t="s">
        <v>872</v>
      </c>
      <c r="H302" s="8"/>
      <c r="I302" s="10">
        <v>44896</v>
      </c>
      <c r="J302" s="8" t="s">
        <v>1218</v>
      </c>
    </row>
    <row r="303" spans="1:10" x14ac:dyDescent="0.15">
      <c r="A303" s="7">
        <v>44900</v>
      </c>
      <c r="B303" s="8" t="s">
        <v>170</v>
      </c>
      <c r="C303" s="8" t="s">
        <v>171</v>
      </c>
      <c r="D303" s="9" t="str">
        <f>HYPERLINK("https://www.marklines.com/en/global/1499","DAF Trucks Vlaanderen N.V., Westerlo Plant")</f>
        <v>DAF Trucks Vlaanderen N.V., Westerlo Plant</v>
      </c>
      <c r="E303" s="8" t="s">
        <v>1219</v>
      </c>
      <c r="F303" s="8" t="s">
        <v>20</v>
      </c>
      <c r="G303" s="8" t="s">
        <v>109</v>
      </c>
      <c r="H303" s="8"/>
      <c r="I303" s="10">
        <v>44896</v>
      </c>
      <c r="J303" s="8" t="s">
        <v>1218</v>
      </c>
    </row>
    <row r="304" spans="1:10" x14ac:dyDescent="0.15">
      <c r="A304" s="7">
        <v>44900</v>
      </c>
      <c r="B304" s="8" t="s">
        <v>11</v>
      </c>
      <c r="C304" s="8" t="s">
        <v>26</v>
      </c>
      <c r="D304" s="9" t="str">
        <f>HYPERLINK("https://www.marklines.com/en/global/10548","CARIAD SE (Wolfsburg)")</f>
        <v>CARIAD SE (Wolfsburg)</v>
      </c>
      <c r="E304" s="8" t="s">
        <v>1024</v>
      </c>
      <c r="F304" s="8" t="s">
        <v>20</v>
      </c>
      <c r="G304" s="8" t="s">
        <v>29</v>
      </c>
      <c r="H304" s="8"/>
      <c r="I304" s="10">
        <v>44896</v>
      </c>
      <c r="J304" s="8" t="s">
        <v>1220</v>
      </c>
    </row>
    <row r="305" spans="1:10" x14ac:dyDescent="0.15">
      <c r="A305" s="7">
        <v>44900</v>
      </c>
      <c r="B305" s="8" t="s">
        <v>52</v>
      </c>
      <c r="C305" s="8" t="s">
        <v>91</v>
      </c>
      <c r="D305" s="9" t="str">
        <f>HYPERLINK("https://www.marklines.com/en/global/4035","GAC Fiat Chrysler Automobiles Co., Ltd. (GAC FCA)")</f>
        <v>GAC Fiat Chrysler Automobiles Co., Ltd. (GAC FCA)</v>
      </c>
      <c r="E305" s="8" t="s">
        <v>799</v>
      </c>
      <c r="F305" s="8" t="s">
        <v>25</v>
      </c>
      <c r="G305" s="8" t="s">
        <v>71</v>
      </c>
      <c r="H305" s="8" t="s">
        <v>482</v>
      </c>
      <c r="I305" s="10">
        <v>44896</v>
      </c>
      <c r="J305" s="8" t="s">
        <v>1221</v>
      </c>
    </row>
    <row r="306" spans="1:10" x14ac:dyDescent="0.15">
      <c r="A306" s="7">
        <v>44900</v>
      </c>
      <c r="B306" s="8" t="s">
        <v>52</v>
      </c>
      <c r="C306" s="8" t="s">
        <v>91</v>
      </c>
      <c r="D306" s="9" t="str">
        <f>HYPERLINK("https://www.marklines.com/en/global/9243","GAC Fiat Chrysler Automobiles Co., Ltd. Guangzhou Branch")</f>
        <v>GAC Fiat Chrysler Automobiles Co., Ltd. Guangzhou Branch</v>
      </c>
      <c r="E306" s="8" t="s">
        <v>797</v>
      </c>
      <c r="F306" s="8" t="s">
        <v>25</v>
      </c>
      <c r="G306" s="8" t="s">
        <v>71</v>
      </c>
      <c r="H306" s="8" t="s">
        <v>83</v>
      </c>
      <c r="I306" s="10">
        <v>44896</v>
      </c>
      <c r="J306" s="8" t="s">
        <v>1221</v>
      </c>
    </row>
    <row r="307" spans="1:10" x14ac:dyDescent="0.15">
      <c r="A307" s="7">
        <v>44900</v>
      </c>
      <c r="B307" s="8" t="s">
        <v>82</v>
      </c>
      <c r="C307" s="8" t="s">
        <v>82</v>
      </c>
      <c r="D307" s="9" t="str">
        <f>HYPERLINK("https://www.marklines.com/en/global/4073","Guangzhou Automobile Group Co., Ltd. (GAC)")</f>
        <v>Guangzhou Automobile Group Co., Ltd. (GAC)</v>
      </c>
      <c r="E307" s="8" t="s">
        <v>827</v>
      </c>
      <c r="F307" s="8" t="s">
        <v>25</v>
      </c>
      <c r="G307" s="8" t="s">
        <v>71</v>
      </c>
      <c r="H307" s="8" t="s">
        <v>83</v>
      </c>
      <c r="I307" s="10">
        <v>44896</v>
      </c>
      <c r="J307" s="8" t="s">
        <v>1221</v>
      </c>
    </row>
    <row r="308" spans="1:10" x14ac:dyDescent="0.15">
      <c r="A308" s="7">
        <v>44900</v>
      </c>
      <c r="B308" s="8" t="s">
        <v>15</v>
      </c>
      <c r="C308" s="8" t="s">
        <v>15</v>
      </c>
      <c r="D308" s="9" t="str">
        <f>HYPERLINK("https://www.marklines.com/en/global/2749","Valmet Automotive Inc., Uusikaupunki Plant")</f>
        <v>Valmet Automotive Inc., Uusikaupunki Plant</v>
      </c>
      <c r="E308" s="8" t="s">
        <v>663</v>
      </c>
      <c r="F308" s="8" t="s">
        <v>20</v>
      </c>
      <c r="G308" s="8" t="s">
        <v>664</v>
      </c>
      <c r="H308" s="8"/>
      <c r="I308" s="10">
        <v>44895</v>
      </c>
      <c r="J308" s="8" t="s">
        <v>1222</v>
      </c>
    </row>
    <row r="309" spans="1:10" x14ac:dyDescent="0.15">
      <c r="A309" s="7">
        <v>44900</v>
      </c>
      <c r="B309" s="8" t="s">
        <v>17</v>
      </c>
      <c r="C309" s="8" t="s">
        <v>17</v>
      </c>
      <c r="D309" s="9" t="str">
        <f>HYPERLINK("https://www.marklines.com/en/global/4081","GAC Honda Automobile Co., Ltd. Huangpu Plant")</f>
        <v>GAC Honda Automobile Co., Ltd. Huangpu Plant</v>
      </c>
      <c r="E309" s="8" t="s">
        <v>1223</v>
      </c>
      <c r="F309" s="8" t="s">
        <v>25</v>
      </c>
      <c r="G309" s="8" t="s">
        <v>71</v>
      </c>
      <c r="H309" s="8" t="s">
        <v>83</v>
      </c>
      <c r="I309" s="10">
        <v>44895</v>
      </c>
      <c r="J309" s="8" t="s">
        <v>1224</v>
      </c>
    </row>
    <row r="310" spans="1:10" x14ac:dyDescent="0.15">
      <c r="A310" s="7">
        <v>44900</v>
      </c>
      <c r="B310" s="8" t="s">
        <v>89</v>
      </c>
      <c r="C310" s="8" t="s">
        <v>95</v>
      </c>
      <c r="D310" s="9" t="str">
        <f>HYPERLINK("https://www.marklines.com/en/global/3533","Great Wall Motor Company Limited (GWM)")</f>
        <v>Great Wall Motor Company Limited (GWM)</v>
      </c>
      <c r="E310" s="8" t="s">
        <v>615</v>
      </c>
      <c r="F310" s="8" t="s">
        <v>25</v>
      </c>
      <c r="G310" s="8" t="s">
        <v>71</v>
      </c>
      <c r="H310" s="8" t="s">
        <v>616</v>
      </c>
      <c r="I310" s="10">
        <v>44895</v>
      </c>
      <c r="J310" s="8" t="s">
        <v>1225</v>
      </c>
    </row>
    <row r="311" spans="1:10" x14ac:dyDescent="0.15">
      <c r="A311" s="7">
        <v>44900</v>
      </c>
      <c r="B311" s="8" t="s">
        <v>89</v>
      </c>
      <c r="C311" s="8" t="s">
        <v>523</v>
      </c>
      <c r="D311" s="9" t="str">
        <f>HYPERLINK("https://www.marklines.com/en/global/3533","Great Wall Motor Company Limited (GWM)")</f>
        <v>Great Wall Motor Company Limited (GWM)</v>
      </c>
      <c r="E311" s="8" t="s">
        <v>615</v>
      </c>
      <c r="F311" s="8" t="s">
        <v>25</v>
      </c>
      <c r="G311" s="8" t="s">
        <v>71</v>
      </c>
      <c r="H311" s="8" t="s">
        <v>616</v>
      </c>
      <c r="I311" s="10">
        <v>44895</v>
      </c>
      <c r="J311" s="8" t="s">
        <v>1225</v>
      </c>
    </row>
    <row r="312" spans="1:10" x14ac:dyDescent="0.15">
      <c r="A312" s="7">
        <v>44900</v>
      </c>
      <c r="B312" s="8" t="s">
        <v>89</v>
      </c>
      <c r="C312" s="8" t="s">
        <v>523</v>
      </c>
      <c r="D312" s="9" t="str">
        <f>HYPERLINK("https://www.marklines.com/en/global/9604","Spotlight Automotive Limited")</f>
        <v>Spotlight Automotive Limited</v>
      </c>
      <c r="E312" s="8" t="s">
        <v>1226</v>
      </c>
      <c r="F312" s="8" t="s">
        <v>25</v>
      </c>
      <c r="G312" s="8" t="s">
        <v>71</v>
      </c>
      <c r="H312" s="8" t="s">
        <v>351</v>
      </c>
      <c r="I312" s="10">
        <v>44895</v>
      </c>
      <c r="J312" s="8" t="s">
        <v>1225</v>
      </c>
    </row>
    <row r="313" spans="1:10" x14ac:dyDescent="0.15">
      <c r="A313" s="7">
        <v>44900</v>
      </c>
      <c r="B313" s="8" t="s">
        <v>89</v>
      </c>
      <c r="C313" s="8" t="s">
        <v>993</v>
      </c>
      <c r="D313" s="9" t="str">
        <f>HYPERLINK("https://www.marklines.com/en/global/10420","Great Wall Automobile Co., Ltd. Jingmen Branch")</f>
        <v>Great Wall Automobile Co., Ltd. Jingmen Branch</v>
      </c>
      <c r="E313" s="8" t="s">
        <v>1227</v>
      </c>
      <c r="F313" s="8" t="s">
        <v>25</v>
      </c>
      <c r="G313" s="8" t="s">
        <v>71</v>
      </c>
      <c r="H313" s="8" t="s">
        <v>90</v>
      </c>
      <c r="I313" s="10">
        <v>44895</v>
      </c>
      <c r="J313" s="8" t="s">
        <v>1225</v>
      </c>
    </row>
    <row r="314" spans="1:10" x14ac:dyDescent="0.15">
      <c r="A314" s="7">
        <v>44900</v>
      </c>
      <c r="B314" s="8" t="s">
        <v>89</v>
      </c>
      <c r="C314" s="8" t="s">
        <v>89</v>
      </c>
      <c r="D314" s="9" t="str">
        <f>HYPERLINK("https://www.marklines.com/en/global/3533","Great Wall Motor Company Limited (GWM)")</f>
        <v>Great Wall Motor Company Limited (GWM)</v>
      </c>
      <c r="E314" s="8" t="s">
        <v>615</v>
      </c>
      <c r="F314" s="8" t="s">
        <v>25</v>
      </c>
      <c r="G314" s="8" t="s">
        <v>71</v>
      </c>
      <c r="H314" s="8" t="s">
        <v>616</v>
      </c>
      <c r="I314" s="10">
        <v>44895</v>
      </c>
      <c r="J314" s="8" t="s">
        <v>1228</v>
      </c>
    </row>
    <row r="315" spans="1:10" x14ac:dyDescent="0.15">
      <c r="A315" s="7">
        <v>44900</v>
      </c>
      <c r="B315" s="8" t="s">
        <v>478</v>
      </c>
      <c r="C315" s="8" t="s">
        <v>478</v>
      </c>
      <c r="D315" s="9" t="str">
        <f>HYPERLINK("https://www.marklines.com/en/global/4125","BYD Automobile Industry Co., Ltd., Shenzhen Plant")</f>
        <v>BYD Automobile Industry Co., Ltd., Shenzhen Plant</v>
      </c>
      <c r="E315" s="8" t="s">
        <v>702</v>
      </c>
      <c r="F315" s="8" t="s">
        <v>25</v>
      </c>
      <c r="G315" s="8" t="s">
        <v>71</v>
      </c>
      <c r="H315" s="8" t="s">
        <v>83</v>
      </c>
      <c r="I315" s="10">
        <v>44894</v>
      </c>
      <c r="J315" s="8" t="s">
        <v>1229</v>
      </c>
    </row>
    <row r="316" spans="1:10" x14ac:dyDescent="0.15">
      <c r="A316" s="7">
        <v>44900</v>
      </c>
      <c r="B316" s="8" t="s">
        <v>17</v>
      </c>
      <c r="C316" s="8" t="s">
        <v>17</v>
      </c>
      <c r="D316" s="9" t="str">
        <f>HYPERLINK("https://www.marklines.com/en/global/3981","Dongfeng Honda Automobile Co., Ltd. ")</f>
        <v xml:space="preserve">Dongfeng Honda Automobile Co., Ltd. </v>
      </c>
      <c r="E316" s="8" t="s">
        <v>408</v>
      </c>
      <c r="F316" s="8" t="s">
        <v>25</v>
      </c>
      <c r="G316" s="8" t="s">
        <v>71</v>
      </c>
      <c r="H316" s="8" t="s">
        <v>90</v>
      </c>
      <c r="I316" s="10">
        <v>44894</v>
      </c>
      <c r="J316" s="8" t="s">
        <v>1230</v>
      </c>
    </row>
    <row r="317" spans="1:10" x14ac:dyDescent="0.15">
      <c r="A317" s="7">
        <v>44900</v>
      </c>
      <c r="B317" s="8" t="s">
        <v>56</v>
      </c>
      <c r="C317" s="8" t="s">
        <v>56</v>
      </c>
      <c r="D317" s="9" t="str">
        <f>HYPERLINK("https://www.marklines.com/en/global/4167","Changan Ford Automobile Co., Ltd.")</f>
        <v>Changan Ford Automobile Co., Ltd.</v>
      </c>
      <c r="E317" s="8" t="s">
        <v>1231</v>
      </c>
      <c r="F317" s="8" t="s">
        <v>25</v>
      </c>
      <c r="G317" s="8" t="s">
        <v>71</v>
      </c>
      <c r="H317" s="8" t="s">
        <v>81</v>
      </c>
      <c r="I317" s="10">
        <v>44894</v>
      </c>
      <c r="J317" s="8" t="s">
        <v>1230</v>
      </c>
    </row>
    <row r="318" spans="1:10" x14ac:dyDescent="0.15">
      <c r="A318" s="7">
        <v>44900</v>
      </c>
      <c r="B318" s="8" t="s">
        <v>11</v>
      </c>
      <c r="C318" s="8" t="s">
        <v>26</v>
      </c>
      <c r="D318" s="9" t="str">
        <f>HYPERLINK("https://www.marklines.com/en/global/4213","FAW-Volkswagen Automotive Co., Ltd. Chengdu Branch")</f>
        <v>FAW-Volkswagen Automotive Co., Ltd. Chengdu Branch</v>
      </c>
      <c r="E318" s="8" t="s">
        <v>1232</v>
      </c>
      <c r="F318" s="8" t="s">
        <v>25</v>
      </c>
      <c r="G318" s="8" t="s">
        <v>71</v>
      </c>
      <c r="H318" s="8" t="s">
        <v>367</v>
      </c>
      <c r="I318" s="10">
        <v>44894</v>
      </c>
      <c r="J318" s="8" t="s">
        <v>1230</v>
      </c>
    </row>
    <row r="319" spans="1:10" x14ac:dyDescent="0.15">
      <c r="A319" s="7">
        <v>44900</v>
      </c>
      <c r="B319" s="8" t="s">
        <v>11</v>
      </c>
      <c r="C319" s="8" t="s">
        <v>26</v>
      </c>
      <c r="D319" s="9" t="str">
        <f>HYPERLINK("https://www.marklines.com/en/global/3341","FAW-Volkswagen Automotive Co., Ltd.")</f>
        <v>FAW-Volkswagen Automotive Co., Ltd.</v>
      </c>
      <c r="E319" s="8" t="s">
        <v>582</v>
      </c>
      <c r="F319" s="8" t="s">
        <v>25</v>
      </c>
      <c r="G319" s="8" t="s">
        <v>71</v>
      </c>
      <c r="H319" s="8" t="s">
        <v>583</v>
      </c>
      <c r="I319" s="10">
        <v>44894</v>
      </c>
      <c r="J319" s="8" t="s">
        <v>1230</v>
      </c>
    </row>
    <row r="320" spans="1:10" x14ac:dyDescent="0.15">
      <c r="A320" s="7">
        <v>44900</v>
      </c>
      <c r="B320" s="8" t="s">
        <v>11</v>
      </c>
      <c r="C320" s="8" t="s">
        <v>108</v>
      </c>
      <c r="D320" s="9" t="str">
        <f>HYPERLINK("https://www.marklines.com/en/global/3341","FAW-Volkswagen Automotive Co., Ltd.")</f>
        <v>FAW-Volkswagen Automotive Co., Ltd.</v>
      </c>
      <c r="E320" s="8" t="s">
        <v>582</v>
      </c>
      <c r="F320" s="8" t="s">
        <v>25</v>
      </c>
      <c r="G320" s="8" t="s">
        <v>71</v>
      </c>
      <c r="H320" s="8" t="s">
        <v>583</v>
      </c>
      <c r="I320" s="10">
        <v>44894</v>
      </c>
      <c r="J320" s="8" t="s">
        <v>1230</v>
      </c>
    </row>
    <row r="321" spans="1:10" x14ac:dyDescent="0.15">
      <c r="A321" s="7">
        <v>44900</v>
      </c>
      <c r="B321" s="8" t="s">
        <v>89</v>
      </c>
      <c r="C321" s="8" t="s">
        <v>523</v>
      </c>
      <c r="D321" s="9" t="str">
        <f>HYPERLINK("https://www.marklines.com/en/global/9837","Great Wall Automobile Co., Ltd. Taizhou Branch")</f>
        <v>Great Wall Automobile Co., Ltd. Taizhou Branch</v>
      </c>
      <c r="E321" s="8" t="s">
        <v>524</v>
      </c>
      <c r="F321" s="8" t="s">
        <v>25</v>
      </c>
      <c r="G321" s="8" t="s">
        <v>71</v>
      </c>
      <c r="H321" s="8" t="s">
        <v>351</v>
      </c>
      <c r="I321" s="10">
        <v>44893</v>
      </c>
      <c r="J321" s="8" t="s">
        <v>1233</v>
      </c>
    </row>
    <row r="322" spans="1:10" x14ac:dyDescent="0.15">
      <c r="A322" s="7">
        <v>44898</v>
      </c>
      <c r="B322" s="8" t="s">
        <v>327</v>
      </c>
      <c r="C322" s="8" t="s">
        <v>327</v>
      </c>
      <c r="D322" s="9" t="str">
        <f>HYPERLINK("https://www.marklines.com/en/global/4512","Tesla Gigafactory")</f>
        <v>Tesla Gigafactory</v>
      </c>
      <c r="E322" s="8" t="s">
        <v>328</v>
      </c>
      <c r="F322" s="8" t="s">
        <v>19</v>
      </c>
      <c r="G322" s="8" t="s">
        <v>12</v>
      </c>
      <c r="H322" s="8" t="s">
        <v>329</v>
      </c>
      <c r="I322" s="10">
        <v>44896</v>
      </c>
      <c r="J322" s="8" t="s">
        <v>1234</v>
      </c>
    </row>
    <row r="323" spans="1:10" x14ac:dyDescent="0.15">
      <c r="A323" s="7">
        <v>44898</v>
      </c>
      <c r="B323" s="8" t="s">
        <v>327</v>
      </c>
      <c r="C323" s="8" t="s">
        <v>327</v>
      </c>
      <c r="D323" s="9" t="str">
        <f>HYPERLINK("https://www.marklines.com/en/global/10321","Tesla Gigafactory Texas")</f>
        <v>Tesla Gigafactory Texas</v>
      </c>
      <c r="E323" s="8" t="s">
        <v>331</v>
      </c>
      <c r="F323" s="8" t="s">
        <v>19</v>
      </c>
      <c r="G323" s="8" t="s">
        <v>12</v>
      </c>
      <c r="H323" s="8" t="s">
        <v>332</v>
      </c>
      <c r="I323" s="10">
        <v>44896</v>
      </c>
      <c r="J323" s="8" t="s">
        <v>1234</v>
      </c>
    </row>
    <row r="324" spans="1:10" x14ac:dyDescent="0.15">
      <c r="A324" s="7">
        <v>44898</v>
      </c>
      <c r="B324" s="8" t="s">
        <v>14</v>
      </c>
      <c r="C324" s="8" t="s">
        <v>23</v>
      </c>
      <c r="D324" s="9" t="str">
        <f>HYPERLINK("https://www.marklines.com/en/global/2845","General Motors Brazil, Sao Caetano do Sul Plant")</f>
        <v>General Motors Brazil, Sao Caetano do Sul Plant</v>
      </c>
      <c r="E324" s="8" t="s">
        <v>92</v>
      </c>
      <c r="F324" s="8" t="s">
        <v>24</v>
      </c>
      <c r="G324" s="8" t="s">
        <v>68</v>
      </c>
      <c r="H324" s="8"/>
      <c r="I324" s="10">
        <v>44896</v>
      </c>
      <c r="J324" s="8" t="s">
        <v>1235</v>
      </c>
    </row>
    <row r="325" spans="1:10" x14ac:dyDescent="0.15">
      <c r="A325" s="7">
        <v>44898</v>
      </c>
      <c r="B325" s="8" t="s">
        <v>30</v>
      </c>
      <c r="C325" s="8" t="s">
        <v>30</v>
      </c>
      <c r="D325" s="9" t="str">
        <f>HYPERLINK("https://www.marklines.com/en/global/3237","Toyota Motor Manufacturing, Indiana,  Inc. (TMMI), Princeton Plant")</f>
        <v>Toyota Motor Manufacturing, Indiana,  Inc. (TMMI), Princeton Plant</v>
      </c>
      <c r="E325" s="8" t="s">
        <v>114</v>
      </c>
      <c r="F325" s="8" t="s">
        <v>19</v>
      </c>
      <c r="G325" s="8" t="s">
        <v>12</v>
      </c>
      <c r="H325" s="8" t="s">
        <v>39</v>
      </c>
      <c r="I325" s="10">
        <v>44896</v>
      </c>
      <c r="J325" s="8" t="s">
        <v>1236</v>
      </c>
    </row>
    <row r="326" spans="1:10" x14ac:dyDescent="0.15">
      <c r="A326" s="7">
        <v>44897</v>
      </c>
      <c r="B326" s="8" t="s">
        <v>56</v>
      </c>
      <c r="C326" s="8" t="s">
        <v>56</v>
      </c>
      <c r="D326" s="9" t="str">
        <f>HYPERLINK("https://www.marklines.com/en/global/2315","Ford Halewood Transmissions Ltd. (formerly Getrag Ford Transmission GmbH, Halewood Transmission Plant)")</f>
        <v>Ford Halewood Transmissions Ltd. (formerly Getrag Ford Transmission GmbH, Halewood Transmission Plant)</v>
      </c>
      <c r="E326" s="8" t="s">
        <v>1237</v>
      </c>
      <c r="F326" s="8" t="s">
        <v>20</v>
      </c>
      <c r="G326" s="8" t="s">
        <v>98</v>
      </c>
      <c r="H326" s="8"/>
      <c r="I326" s="10">
        <v>44897</v>
      </c>
      <c r="J326" s="8" t="s">
        <v>1238</v>
      </c>
    </row>
    <row r="327" spans="1:10" x14ac:dyDescent="0.15">
      <c r="A327" s="7">
        <v>44897</v>
      </c>
      <c r="B327" s="8" t="s">
        <v>327</v>
      </c>
      <c r="C327" s="8" t="s">
        <v>327</v>
      </c>
      <c r="D327" s="9" t="str">
        <f>HYPERLINK("https://www.marklines.com/en/global/10321","Tesla Gigafactory Texas")</f>
        <v>Tesla Gigafactory Texas</v>
      </c>
      <c r="E327" s="8" t="s">
        <v>331</v>
      </c>
      <c r="F327" s="8" t="s">
        <v>19</v>
      </c>
      <c r="G327" s="8" t="s">
        <v>12</v>
      </c>
      <c r="H327" s="8" t="s">
        <v>332</v>
      </c>
      <c r="I327" s="10">
        <v>44896</v>
      </c>
      <c r="J327" s="8" t="s">
        <v>1239</v>
      </c>
    </row>
    <row r="328" spans="1:10" x14ac:dyDescent="0.15">
      <c r="A328" s="7">
        <v>44897</v>
      </c>
      <c r="B328" s="8" t="s">
        <v>27</v>
      </c>
      <c r="C328" s="8" t="s">
        <v>27</v>
      </c>
      <c r="D328" s="9" t="str">
        <f>HYPERLINK("https://www.marklines.com/en/global/3045","BMW Manufacturing Co., Spartanburg Plant")</f>
        <v>BMW Manufacturing Co., Spartanburg Plant</v>
      </c>
      <c r="E328" s="8" t="s">
        <v>181</v>
      </c>
      <c r="F328" s="8" t="s">
        <v>19</v>
      </c>
      <c r="G328" s="8" t="s">
        <v>12</v>
      </c>
      <c r="H328" s="8" t="s">
        <v>144</v>
      </c>
      <c r="I328" s="10">
        <v>44896</v>
      </c>
      <c r="J328" s="8" t="s">
        <v>1240</v>
      </c>
    </row>
    <row r="329" spans="1:10" x14ac:dyDescent="0.15">
      <c r="A329" s="7">
        <v>44897</v>
      </c>
      <c r="B329" s="8" t="s">
        <v>82</v>
      </c>
      <c r="C329" s="8" t="s">
        <v>82</v>
      </c>
      <c r="D329" s="9" t="str">
        <f>HYPERLINK("https://www.marklines.com/en/global/9276","Guangzhou GAC BYD New Energy Passenger Vehicle Co., Ltd. ")</f>
        <v xml:space="preserve">Guangzhou GAC BYD New Energy Passenger Vehicle Co., Ltd. </v>
      </c>
      <c r="E329" s="8" t="s">
        <v>1241</v>
      </c>
      <c r="F329" s="8" t="s">
        <v>25</v>
      </c>
      <c r="G329" s="8" t="s">
        <v>71</v>
      </c>
      <c r="H329" s="8" t="s">
        <v>83</v>
      </c>
      <c r="I329" s="10">
        <v>44895</v>
      </c>
      <c r="J329" s="8" t="s">
        <v>1242</v>
      </c>
    </row>
    <row r="330" spans="1:10" x14ac:dyDescent="0.15">
      <c r="A330" s="7">
        <v>44897</v>
      </c>
      <c r="B330" s="8" t="s">
        <v>82</v>
      </c>
      <c r="C330" s="8" t="s">
        <v>82</v>
      </c>
      <c r="D330" s="9" t="str">
        <f>HYPERLINK("https://www.marklines.com/en/global/4105","GAC Hino Motors Co., Ltd.")</f>
        <v>GAC Hino Motors Co., Ltd.</v>
      </c>
      <c r="E330" s="8" t="s">
        <v>1243</v>
      </c>
      <c r="F330" s="8" t="s">
        <v>25</v>
      </c>
      <c r="G330" s="8" t="s">
        <v>71</v>
      </c>
      <c r="H330" s="8" t="s">
        <v>83</v>
      </c>
      <c r="I330" s="10">
        <v>44895</v>
      </c>
      <c r="J330" s="8" t="s">
        <v>1242</v>
      </c>
    </row>
    <row r="331" spans="1:10" x14ac:dyDescent="0.15">
      <c r="A331" s="7">
        <v>44897</v>
      </c>
      <c r="B331" s="8" t="s">
        <v>82</v>
      </c>
      <c r="C331" s="8" t="s">
        <v>82</v>
      </c>
      <c r="D331" s="9" t="str">
        <f>HYPERLINK("https://www.marklines.com/en/global/4075","GAC Motor Co., Ltd. (formerly Guangzhou Automobile Group Motor Co., Ltd.)")</f>
        <v>GAC Motor Co., Ltd. (formerly Guangzhou Automobile Group Motor Co., Ltd.)</v>
      </c>
      <c r="E331" s="8" t="s">
        <v>474</v>
      </c>
      <c r="F331" s="8" t="s">
        <v>25</v>
      </c>
      <c r="G331" s="8" t="s">
        <v>71</v>
      </c>
      <c r="H331" s="8" t="s">
        <v>83</v>
      </c>
      <c r="I331" s="10">
        <v>44895</v>
      </c>
      <c r="J331" s="8" t="s">
        <v>1242</v>
      </c>
    </row>
    <row r="332" spans="1:10" x14ac:dyDescent="0.15">
      <c r="A332" s="7">
        <v>44897</v>
      </c>
      <c r="B332" s="8" t="s">
        <v>439</v>
      </c>
      <c r="C332" s="8" t="s">
        <v>704</v>
      </c>
      <c r="D332" s="9" t="str">
        <f>HYPERLINK("https://www.marklines.com/en/global/6427","Beijing Borgward Automobile Co., Ltd. ")</f>
        <v xml:space="preserve">Beijing Borgward Automobile Co., Ltd. </v>
      </c>
      <c r="E332" s="8" t="s">
        <v>1244</v>
      </c>
      <c r="F332" s="8" t="s">
        <v>25</v>
      </c>
      <c r="G332" s="8" t="s">
        <v>71</v>
      </c>
      <c r="H332" s="8" t="s">
        <v>437</v>
      </c>
      <c r="I332" s="10">
        <v>44894</v>
      </c>
      <c r="J332" s="8" t="s">
        <v>1245</v>
      </c>
    </row>
    <row r="333" spans="1:10" x14ac:dyDescent="0.15">
      <c r="A333" s="7">
        <v>44897</v>
      </c>
      <c r="B333" s="8" t="s">
        <v>15</v>
      </c>
      <c r="C333" s="8" t="s">
        <v>1246</v>
      </c>
      <c r="D333" s="9" t="str">
        <f>HYPERLINK("https://www.marklines.com/en/global/6427","Beijing Borgward Automobile Co., Ltd. ")</f>
        <v xml:space="preserve">Beijing Borgward Automobile Co., Ltd. </v>
      </c>
      <c r="E333" s="8" t="s">
        <v>1244</v>
      </c>
      <c r="F333" s="8" t="s">
        <v>25</v>
      </c>
      <c r="G333" s="8" t="s">
        <v>71</v>
      </c>
      <c r="H333" s="8" t="s">
        <v>437</v>
      </c>
      <c r="I333" s="10">
        <v>44894</v>
      </c>
      <c r="J333" s="8" t="s">
        <v>1245</v>
      </c>
    </row>
    <row r="334" spans="1:10" x14ac:dyDescent="0.15">
      <c r="A334" s="7">
        <v>44897</v>
      </c>
      <c r="B334" s="8" t="s">
        <v>76</v>
      </c>
      <c r="C334" s="8" t="s">
        <v>76</v>
      </c>
      <c r="D334" s="9" t="str">
        <f>HYPERLINK("https://www.marklines.com/en/global/3807","Zhejiang Geely Holding Group Co., Ltd.")</f>
        <v>Zhejiang Geely Holding Group Co., Ltd.</v>
      </c>
      <c r="E334" s="8" t="s">
        <v>719</v>
      </c>
      <c r="F334" s="8" t="s">
        <v>25</v>
      </c>
      <c r="G334" s="8" t="s">
        <v>71</v>
      </c>
      <c r="H334" s="8" t="s">
        <v>78</v>
      </c>
      <c r="I334" s="10">
        <v>44894</v>
      </c>
      <c r="J334" s="8" t="s">
        <v>1247</v>
      </c>
    </row>
    <row r="335" spans="1:10" x14ac:dyDescent="0.15">
      <c r="A335" s="7">
        <v>44897</v>
      </c>
      <c r="B335" s="8" t="s">
        <v>76</v>
      </c>
      <c r="C335" s="8" t="s">
        <v>76</v>
      </c>
      <c r="D335" s="9" t="str">
        <f>HYPERLINK("https://www.marklines.com/en/global/9568","Xi'an Geely Automobile Co., Ltd.")</f>
        <v>Xi'an Geely Automobile Co., Ltd.</v>
      </c>
      <c r="E335" s="8" t="s">
        <v>1104</v>
      </c>
      <c r="F335" s="8" t="s">
        <v>25</v>
      </c>
      <c r="G335" s="8" t="s">
        <v>71</v>
      </c>
      <c r="H335" s="8" t="s">
        <v>727</v>
      </c>
      <c r="I335" s="10">
        <v>44894</v>
      </c>
      <c r="J335" s="8" t="s">
        <v>1247</v>
      </c>
    </row>
    <row r="336" spans="1:10" x14ac:dyDescent="0.15">
      <c r="A336" s="7">
        <v>44897</v>
      </c>
      <c r="B336" s="8" t="s">
        <v>100</v>
      </c>
      <c r="C336" s="8" t="s">
        <v>113</v>
      </c>
      <c r="D336" s="9" t="str">
        <f>HYPERLINK("https://www.marklines.com/en/global/285","PT SGMW Motor Indonesia")</f>
        <v>PT SGMW Motor Indonesia</v>
      </c>
      <c r="E336" s="8" t="s">
        <v>949</v>
      </c>
      <c r="F336" s="8" t="s">
        <v>22</v>
      </c>
      <c r="G336" s="8" t="s">
        <v>53</v>
      </c>
      <c r="H336" s="8"/>
      <c r="I336" s="10">
        <v>44893</v>
      </c>
      <c r="J336" s="8" t="s">
        <v>1248</v>
      </c>
    </row>
    <row r="337" spans="1:10" x14ac:dyDescent="0.15">
      <c r="A337" s="7">
        <v>44897</v>
      </c>
      <c r="B337" s="8" t="s">
        <v>79</v>
      </c>
      <c r="C337" s="8" t="s">
        <v>79</v>
      </c>
      <c r="D337" s="9" t="str">
        <f>HYPERLINK("https://www.marklines.com/en/global/4171","Chongqing Changan Kuayue Automobile Co., Ltd.")</f>
        <v>Chongqing Changan Kuayue Automobile Co., Ltd.</v>
      </c>
      <c r="E337" s="8" t="s">
        <v>1249</v>
      </c>
      <c r="F337" s="8" t="s">
        <v>25</v>
      </c>
      <c r="G337" s="8" t="s">
        <v>71</v>
      </c>
      <c r="H337" s="8" t="s">
        <v>81</v>
      </c>
      <c r="I337" s="10">
        <v>44892</v>
      </c>
      <c r="J337" s="8" t="s">
        <v>1250</v>
      </c>
    </row>
    <row r="338" spans="1:10" x14ac:dyDescent="0.15">
      <c r="A338" s="7">
        <v>44897</v>
      </c>
      <c r="B338" s="8" t="s">
        <v>79</v>
      </c>
      <c r="C338" s="8" t="s">
        <v>79</v>
      </c>
      <c r="D338" s="9" t="str">
        <f>HYPERLINK("https://www.marklines.com/en/global/4163","Chongqing Changan Automobile Co., Ltd.")</f>
        <v>Chongqing Changan Automobile Co., Ltd.</v>
      </c>
      <c r="E338" s="8" t="s">
        <v>80</v>
      </c>
      <c r="F338" s="8" t="s">
        <v>25</v>
      </c>
      <c r="G338" s="8" t="s">
        <v>71</v>
      </c>
      <c r="H338" s="8" t="s">
        <v>81</v>
      </c>
      <c r="I338" s="10">
        <v>44892</v>
      </c>
      <c r="J338" s="8" t="s">
        <v>1250</v>
      </c>
    </row>
    <row r="339" spans="1:10" x14ac:dyDescent="0.15">
      <c r="A339" s="7">
        <v>44897</v>
      </c>
      <c r="B339" s="8" t="s">
        <v>15</v>
      </c>
      <c r="C339" s="8" t="s">
        <v>1251</v>
      </c>
      <c r="D339" s="9" t="str">
        <f>HYPERLINK("https://www.marklines.com/en/global/4179","Lifan Technology (Group) Co., Ltd. (formerly Lifan Industry (Group) Co., Ltd.)")</f>
        <v>Lifan Technology (Group) Co., Ltd. (formerly Lifan Industry (Group) Co., Ltd.)</v>
      </c>
      <c r="E339" s="8" t="s">
        <v>1252</v>
      </c>
      <c r="F339" s="8" t="s">
        <v>25</v>
      </c>
      <c r="G339" s="8" t="s">
        <v>71</v>
      </c>
      <c r="H339" s="8" t="s">
        <v>81</v>
      </c>
      <c r="I339" s="10">
        <v>44892</v>
      </c>
      <c r="J339" s="8" t="s">
        <v>1250</v>
      </c>
    </row>
    <row r="340" spans="1:10" x14ac:dyDescent="0.15">
      <c r="A340" s="7">
        <v>44897</v>
      </c>
      <c r="B340" s="8" t="s">
        <v>585</v>
      </c>
      <c r="C340" s="8" t="s">
        <v>586</v>
      </c>
      <c r="D340" s="9" t="str">
        <f>HYPERLINK("https://www.marklines.com/en/global/9476","Bangchan General Assembly Co., Ltd. (BGAC), Bangkok Plant")</f>
        <v>Bangchan General Assembly Co., Ltd. (BGAC), Bangkok Plant</v>
      </c>
      <c r="E340" s="8" t="s">
        <v>1253</v>
      </c>
      <c r="F340" s="8" t="s">
        <v>22</v>
      </c>
      <c r="G340" s="8" t="s">
        <v>514</v>
      </c>
      <c r="H340" s="8" t="s">
        <v>1254</v>
      </c>
      <c r="I340" s="10">
        <v>44889</v>
      </c>
      <c r="J340" s="8" t="s">
        <v>1255</v>
      </c>
    </row>
    <row r="341" spans="1:10" x14ac:dyDescent="0.15">
      <c r="A341" s="7">
        <v>44896</v>
      </c>
      <c r="B341" s="8" t="s">
        <v>17</v>
      </c>
      <c r="C341" s="8" t="s">
        <v>17</v>
      </c>
      <c r="D341" s="9" t="str">
        <f>HYPERLINK("https://www.marklines.com/en/global/3112","Honda of America Manufacturing Inc., Performance Manufacturing Center")</f>
        <v>Honda of America Manufacturing Inc., Performance Manufacturing Center</v>
      </c>
      <c r="E341" s="8" t="s">
        <v>985</v>
      </c>
      <c r="F341" s="8" t="s">
        <v>19</v>
      </c>
      <c r="G341" s="8" t="s">
        <v>12</v>
      </c>
      <c r="H341" s="8" t="s">
        <v>48</v>
      </c>
      <c r="I341" s="10">
        <v>44895</v>
      </c>
      <c r="J341" s="8" t="s">
        <v>1256</v>
      </c>
    </row>
    <row r="342" spans="1:10" x14ac:dyDescent="0.15">
      <c r="A342" s="7">
        <v>44896</v>
      </c>
      <c r="B342" s="8" t="s">
        <v>478</v>
      </c>
      <c r="C342" s="8" t="s">
        <v>478</v>
      </c>
      <c r="D342" s="9" t="str">
        <f>HYPERLINK("https://www.marklines.com/en/global/4277","Xi'an Silver Bus Co., Ltd. ")</f>
        <v xml:space="preserve">Xi'an Silver Bus Co., Ltd. </v>
      </c>
      <c r="E342" s="8" t="s">
        <v>1257</v>
      </c>
      <c r="F342" s="8" t="s">
        <v>25</v>
      </c>
      <c r="G342" s="8" t="s">
        <v>71</v>
      </c>
      <c r="H342" s="8" t="s">
        <v>727</v>
      </c>
      <c r="I342" s="10">
        <v>44894</v>
      </c>
      <c r="J342" s="8" t="s">
        <v>1258</v>
      </c>
    </row>
    <row r="343" spans="1:10" x14ac:dyDescent="0.15">
      <c r="A343" s="7">
        <v>44896</v>
      </c>
      <c r="B343" s="8" t="s">
        <v>15</v>
      </c>
      <c r="C343" s="8" t="s">
        <v>1259</v>
      </c>
      <c r="D343" s="9" t="str">
        <f>HYPERLINK("https://www.marklines.com/en/global/4277","Xi'an Silver Bus Co., Ltd. ")</f>
        <v xml:space="preserve">Xi'an Silver Bus Co., Ltd. </v>
      </c>
      <c r="E343" s="8" t="s">
        <v>1257</v>
      </c>
      <c r="F343" s="8" t="s">
        <v>25</v>
      </c>
      <c r="G343" s="8" t="s">
        <v>71</v>
      </c>
      <c r="H343" s="8" t="s">
        <v>727</v>
      </c>
      <c r="I343" s="10">
        <v>44894</v>
      </c>
      <c r="J343" s="8" t="s">
        <v>1258</v>
      </c>
    </row>
    <row r="344" spans="1:10" x14ac:dyDescent="0.15">
      <c r="A344" s="7">
        <v>44896</v>
      </c>
      <c r="B344" s="8" t="s">
        <v>148</v>
      </c>
      <c r="C344" s="8" t="s">
        <v>148</v>
      </c>
      <c r="D344" s="9" t="str">
        <f>HYPERLINK("https://www.marklines.com/en/global/2495","Foxconn EV Ohio plant (former GM Lordstown plant)")</f>
        <v>Foxconn EV Ohio plant (former GM Lordstown plant)</v>
      </c>
      <c r="E344" s="8" t="s">
        <v>149</v>
      </c>
      <c r="F344" s="8" t="s">
        <v>19</v>
      </c>
      <c r="G344" s="8" t="s">
        <v>12</v>
      </c>
      <c r="H344" s="8" t="s">
        <v>48</v>
      </c>
      <c r="I344" s="10">
        <v>44894</v>
      </c>
      <c r="J344" s="8" t="s">
        <v>1260</v>
      </c>
    </row>
    <row r="345" spans="1:10" x14ac:dyDescent="0.15">
      <c r="A345" s="7">
        <v>44896</v>
      </c>
      <c r="B345" s="8" t="s">
        <v>1080</v>
      </c>
      <c r="C345" s="8" t="s">
        <v>1261</v>
      </c>
      <c r="D345" s="9" t="str">
        <f>HYPERLINK("https://www.marklines.com/en/global/9099","China FAW Corporation Limited Hongqi Branch")</f>
        <v>China FAW Corporation Limited Hongqi Branch</v>
      </c>
      <c r="E345" s="8" t="s">
        <v>1262</v>
      </c>
      <c r="F345" s="8" t="s">
        <v>25</v>
      </c>
      <c r="G345" s="8" t="s">
        <v>71</v>
      </c>
      <c r="H345" s="8" t="s">
        <v>583</v>
      </c>
      <c r="I345" s="10">
        <v>44893</v>
      </c>
      <c r="J345" s="8" t="s">
        <v>1263</v>
      </c>
    </row>
    <row r="346" spans="1:10" x14ac:dyDescent="0.15">
      <c r="A346" s="7">
        <v>44896</v>
      </c>
      <c r="B346" s="8" t="s">
        <v>1080</v>
      </c>
      <c r="C346" s="8" t="s">
        <v>1261</v>
      </c>
      <c r="D346" s="9" t="str">
        <f>HYPERLINK("https://www.marklines.com/en/global/10437","FAW Hongqi New Energy Car Plant")</f>
        <v>FAW Hongqi New Energy Car Plant</v>
      </c>
      <c r="E346" s="8" t="s">
        <v>1264</v>
      </c>
      <c r="F346" s="8" t="s">
        <v>25</v>
      </c>
      <c r="G346" s="8" t="s">
        <v>71</v>
      </c>
      <c r="H346" s="8" t="s">
        <v>583</v>
      </c>
      <c r="I346" s="10">
        <v>44893</v>
      </c>
      <c r="J346" s="8" t="s">
        <v>1263</v>
      </c>
    </row>
    <row r="347" spans="1:10" x14ac:dyDescent="0.15">
      <c r="A347" s="7">
        <v>44896</v>
      </c>
      <c r="B347" s="8" t="s">
        <v>753</v>
      </c>
      <c r="C347" s="8" t="s">
        <v>753</v>
      </c>
      <c r="D347" s="9" t="str">
        <f>HYPERLINK("https://www.marklines.com/en/global/9503","Shanghai NIO Automobile Co., Ltd.")</f>
        <v>Shanghai NIO Automobile Co., Ltd.</v>
      </c>
      <c r="E347" s="8" t="s">
        <v>754</v>
      </c>
      <c r="F347" s="8" t="s">
        <v>25</v>
      </c>
      <c r="G347" s="8" t="s">
        <v>71</v>
      </c>
      <c r="H347" s="8" t="s">
        <v>72</v>
      </c>
      <c r="I347" s="10">
        <v>44893</v>
      </c>
      <c r="J347" s="8" t="s">
        <v>1265</v>
      </c>
    </row>
    <row r="348" spans="1:10" x14ac:dyDescent="0.15">
      <c r="A348" s="7">
        <v>44896</v>
      </c>
      <c r="B348" s="8" t="s">
        <v>458</v>
      </c>
      <c r="C348" s="8" t="s">
        <v>458</v>
      </c>
      <c r="D348" s="9" t="str">
        <f>HYPERLINK("https://www.marklines.com/en/global/9552","Aiways Automobile Co., Ltd. ")</f>
        <v xml:space="preserve">Aiways Automobile Co., Ltd. </v>
      </c>
      <c r="E348" s="8" t="s">
        <v>1163</v>
      </c>
      <c r="F348" s="8" t="s">
        <v>25</v>
      </c>
      <c r="G348" s="8" t="s">
        <v>71</v>
      </c>
      <c r="H348" s="8" t="s">
        <v>460</v>
      </c>
      <c r="I348" s="10">
        <v>44893</v>
      </c>
      <c r="J348" s="8" t="s">
        <v>1266</v>
      </c>
    </row>
    <row r="349" spans="1:10" x14ac:dyDescent="0.15">
      <c r="A349" s="7">
        <v>44896</v>
      </c>
      <c r="B349" s="8" t="s">
        <v>97</v>
      </c>
      <c r="C349" s="8" t="s">
        <v>97</v>
      </c>
      <c r="D349" s="9" t="str">
        <f>HYPERLINK("https://www.marklines.com/en/global/9605","Dongfeng Motor Co., Ltd. Wuhan Branch (formerly Dongfeng Nissan Passenger Vehicle Company Wuhan Plant)")</f>
        <v>Dongfeng Motor Co., Ltd. Wuhan Branch (formerly Dongfeng Nissan Passenger Vehicle Company Wuhan Plant)</v>
      </c>
      <c r="E349" s="8" t="s">
        <v>427</v>
      </c>
      <c r="F349" s="8" t="s">
        <v>25</v>
      </c>
      <c r="G349" s="8" t="s">
        <v>71</v>
      </c>
      <c r="H349" s="8" t="s">
        <v>90</v>
      </c>
      <c r="I349" s="10">
        <v>44893</v>
      </c>
      <c r="J349" s="8" t="s">
        <v>1267</v>
      </c>
    </row>
    <row r="350" spans="1:10" x14ac:dyDescent="0.15">
      <c r="A350" s="7">
        <v>44896</v>
      </c>
      <c r="B350" s="8" t="s">
        <v>17</v>
      </c>
      <c r="C350" s="8" t="s">
        <v>17</v>
      </c>
      <c r="D350" s="9" t="str">
        <f>HYPERLINK("https://www.marklines.com/en/global/3981","Dongfeng Honda Automobile Co., Ltd. ")</f>
        <v xml:space="preserve">Dongfeng Honda Automobile Co., Ltd. </v>
      </c>
      <c r="E350" s="8" t="s">
        <v>408</v>
      </c>
      <c r="F350" s="8" t="s">
        <v>25</v>
      </c>
      <c r="G350" s="8" t="s">
        <v>71</v>
      </c>
      <c r="H350" s="8" t="s">
        <v>90</v>
      </c>
      <c r="I350" s="10">
        <v>44893</v>
      </c>
      <c r="J350" s="8" t="s">
        <v>1267</v>
      </c>
    </row>
    <row r="351" spans="1:10" x14ac:dyDescent="0.15">
      <c r="A351" s="7">
        <v>44896</v>
      </c>
      <c r="B351" s="8" t="s">
        <v>59</v>
      </c>
      <c r="C351" s="8" t="s">
        <v>60</v>
      </c>
      <c r="D351" s="9" t="str">
        <f>HYPERLINK("https://www.marklines.com/en/global/3983","Dongfeng Peugeot Citroen Automobile Co., Ltd. ")</f>
        <v xml:space="preserve">Dongfeng Peugeot Citroen Automobile Co., Ltd. </v>
      </c>
      <c r="E351" s="8" t="s">
        <v>1140</v>
      </c>
      <c r="F351" s="8" t="s">
        <v>25</v>
      </c>
      <c r="G351" s="8" t="s">
        <v>71</v>
      </c>
      <c r="H351" s="8" t="s">
        <v>90</v>
      </c>
      <c r="I351" s="10">
        <v>44893</v>
      </c>
      <c r="J351" s="8" t="s">
        <v>1267</v>
      </c>
    </row>
    <row r="352" spans="1:10" x14ac:dyDescent="0.15">
      <c r="A352" s="7">
        <v>44896</v>
      </c>
      <c r="B352" s="8" t="s">
        <v>59</v>
      </c>
      <c r="C352" s="8" t="s">
        <v>62</v>
      </c>
      <c r="D352" s="9" t="str">
        <f>HYPERLINK("https://www.marklines.com/en/global/3983","Dongfeng Peugeot Citroen Automobile Co., Ltd. ")</f>
        <v xml:space="preserve">Dongfeng Peugeot Citroen Automobile Co., Ltd. </v>
      </c>
      <c r="E352" s="8" t="s">
        <v>1140</v>
      </c>
      <c r="F352" s="8" t="s">
        <v>25</v>
      </c>
      <c r="G352" s="8" t="s">
        <v>71</v>
      </c>
      <c r="H352" s="8" t="s">
        <v>90</v>
      </c>
      <c r="I352" s="10">
        <v>44893</v>
      </c>
      <c r="J352" s="8" t="s">
        <v>1267</v>
      </c>
    </row>
    <row r="353" spans="1:10" x14ac:dyDescent="0.15">
      <c r="A353" s="7">
        <v>44896</v>
      </c>
      <c r="B353" s="8" t="s">
        <v>289</v>
      </c>
      <c r="C353" s="8" t="s">
        <v>289</v>
      </c>
      <c r="D353" s="9" t="str">
        <f>HYPERLINK("https://www.marklines.com/en/global/9165"," Dongfeng Motor (Wuhan) Co., Ltd. (formerly Dongfeng Renault Automotive  Co., Ltd.) ")</f>
        <v xml:space="preserve"> Dongfeng Motor (Wuhan) Co., Ltd. (formerly Dongfeng Renault Automotive  Co., Ltd.) </v>
      </c>
      <c r="E353" s="8" t="s">
        <v>1138</v>
      </c>
      <c r="F353" s="8" t="s">
        <v>25</v>
      </c>
      <c r="G353" s="8" t="s">
        <v>71</v>
      </c>
      <c r="H353" s="8" t="s">
        <v>90</v>
      </c>
      <c r="I353" s="10">
        <v>44893</v>
      </c>
      <c r="J353" s="8" t="s">
        <v>1267</v>
      </c>
    </row>
    <row r="354" spans="1:10" x14ac:dyDescent="0.15">
      <c r="A354" s="7">
        <v>44896</v>
      </c>
      <c r="B354" s="8" t="s">
        <v>101</v>
      </c>
      <c r="C354" s="8" t="s">
        <v>101</v>
      </c>
      <c r="D354" s="9" t="str">
        <f>HYPERLINK("https://www.marklines.com/en/global/3977","Dongfeng Passenger Vehicle Company")</f>
        <v>Dongfeng Passenger Vehicle Company</v>
      </c>
      <c r="E354" s="8" t="s">
        <v>624</v>
      </c>
      <c r="F354" s="8" t="s">
        <v>25</v>
      </c>
      <c r="G354" s="8" t="s">
        <v>71</v>
      </c>
      <c r="H354" s="8" t="s">
        <v>90</v>
      </c>
      <c r="I354" s="10">
        <v>44893</v>
      </c>
      <c r="J354" s="8" t="s">
        <v>1267</v>
      </c>
    </row>
    <row r="355" spans="1:10" x14ac:dyDescent="0.15">
      <c r="A355" s="7">
        <v>44896</v>
      </c>
      <c r="B355" s="8" t="s">
        <v>101</v>
      </c>
      <c r="C355" s="8" t="s">
        <v>1137</v>
      </c>
      <c r="D355" s="9" t="str">
        <f>HYPERLINK("https://www.marklines.com/en/global/9165"," Dongfeng Motor (Wuhan) Co., Ltd. (formerly Dongfeng Renault Automotive  Co., Ltd.) ")</f>
        <v xml:space="preserve"> Dongfeng Motor (Wuhan) Co., Ltd. (formerly Dongfeng Renault Automotive  Co., Ltd.) </v>
      </c>
      <c r="E355" s="8" t="s">
        <v>1138</v>
      </c>
      <c r="F355" s="8" t="s">
        <v>25</v>
      </c>
      <c r="G355" s="8" t="s">
        <v>71</v>
      </c>
      <c r="H355" s="8" t="s">
        <v>90</v>
      </c>
      <c r="I355" s="10">
        <v>44893</v>
      </c>
      <c r="J355" s="8" t="s">
        <v>1267</v>
      </c>
    </row>
    <row r="356" spans="1:10" x14ac:dyDescent="0.15">
      <c r="A356" s="7">
        <v>44896</v>
      </c>
      <c r="B356" s="8" t="s">
        <v>327</v>
      </c>
      <c r="C356" s="8" t="s">
        <v>327</v>
      </c>
      <c r="D356" s="9" t="str">
        <f>HYPERLINK("https://www.marklines.com/en/global/9895","Tesla Gigafactory Berlin-Brandenburg")</f>
        <v>Tesla Gigafactory Berlin-Brandenburg</v>
      </c>
      <c r="E356" s="8" t="s">
        <v>610</v>
      </c>
      <c r="F356" s="8" t="s">
        <v>20</v>
      </c>
      <c r="G356" s="8" t="s">
        <v>29</v>
      </c>
      <c r="H356" s="8"/>
      <c r="I356" s="10">
        <v>44893</v>
      </c>
      <c r="J356" s="8" t="s">
        <v>1268</v>
      </c>
    </row>
    <row r="357" spans="1:10" x14ac:dyDescent="0.15">
      <c r="A357" s="7">
        <v>44896</v>
      </c>
      <c r="B357" s="8" t="s">
        <v>100</v>
      </c>
      <c r="C357" s="8" t="s">
        <v>100</v>
      </c>
      <c r="D357" s="9" t="str">
        <f>HYPERLINK("https://www.marklines.com/en/global/4187","SAIC-Hongyan Automobile Co., Ltd.")</f>
        <v>SAIC-Hongyan Automobile Co., Ltd.</v>
      </c>
      <c r="E357" s="8" t="s">
        <v>707</v>
      </c>
      <c r="F357" s="8" t="s">
        <v>25</v>
      </c>
      <c r="G357" s="8" t="s">
        <v>71</v>
      </c>
      <c r="H357" s="8" t="s">
        <v>81</v>
      </c>
      <c r="I357" s="10">
        <v>44890</v>
      </c>
      <c r="J357" s="8" t="s">
        <v>1269</v>
      </c>
    </row>
    <row r="358" spans="1:10" x14ac:dyDescent="0.15">
      <c r="A358" s="7">
        <v>44896</v>
      </c>
      <c r="B358" s="8" t="s">
        <v>100</v>
      </c>
      <c r="C358" s="8" t="s">
        <v>100</v>
      </c>
      <c r="D358" s="9" t="str">
        <f>HYPERLINK("https://www.marklines.com/en/global/10582","SAIC Hongyan Automobile Co., Ltd. Inner Mongolia Branch")</f>
        <v>SAIC Hongyan Automobile Co., Ltd. Inner Mongolia Branch</v>
      </c>
      <c r="E358" s="8" t="s">
        <v>709</v>
      </c>
      <c r="F358" s="8" t="s">
        <v>25</v>
      </c>
      <c r="G358" s="8" t="s">
        <v>71</v>
      </c>
      <c r="H358" s="8" t="s">
        <v>1270</v>
      </c>
      <c r="I358" s="10">
        <v>44890</v>
      </c>
      <c r="J358" s="8" t="s">
        <v>1269</v>
      </c>
    </row>
    <row r="359" spans="1:10" x14ac:dyDescent="0.15">
      <c r="A359" s="7">
        <v>44896</v>
      </c>
      <c r="B359" s="8" t="s">
        <v>101</v>
      </c>
      <c r="C359" s="8" t="s">
        <v>1137</v>
      </c>
      <c r="D359" s="9" t="str">
        <f>HYPERLINK("https://www.marklines.com/en/global/9165"," Dongfeng Motor (Wuhan) Co., Ltd. (formerly Dongfeng Renault Automotive  Co., Ltd.) ")</f>
        <v xml:space="preserve"> Dongfeng Motor (Wuhan) Co., Ltd. (formerly Dongfeng Renault Automotive  Co., Ltd.) </v>
      </c>
      <c r="E359" s="8" t="s">
        <v>1138</v>
      </c>
      <c r="F359" s="8" t="s">
        <v>25</v>
      </c>
      <c r="G359" s="8" t="s">
        <v>71</v>
      </c>
      <c r="H359" s="8" t="s">
        <v>90</v>
      </c>
      <c r="I359" s="10">
        <v>44890</v>
      </c>
      <c r="J359" s="8" t="s">
        <v>1271</v>
      </c>
    </row>
    <row r="360" spans="1:10" x14ac:dyDescent="0.15">
      <c r="A360" s="7">
        <v>44895</v>
      </c>
      <c r="B360" s="8" t="s">
        <v>97</v>
      </c>
      <c r="C360" s="8" t="s">
        <v>97</v>
      </c>
      <c r="D360" s="9" t="str">
        <f>HYPERLINK("https://www.marklines.com/en/global/893","Nissan Mexico, Aguascalientes Plant 1")</f>
        <v>Nissan Mexico, Aguascalientes Plant 1</v>
      </c>
      <c r="E360" s="8" t="s">
        <v>1272</v>
      </c>
      <c r="F360" s="8" t="s">
        <v>19</v>
      </c>
      <c r="G360" s="8" t="s">
        <v>47</v>
      </c>
      <c r="H360" s="8"/>
      <c r="I360" s="10">
        <v>44893</v>
      </c>
      <c r="J360" s="8" t="s">
        <v>1273</v>
      </c>
    </row>
    <row r="361" spans="1:10" x14ac:dyDescent="0.15">
      <c r="A361" s="7">
        <v>44895</v>
      </c>
      <c r="B361" s="8" t="s">
        <v>15</v>
      </c>
      <c r="C361" s="8" t="s">
        <v>1274</v>
      </c>
      <c r="D361" s="9" t="str">
        <f>HYPERLINK("https://www.marklines.com/en/global/1049","Ghandhara Nissan Ltd. (GNL), Bin Qasim Plant")</f>
        <v>Ghandhara Nissan Ltd. (GNL), Bin Qasim Plant</v>
      </c>
      <c r="E361" s="8" t="s">
        <v>1275</v>
      </c>
      <c r="F361" s="8" t="s">
        <v>69</v>
      </c>
      <c r="G361" s="8" t="s">
        <v>96</v>
      </c>
      <c r="H361" s="8"/>
      <c r="I361" s="10">
        <v>44890</v>
      </c>
      <c r="J361" s="8" t="s">
        <v>1276</v>
      </c>
    </row>
    <row r="362" spans="1:10" x14ac:dyDescent="0.15">
      <c r="A362" s="7">
        <v>44895</v>
      </c>
      <c r="B362" s="8" t="s">
        <v>76</v>
      </c>
      <c r="C362" s="8" t="s">
        <v>76</v>
      </c>
      <c r="D362" s="9" t="str">
        <f>HYPERLINK("https://www.marklines.com/en/global/9568","Xi'an Geely Automobile Co., Ltd.")</f>
        <v>Xi'an Geely Automobile Co., Ltd.</v>
      </c>
      <c r="E362" s="8" t="s">
        <v>1104</v>
      </c>
      <c r="F362" s="8" t="s">
        <v>25</v>
      </c>
      <c r="G362" s="8" t="s">
        <v>71</v>
      </c>
      <c r="H362" s="8" t="s">
        <v>727</v>
      </c>
      <c r="I362" s="10">
        <v>44890</v>
      </c>
      <c r="J362" s="8" t="s">
        <v>1277</v>
      </c>
    </row>
    <row r="363" spans="1:10" x14ac:dyDescent="0.15">
      <c r="A363" s="7">
        <v>44895</v>
      </c>
      <c r="B363" s="8" t="s">
        <v>100</v>
      </c>
      <c r="C363" s="8" t="s">
        <v>902</v>
      </c>
      <c r="D363" s="9" t="str">
        <f>HYPERLINK("https://www.marklines.com/en/global/6451","SAIC MAXUS Automotive Co., Ltd. Wuxi Branch")</f>
        <v>SAIC MAXUS Automotive Co., Ltd. Wuxi Branch</v>
      </c>
      <c r="E363" s="8" t="s">
        <v>1095</v>
      </c>
      <c r="F363" s="8" t="s">
        <v>25</v>
      </c>
      <c r="G363" s="8" t="s">
        <v>71</v>
      </c>
      <c r="H363" s="8" t="s">
        <v>351</v>
      </c>
      <c r="I363" s="10">
        <v>44889</v>
      </c>
      <c r="J363" s="8" t="s">
        <v>1278</v>
      </c>
    </row>
    <row r="364" spans="1:10" x14ac:dyDescent="0.15">
      <c r="A364" s="7">
        <v>44895</v>
      </c>
      <c r="B364" s="8" t="s">
        <v>100</v>
      </c>
      <c r="C364" s="8" t="s">
        <v>902</v>
      </c>
      <c r="D364" s="9" t="str">
        <f>HYPERLINK("https://www.marklines.com/en/global/9598","SAIC MAXUS Automotive Co., Ltd. Nanjing Branch")</f>
        <v>SAIC MAXUS Automotive Co., Ltd. Nanjing Branch</v>
      </c>
      <c r="E364" s="8" t="s">
        <v>903</v>
      </c>
      <c r="F364" s="8" t="s">
        <v>25</v>
      </c>
      <c r="G364" s="8" t="s">
        <v>71</v>
      </c>
      <c r="H364" s="8" t="s">
        <v>351</v>
      </c>
      <c r="I364" s="10">
        <v>44889</v>
      </c>
      <c r="J364" s="8" t="s">
        <v>1278</v>
      </c>
    </row>
    <row r="365" spans="1:10" x14ac:dyDescent="0.15">
      <c r="A365" s="7">
        <v>44895</v>
      </c>
      <c r="B365" s="8" t="s">
        <v>101</v>
      </c>
      <c r="C365" s="8" t="s">
        <v>101</v>
      </c>
      <c r="D365" s="9" t="str">
        <f>HYPERLINK("https://www.marklines.com/en/global/4145","Dongfeng Liuzhou Motor Co., Ltd. ")</f>
        <v xml:space="preserve">Dongfeng Liuzhou Motor Co., Ltd. </v>
      </c>
      <c r="E365" s="8" t="s">
        <v>1279</v>
      </c>
      <c r="F365" s="8" t="s">
        <v>25</v>
      </c>
      <c r="G365" s="8" t="s">
        <v>71</v>
      </c>
      <c r="H365" s="8" t="s">
        <v>122</v>
      </c>
      <c r="I365" s="10">
        <v>44889</v>
      </c>
      <c r="J365" s="8" t="s">
        <v>1280</v>
      </c>
    </row>
    <row r="366" spans="1:10" x14ac:dyDescent="0.15">
      <c r="A366" s="7">
        <v>44895</v>
      </c>
      <c r="B366" s="8" t="s">
        <v>57</v>
      </c>
      <c r="C366" s="8" t="s">
        <v>57</v>
      </c>
      <c r="D366" s="9" t="str">
        <f>HYPERLINK("https://www.marklines.com/en/global/10587","Hyundai Motor Group Metaplant America (HMGMA) LLC")</f>
        <v>Hyundai Motor Group Metaplant America (HMGMA) LLC</v>
      </c>
      <c r="E366" s="8" t="s">
        <v>788</v>
      </c>
      <c r="F366" s="8" t="s">
        <v>19</v>
      </c>
      <c r="G366" s="8" t="s">
        <v>12</v>
      </c>
      <c r="H366" s="8" t="s">
        <v>814</v>
      </c>
      <c r="I366" s="10">
        <v>44888</v>
      </c>
      <c r="J366" s="8" t="s">
        <v>1281</v>
      </c>
    </row>
    <row r="367" spans="1:10" x14ac:dyDescent="0.15">
      <c r="A367" s="7">
        <v>44895</v>
      </c>
      <c r="B367" s="8" t="s">
        <v>57</v>
      </c>
      <c r="C367" s="8" t="s">
        <v>57</v>
      </c>
      <c r="D367" s="9" t="str">
        <f>HYPERLINK("https://www.marklines.com/en/global/3141","Hyundai Motor Manufacturing Alabama, LLC, Montgomery Plant")</f>
        <v>Hyundai Motor Manufacturing Alabama, LLC, Montgomery Plant</v>
      </c>
      <c r="E367" s="8" t="s">
        <v>963</v>
      </c>
      <c r="F367" s="8" t="s">
        <v>19</v>
      </c>
      <c r="G367" s="8" t="s">
        <v>12</v>
      </c>
      <c r="H367" s="8" t="s">
        <v>273</v>
      </c>
      <c r="I367" s="10">
        <v>44888</v>
      </c>
      <c r="J367" s="8" t="s">
        <v>1281</v>
      </c>
    </row>
    <row r="368" spans="1:10" x14ac:dyDescent="0.15">
      <c r="A368" s="7">
        <v>44895</v>
      </c>
      <c r="B368" s="8" t="s">
        <v>57</v>
      </c>
      <c r="C368" s="8" t="s">
        <v>812</v>
      </c>
      <c r="D368" s="9" t="str">
        <f>HYPERLINK("https://www.marklines.com/en/global/3145","Kia Georgia, Inc. (KMMG), West Point Plant")</f>
        <v>Kia Georgia, Inc. (KMMG), West Point Plant</v>
      </c>
      <c r="E368" s="8" t="s">
        <v>813</v>
      </c>
      <c r="F368" s="8" t="s">
        <v>19</v>
      </c>
      <c r="G368" s="8" t="s">
        <v>12</v>
      </c>
      <c r="H368" s="8" t="s">
        <v>814</v>
      </c>
      <c r="I368" s="10">
        <v>44888</v>
      </c>
      <c r="J368" s="8" t="s">
        <v>1281</v>
      </c>
    </row>
    <row r="369" spans="1:10" x14ac:dyDescent="0.15">
      <c r="A369" s="7">
        <v>44895</v>
      </c>
      <c r="B369" s="8" t="s">
        <v>57</v>
      </c>
      <c r="C369" s="8" t="s">
        <v>812</v>
      </c>
      <c r="D369" s="9" t="str">
        <f>HYPERLINK("https://www.marklines.com/en/global/10587","Hyundai Motor Group Metaplant America (HMGMA) LLC")</f>
        <v>Hyundai Motor Group Metaplant America (HMGMA) LLC</v>
      </c>
      <c r="E369" s="8" t="s">
        <v>788</v>
      </c>
      <c r="F369" s="8" t="s">
        <v>19</v>
      </c>
      <c r="G369" s="8" t="s">
        <v>12</v>
      </c>
      <c r="H369" s="8" t="s">
        <v>814</v>
      </c>
      <c r="I369" s="10">
        <v>44888</v>
      </c>
      <c r="J369" s="8" t="s">
        <v>1281</v>
      </c>
    </row>
    <row r="370" spans="1:10" x14ac:dyDescent="0.15">
      <c r="A370" s="7">
        <v>44894</v>
      </c>
      <c r="B370" s="8" t="s">
        <v>15</v>
      </c>
      <c r="C370" s="8" t="s">
        <v>1282</v>
      </c>
      <c r="D370" s="9" t="str">
        <f>HYPERLINK("https://www.marklines.com/en/global/1365","Piaggio &amp; C S.p.A. Veicoli Trasporto Leggero, Pontedera Plant")</f>
        <v>Piaggio &amp; C S.p.A. Veicoli Trasporto Leggero, Pontedera Plant</v>
      </c>
      <c r="E370" s="8" t="s">
        <v>1283</v>
      </c>
      <c r="F370" s="8" t="s">
        <v>20</v>
      </c>
      <c r="G370" s="8" t="s">
        <v>110</v>
      </c>
      <c r="H370" s="8"/>
      <c r="I370" s="10">
        <v>44894</v>
      </c>
      <c r="J370" s="8" t="s">
        <v>1284</v>
      </c>
    </row>
    <row r="371" spans="1:10" x14ac:dyDescent="0.15">
      <c r="A371" s="7">
        <v>44894</v>
      </c>
      <c r="B371" s="8" t="s">
        <v>59</v>
      </c>
      <c r="C371" s="8" t="s">
        <v>270</v>
      </c>
      <c r="D371" s="9" t="str">
        <f>HYPERLINK("https://www.marklines.com/en/global/1321","Stellantis, Lancia S.p.A.")</f>
        <v>Stellantis, Lancia S.p.A.</v>
      </c>
      <c r="E371" s="8" t="s">
        <v>1285</v>
      </c>
      <c r="F371" s="8" t="s">
        <v>20</v>
      </c>
      <c r="G371" s="8" t="s">
        <v>110</v>
      </c>
      <c r="H371" s="8"/>
      <c r="I371" s="10">
        <v>44893</v>
      </c>
      <c r="J371" s="8" t="s">
        <v>1286</v>
      </c>
    </row>
    <row r="372" spans="1:10" x14ac:dyDescent="0.15">
      <c r="A372" s="7">
        <v>44894</v>
      </c>
      <c r="B372" s="8" t="s">
        <v>59</v>
      </c>
      <c r="C372" s="8" t="s">
        <v>270</v>
      </c>
      <c r="D372" s="9" t="str">
        <f>HYPERLINK("https://www.marklines.com/en/global/1655","Stellantis, Fiat Auto Poland S.A., Tychy Plant")</f>
        <v>Stellantis, Fiat Auto Poland S.A., Tychy Plant</v>
      </c>
      <c r="E372" s="8" t="s">
        <v>165</v>
      </c>
      <c r="F372" s="8" t="s">
        <v>21</v>
      </c>
      <c r="G372" s="8" t="s">
        <v>93</v>
      </c>
      <c r="H372" s="8"/>
      <c r="I372" s="10">
        <v>44893</v>
      </c>
      <c r="J372" s="8" t="s">
        <v>1286</v>
      </c>
    </row>
    <row r="373" spans="1:10" x14ac:dyDescent="0.15">
      <c r="A373" s="7">
        <v>44894</v>
      </c>
      <c r="B373" s="8" t="s">
        <v>14</v>
      </c>
      <c r="C373" s="8" t="s">
        <v>23</v>
      </c>
      <c r="D373" s="9" t="str">
        <f>HYPERLINK("https://www.marklines.com/en/global/2403","GM Korea, Changwon Plant")</f>
        <v>GM Korea, Changwon Plant</v>
      </c>
      <c r="E373" s="8" t="s">
        <v>503</v>
      </c>
      <c r="F373" s="8" t="s">
        <v>25</v>
      </c>
      <c r="G373" s="8" t="s">
        <v>411</v>
      </c>
      <c r="H373" s="8"/>
      <c r="I373" s="10">
        <v>44893</v>
      </c>
      <c r="J373" s="8" t="s">
        <v>1287</v>
      </c>
    </row>
    <row r="374" spans="1:10" x14ac:dyDescent="0.15">
      <c r="A374" s="7">
        <v>44894</v>
      </c>
      <c r="B374" s="8" t="s">
        <v>14</v>
      </c>
      <c r="C374" s="8" t="s">
        <v>23</v>
      </c>
      <c r="D374" s="9" t="str">
        <f>HYPERLINK("https://www.marklines.com/en/global/2407","GM Korea, Bupyeong Plant")</f>
        <v>GM Korea, Bupyeong Plant</v>
      </c>
      <c r="E374" s="8" t="s">
        <v>505</v>
      </c>
      <c r="F374" s="8" t="s">
        <v>25</v>
      </c>
      <c r="G374" s="8" t="s">
        <v>411</v>
      </c>
      <c r="H374" s="8"/>
      <c r="I374" s="10">
        <v>44892</v>
      </c>
      <c r="J374" s="8" t="s">
        <v>1288</v>
      </c>
    </row>
    <row r="375" spans="1:10" x14ac:dyDescent="0.15">
      <c r="A375" s="7">
        <v>44894</v>
      </c>
      <c r="B375" s="8" t="s">
        <v>14</v>
      </c>
      <c r="C375" s="8" t="s">
        <v>23</v>
      </c>
      <c r="D375" s="9" t="str">
        <f>HYPERLINK("https://www.marklines.com/en/global/2403","GM Korea, Changwon Plant")</f>
        <v>GM Korea, Changwon Plant</v>
      </c>
      <c r="E375" s="8" t="s">
        <v>503</v>
      </c>
      <c r="F375" s="8" t="s">
        <v>25</v>
      </c>
      <c r="G375" s="8" t="s">
        <v>411</v>
      </c>
      <c r="H375" s="8"/>
      <c r="I375" s="10">
        <v>44892</v>
      </c>
      <c r="J375" s="8" t="s">
        <v>1288</v>
      </c>
    </row>
    <row r="376" spans="1:10" x14ac:dyDescent="0.15">
      <c r="A376" s="7">
        <v>44894</v>
      </c>
      <c r="B376" s="8" t="s">
        <v>14</v>
      </c>
      <c r="C376" s="8" t="s">
        <v>811</v>
      </c>
      <c r="D376" s="9" t="str">
        <f>HYPERLINK("https://www.marklines.com/en/global/2407","GM Korea, Bupyeong Plant")</f>
        <v>GM Korea, Bupyeong Plant</v>
      </c>
      <c r="E376" s="8" t="s">
        <v>505</v>
      </c>
      <c r="F376" s="8" t="s">
        <v>25</v>
      </c>
      <c r="G376" s="8" t="s">
        <v>411</v>
      </c>
      <c r="H376" s="8"/>
      <c r="I376" s="10">
        <v>44892</v>
      </c>
      <c r="J376" s="8" t="s">
        <v>1288</v>
      </c>
    </row>
    <row r="377" spans="1:10" x14ac:dyDescent="0.15">
      <c r="A377" s="7">
        <v>44894</v>
      </c>
      <c r="B377" s="8" t="s">
        <v>15</v>
      </c>
      <c r="C377" s="8" t="s">
        <v>1194</v>
      </c>
      <c r="D377" s="9" t="str">
        <f>HYPERLINK("https://www.marklines.com/en/global/1428","Karsan Otomotiv Sanayi ve Ticaret A.S., Akçalar (Bursa) Plant")</f>
        <v>Karsan Otomotiv Sanayi ve Ticaret A.S., Akçalar (Bursa) Plant</v>
      </c>
      <c r="E377" s="8" t="s">
        <v>1195</v>
      </c>
      <c r="F377" s="8" t="s">
        <v>295</v>
      </c>
      <c r="G377" s="8" t="s">
        <v>296</v>
      </c>
      <c r="H377" s="8"/>
      <c r="I377" s="10">
        <v>44890</v>
      </c>
      <c r="J377" s="8" t="s">
        <v>1289</v>
      </c>
    </row>
    <row r="378" spans="1:10" x14ac:dyDescent="0.15">
      <c r="A378" s="7">
        <v>44894</v>
      </c>
      <c r="B378" s="8" t="s">
        <v>27</v>
      </c>
      <c r="C378" s="8" t="s">
        <v>27</v>
      </c>
      <c r="D378" s="9" t="str">
        <f>HYPERLINK("https://www.marklines.com/en/global/3373","BMW Brilliance Automotive Limited (BBA)")</f>
        <v>BMW Brilliance Automotive Limited (BBA)</v>
      </c>
      <c r="E378" s="8" t="s">
        <v>996</v>
      </c>
      <c r="F378" s="8" t="s">
        <v>25</v>
      </c>
      <c r="G378" s="8" t="s">
        <v>71</v>
      </c>
      <c r="H378" s="8" t="s">
        <v>437</v>
      </c>
      <c r="I378" s="10">
        <v>44888</v>
      </c>
      <c r="J378" s="8" t="s">
        <v>1290</v>
      </c>
    </row>
    <row r="379" spans="1:10" x14ac:dyDescent="0.15">
      <c r="A379" s="7">
        <v>44894</v>
      </c>
      <c r="B379" s="8" t="s">
        <v>89</v>
      </c>
      <c r="C379" s="8" t="s">
        <v>95</v>
      </c>
      <c r="D379" s="9" t="str">
        <f>HYPERLINK("https://www.marklines.com/en/global/3533","Great Wall Motor Company Limited (GWM)")</f>
        <v>Great Wall Motor Company Limited (GWM)</v>
      </c>
      <c r="E379" s="8" t="s">
        <v>615</v>
      </c>
      <c r="F379" s="8" t="s">
        <v>25</v>
      </c>
      <c r="G379" s="8" t="s">
        <v>71</v>
      </c>
      <c r="H379" s="8" t="s">
        <v>616</v>
      </c>
      <c r="I379" s="10">
        <v>44888</v>
      </c>
      <c r="J379" s="8" t="s">
        <v>1291</v>
      </c>
    </row>
    <row r="380" spans="1:10" x14ac:dyDescent="0.15">
      <c r="A380" s="7">
        <v>44894</v>
      </c>
      <c r="B380" s="8" t="s">
        <v>89</v>
      </c>
      <c r="C380" s="8" t="s">
        <v>95</v>
      </c>
      <c r="D380" s="9" t="str">
        <f>HYPERLINK("https://www.marklines.com/en/global/9836","Great Wall Motor Co., Ltd. Xushui Branch")</f>
        <v>Great Wall Motor Co., Ltd. Xushui Branch</v>
      </c>
      <c r="E380" s="8" t="s">
        <v>188</v>
      </c>
      <c r="F380" s="8" t="s">
        <v>25</v>
      </c>
      <c r="G380" s="8" t="s">
        <v>71</v>
      </c>
      <c r="H380" s="8" t="s">
        <v>90</v>
      </c>
      <c r="I380" s="10">
        <v>44888</v>
      </c>
      <c r="J380" s="8" t="s">
        <v>1291</v>
      </c>
    </row>
    <row r="381" spans="1:10" x14ac:dyDescent="0.15">
      <c r="A381" s="7">
        <v>44894</v>
      </c>
      <c r="B381" s="8" t="s">
        <v>17</v>
      </c>
      <c r="C381" s="8" t="s">
        <v>17</v>
      </c>
      <c r="D381" s="9" t="str">
        <f>HYPERLINK("https://www.marklines.com/en/global/3121","Honda Manufacturing of Alabama, LLC (HMA), Lincoln Plant")</f>
        <v>Honda Manufacturing of Alabama, LLC (HMA), Lincoln Plant</v>
      </c>
      <c r="E381" s="8" t="s">
        <v>937</v>
      </c>
      <c r="F381" s="8" t="s">
        <v>19</v>
      </c>
      <c r="G381" s="8" t="s">
        <v>12</v>
      </c>
      <c r="H381" s="8" t="s">
        <v>273</v>
      </c>
      <c r="I381" s="10">
        <v>44887</v>
      </c>
      <c r="J381" s="8" t="s">
        <v>1292</v>
      </c>
    </row>
    <row r="382" spans="1:10" x14ac:dyDescent="0.15">
      <c r="A382" s="7">
        <v>44893</v>
      </c>
      <c r="B382" s="8" t="s">
        <v>11</v>
      </c>
      <c r="C382" s="8" t="s">
        <v>26</v>
      </c>
      <c r="D382" s="9" t="str">
        <f>HYPERLINK("https://www.marklines.com/en/global/1306","ŠKODA AUTO Volkswagen India Pvt. Ltd. (SAVWIPL), Aurangabad Plant (formerly Skoda Auto India, Aurangabad Plant)")</f>
        <v>ŠKODA AUTO Volkswagen India Pvt. Ltd. (SAVWIPL), Aurangabad Plant (formerly Skoda Auto India, Aurangabad Plant)</v>
      </c>
      <c r="E382" s="8" t="s">
        <v>870</v>
      </c>
      <c r="F382" s="8" t="s">
        <v>69</v>
      </c>
      <c r="G382" s="8" t="s">
        <v>70</v>
      </c>
      <c r="H382" s="8" t="s">
        <v>99</v>
      </c>
      <c r="I382" s="10">
        <v>44893</v>
      </c>
      <c r="J382" s="8" t="s">
        <v>1293</v>
      </c>
    </row>
    <row r="383" spans="1:10" x14ac:dyDescent="0.15">
      <c r="A383" s="7">
        <v>44893</v>
      </c>
      <c r="B383" s="8" t="s">
        <v>11</v>
      </c>
      <c r="C383" s="8" t="s">
        <v>108</v>
      </c>
      <c r="D383" s="9" t="str">
        <f>HYPERLINK("https://www.marklines.com/en/global/1306","ŠKODA AUTO Volkswagen India Pvt. Ltd. (SAVWIPL), Aurangabad Plant (formerly Skoda Auto India, Aurangabad Plant)")</f>
        <v>ŠKODA AUTO Volkswagen India Pvt. Ltd. (SAVWIPL), Aurangabad Plant (formerly Skoda Auto India, Aurangabad Plant)</v>
      </c>
      <c r="E383" s="8" t="s">
        <v>870</v>
      </c>
      <c r="F383" s="8" t="s">
        <v>69</v>
      </c>
      <c r="G383" s="8" t="s">
        <v>70</v>
      </c>
      <c r="H383" s="8" t="s">
        <v>99</v>
      </c>
      <c r="I383" s="10">
        <v>44893</v>
      </c>
      <c r="J383" s="8" t="s">
        <v>1293</v>
      </c>
    </row>
    <row r="384" spans="1:10" x14ac:dyDescent="0.15">
      <c r="A384" s="7">
        <v>44893</v>
      </c>
      <c r="B384" s="8" t="s">
        <v>11</v>
      </c>
      <c r="C384" s="8" t="s">
        <v>176</v>
      </c>
      <c r="D384" s="9" t="str">
        <f>HYPERLINK("https://www.marklines.com/en/global/1306","ŠKODA AUTO Volkswagen India Pvt. Ltd. (SAVWIPL), Aurangabad Plant (formerly Skoda Auto India, Aurangabad Plant)")</f>
        <v>ŠKODA AUTO Volkswagen India Pvt. Ltd. (SAVWIPL), Aurangabad Plant (formerly Skoda Auto India, Aurangabad Plant)</v>
      </c>
      <c r="E384" s="8" t="s">
        <v>870</v>
      </c>
      <c r="F384" s="8" t="s">
        <v>69</v>
      </c>
      <c r="G384" s="8" t="s">
        <v>70</v>
      </c>
      <c r="H384" s="8" t="s">
        <v>99</v>
      </c>
      <c r="I384" s="10">
        <v>44893</v>
      </c>
      <c r="J384" s="8" t="s">
        <v>1293</v>
      </c>
    </row>
    <row r="385" spans="1:10" x14ac:dyDescent="0.15">
      <c r="A385" s="7">
        <v>44893</v>
      </c>
      <c r="B385" s="8" t="s">
        <v>449</v>
      </c>
      <c r="C385" s="8" t="s">
        <v>509</v>
      </c>
      <c r="D385" s="9" t="str">
        <f>HYPERLINK("https://www.marklines.com/en/global/10515","Switch Mobility Automotive Ltd (SMAL), Chennai, India Headoffice")</f>
        <v>Switch Mobility Automotive Ltd (SMAL), Chennai, India Headoffice</v>
      </c>
      <c r="E385" s="8" t="s">
        <v>1294</v>
      </c>
      <c r="F385" s="8" t="s">
        <v>69</v>
      </c>
      <c r="G385" s="8" t="s">
        <v>70</v>
      </c>
      <c r="H385" s="8" t="s">
        <v>1295</v>
      </c>
      <c r="I385" s="10">
        <v>44893</v>
      </c>
      <c r="J385" s="8" t="s">
        <v>1296</v>
      </c>
    </row>
    <row r="386" spans="1:10" x14ac:dyDescent="0.15">
      <c r="A386" s="7">
        <v>44893</v>
      </c>
      <c r="B386" s="8" t="s">
        <v>449</v>
      </c>
      <c r="C386" s="8" t="s">
        <v>509</v>
      </c>
      <c r="D386" s="9" t="str">
        <f>HYPERLINK("https://www.marklines.com/en/global/1107","Ashok Leyland, Ennore Plant")</f>
        <v>Ashok Leyland, Ennore Plant</v>
      </c>
      <c r="E386" s="8" t="s">
        <v>1297</v>
      </c>
      <c r="F386" s="8" t="s">
        <v>69</v>
      </c>
      <c r="G386" s="8" t="s">
        <v>70</v>
      </c>
      <c r="H386" s="8" t="s">
        <v>1295</v>
      </c>
      <c r="I386" s="10">
        <v>44893</v>
      </c>
      <c r="J386" s="8" t="s">
        <v>1296</v>
      </c>
    </row>
    <row r="387" spans="1:10" x14ac:dyDescent="0.15">
      <c r="A387" s="7">
        <v>44893</v>
      </c>
      <c r="B387" s="8" t="s">
        <v>289</v>
      </c>
      <c r="C387" s="8" t="s">
        <v>289</v>
      </c>
      <c r="D387" s="9" t="str">
        <f>HYPERLINK("https://www.marklines.com/en/global/10189","Renault Technology Korea (RTK) Seoul")</f>
        <v>Renault Technology Korea (RTK) Seoul</v>
      </c>
      <c r="E387" s="8" t="s">
        <v>410</v>
      </c>
      <c r="F387" s="8" t="s">
        <v>25</v>
      </c>
      <c r="G387" s="8" t="s">
        <v>411</v>
      </c>
      <c r="H387" s="8"/>
      <c r="I387" s="10">
        <v>44893</v>
      </c>
      <c r="J387" s="8" t="s">
        <v>1298</v>
      </c>
    </row>
    <row r="388" spans="1:10" x14ac:dyDescent="0.15">
      <c r="A388" s="7">
        <v>44893</v>
      </c>
      <c r="B388" s="8" t="s">
        <v>289</v>
      </c>
      <c r="C388" s="8" t="s">
        <v>289</v>
      </c>
      <c r="D388" s="9" t="str">
        <f>HYPERLINK("https://www.marklines.com/en/global/2425","Renault Korea Motors (formerly Renault Samsung), Busan Plant")</f>
        <v>Renault Korea Motors (formerly Renault Samsung), Busan Plant</v>
      </c>
      <c r="E388" s="8" t="s">
        <v>415</v>
      </c>
      <c r="F388" s="8" t="s">
        <v>25</v>
      </c>
      <c r="G388" s="8" t="s">
        <v>411</v>
      </c>
      <c r="H388" s="8"/>
      <c r="I388" s="10">
        <v>44893</v>
      </c>
      <c r="J388" s="8" t="s">
        <v>1298</v>
      </c>
    </row>
    <row r="389" spans="1:10" x14ac:dyDescent="0.15">
      <c r="A389" s="7">
        <v>44893</v>
      </c>
      <c r="B389" s="8" t="s">
        <v>359</v>
      </c>
      <c r="C389" s="8" t="s">
        <v>806</v>
      </c>
      <c r="D389" s="9" t="str">
        <f>HYPERLINK("https://www.marklines.com/en/global/2333","Jaguar Land Rover, Castle Bromwich Plant")</f>
        <v>Jaguar Land Rover, Castle Bromwich Plant</v>
      </c>
      <c r="E389" s="8" t="s">
        <v>1299</v>
      </c>
      <c r="F389" s="8" t="s">
        <v>20</v>
      </c>
      <c r="G389" s="8" t="s">
        <v>98</v>
      </c>
      <c r="H389" s="8"/>
      <c r="I389" s="10">
        <v>44891</v>
      </c>
      <c r="J389" s="8" t="s">
        <v>1300</v>
      </c>
    </row>
    <row r="390" spans="1:10" x14ac:dyDescent="0.15">
      <c r="A390" s="7">
        <v>44893</v>
      </c>
      <c r="B390" s="8" t="s">
        <v>359</v>
      </c>
      <c r="C390" s="8" t="s">
        <v>806</v>
      </c>
      <c r="D390" s="9" t="str">
        <f>HYPERLINK("https://www.marklines.com/en/global/2335","Jaguar Land Rover, Halewood Plant")</f>
        <v>Jaguar Land Rover, Halewood Plant</v>
      </c>
      <c r="E390" s="8" t="s">
        <v>1301</v>
      </c>
      <c r="F390" s="8" t="s">
        <v>20</v>
      </c>
      <c r="G390" s="8" t="s">
        <v>98</v>
      </c>
      <c r="H390" s="8"/>
      <c r="I390" s="10">
        <v>44891</v>
      </c>
      <c r="J390" s="8" t="s">
        <v>1300</v>
      </c>
    </row>
    <row r="391" spans="1:10" x14ac:dyDescent="0.15">
      <c r="A391" s="7">
        <v>44893</v>
      </c>
      <c r="B391" s="8" t="s">
        <v>359</v>
      </c>
      <c r="C391" s="8" t="s">
        <v>806</v>
      </c>
      <c r="D391" s="9" t="str">
        <f>HYPERLINK("https://www.marklines.com/en/global/2337","Jaguar Land Rover, Solihull Plant")</f>
        <v>Jaguar Land Rover, Solihull Plant</v>
      </c>
      <c r="E391" s="8" t="s">
        <v>807</v>
      </c>
      <c r="F391" s="8" t="s">
        <v>20</v>
      </c>
      <c r="G391" s="8" t="s">
        <v>98</v>
      </c>
      <c r="H391" s="8"/>
      <c r="I391" s="10">
        <v>44891</v>
      </c>
      <c r="J391" s="8" t="s">
        <v>1300</v>
      </c>
    </row>
    <row r="392" spans="1:10" x14ac:dyDescent="0.15">
      <c r="A392" s="7">
        <v>44893</v>
      </c>
      <c r="B392" s="8" t="s">
        <v>359</v>
      </c>
      <c r="C392" s="8" t="s">
        <v>809</v>
      </c>
      <c r="D392" s="9" t="str">
        <f>HYPERLINK("https://www.marklines.com/en/global/2335","Jaguar Land Rover, Halewood Plant")</f>
        <v>Jaguar Land Rover, Halewood Plant</v>
      </c>
      <c r="E392" s="8" t="s">
        <v>1301</v>
      </c>
      <c r="F392" s="8" t="s">
        <v>20</v>
      </c>
      <c r="G392" s="8" t="s">
        <v>98</v>
      </c>
      <c r="H392" s="8"/>
      <c r="I392" s="10">
        <v>44891</v>
      </c>
      <c r="J392" s="8" t="s">
        <v>1300</v>
      </c>
    </row>
    <row r="393" spans="1:10" x14ac:dyDescent="0.15">
      <c r="A393" s="7">
        <v>44893</v>
      </c>
      <c r="B393" s="8" t="s">
        <v>359</v>
      </c>
      <c r="C393" s="8" t="s">
        <v>809</v>
      </c>
      <c r="D393" s="9" t="str">
        <f>HYPERLINK("https://www.marklines.com/en/global/2337","Jaguar Land Rover, Solihull Plant")</f>
        <v>Jaguar Land Rover, Solihull Plant</v>
      </c>
      <c r="E393" s="8" t="s">
        <v>807</v>
      </c>
      <c r="F393" s="8" t="s">
        <v>20</v>
      </c>
      <c r="G393" s="8" t="s">
        <v>98</v>
      </c>
      <c r="H393" s="8"/>
      <c r="I393" s="10">
        <v>44891</v>
      </c>
      <c r="J393" s="8" t="s">
        <v>1300</v>
      </c>
    </row>
    <row r="394" spans="1:10" x14ac:dyDescent="0.15">
      <c r="A394" s="7">
        <v>44893</v>
      </c>
      <c r="B394" s="8" t="s">
        <v>416</v>
      </c>
      <c r="C394" s="8" t="s">
        <v>416</v>
      </c>
      <c r="D394" s="9" t="str">
        <f>HYPERLINK("https://www.marklines.com/en/global/737","Kamaz, Naberezhnye Chelny Plant")</f>
        <v>Kamaz, Naberezhnye Chelny Plant</v>
      </c>
      <c r="E394" s="8" t="s">
        <v>1074</v>
      </c>
      <c r="F394" s="8" t="s">
        <v>21</v>
      </c>
      <c r="G394" s="8" t="s">
        <v>16</v>
      </c>
      <c r="H394" s="8"/>
      <c r="I394" s="10">
        <v>44891</v>
      </c>
      <c r="J394" s="8" t="s">
        <v>1302</v>
      </c>
    </row>
    <row r="395" spans="1:10" x14ac:dyDescent="0.15">
      <c r="A395" s="7">
        <v>44893</v>
      </c>
      <c r="B395" s="8" t="s">
        <v>15</v>
      </c>
      <c r="C395" s="8" t="s">
        <v>135</v>
      </c>
      <c r="D395" s="9" t="str">
        <f>HYPERLINK("https://www.marklines.com/en/global/687","Sollers-Yelabuga OOO, Yelabuga Plant")</f>
        <v>Sollers-Yelabuga OOO, Yelabuga Plant</v>
      </c>
      <c r="E395" s="8" t="s">
        <v>136</v>
      </c>
      <c r="F395" s="8" t="s">
        <v>21</v>
      </c>
      <c r="G395" s="8" t="s">
        <v>16</v>
      </c>
      <c r="H395" s="8"/>
      <c r="I395" s="10">
        <v>44891</v>
      </c>
      <c r="J395" s="8" t="s">
        <v>1303</v>
      </c>
    </row>
    <row r="396" spans="1:10" x14ac:dyDescent="0.15">
      <c r="A396" s="7">
        <v>44893</v>
      </c>
      <c r="B396" s="8" t="s">
        <v>15</v>
      </c>
      <c r="C396" s="8" t="s">
        <v>135</v>
      </c>
      <c r="D396" s="9" t="str">
        <f>HYPERLINK("https://www.marklines.com/en/global/687","Sollers-Yelabuga OOO, Yelabuga Plant")</f>
        <v>Sollers-Yelabuga OOO, Yelabuga Plant</v>
      </c>
      <c r="E396" s="8" t="s">
        <v>136</v>
      </c>
      <c r="F396" s="8" t="s">
        <v>21</v>
      </c>
      <c r="G396" s="8" t="s">
        <v>16</v>
      </c>
      <c r="H396" s="8"/>
      <c r="I396" s="10">
        <v>44891</v>
      </c>
      <c r="J396" s="8" t="s">
        <v>1304</v>
      </c>
    </row>
    <row r="397" spans="1:10" x14ac:dyDescent="0.15">
      <c r="A397" s="7">
        <v>44893</v>
      </c>
      <c r="B397" s="8" t="s">
        <v>14</v>
      </c>
      <c r="C397" s="8" t="s">
        <v>23</v>
      </c>
      <c r="D397" s="9" t="str">
        <f>HYPERLINK("https://www.marklines.com/en/global/9012","UzAuto Motors, Asaka Plant (formerly UzDaewooAuto, GM Uzbekistan)")</f>
        <v>UzAuto Motors, Asaka Plant (formerly UzDaewooAuto, GM Uzbekistan)</v>
      </c>
      <c r="E397" s="8" t="s">
        <v>633</v>
      </c>
      <c r="F397" s="8" t="s">
        <v>21</v>
      </c>
      <c r="G397" s="8" t="s">
        <v>634</v>
      </c>
      <c r="H397" s="8"/>
      <c r="I397" s="10">
        <v>44890</v>
      </c>
      <c r="J397" s="8" t="s">
        <v>1305</v>
      </c>
    </row>
    <row r="398" spans="1:10" x14ac:dyDescent="0.15">
      <c r="A398" s="7">
        <v>44893</v>
      </c>
      <c r="B398" s="8" t="s">
        <v>15</v>
      </c>
      <c r="C398" s="8" t="s">
        <v>636</v>
      </c>
      <c r="D398" s="9" t="str">
        <f>HYPERLINK("https://www.marklines.com/en/global/9012","UzAuto Motors, Asaka Plant (formerly UzDaewooAuto, GM Uzbekistan)")</f>
        <v>UzAuto Motors, Asaka Plant (formerly UzDaewooAuto, GM Uzbekistan)</v>
      </c>
      <c r="E398" s="8" t="s">
        <v>633</v>
      </c>
      <c r="F398" s="8" t="s">
        <v>21</v>
      </c>
      <c r="G398" s="8" t="s">
        <v>634</v>
      </c>
      <c r="H398" s="8"/>
      <c r="I398" s="10">
        <v>44890</v>
      </c>
      <c r="J398" s="8" t="s">
        <v>1305</v>
      </c>
    </row>
    <row r="399" spans="1:10" x14ac:dyDescent="0.15">
      <c r="A399" s="7">
        <v>44893</v>
      </c>
      <c r="B399" s="8" t="s">
        <v>15</v>
      </c>
      <c r="C399" s="8" t="s">
        <v>1306</v>
      </c>
      <c r="D399" s="9" t="str">
        <f>HYPERLINK("https://www.marklines.com/en/global/1507","Van Hool N.V., Koningshooikt Plant")</f>
        <v>Van Hool N.V., Koningshooikt Plant</v>
      </c>
      <c r="E399" s="8" t="s">
        <v>1307</v>
      </c>
      <c r="F399" s="8" t="s">
        <v>20</v>
      </c>
      <c r="G399" s="8" t="s">
        <v>109</v>
      </c>
      <c r="H399" s="8"/>
      <c r="I399" s="10">
        <v>44890</v>
      </c>
      <c r="J399" s="8" t="s">
        <v>1308</v>
      </c>
    </row>
    <row r="400" spans="1:10" x14ac:dyDescent="0.15">
      <c r="A400" s="7">
        <v>44893</v>
      </c>
      <c r="B400" s="8" t="s">
        <v>27</v>
      </c>
      <c r="C400" s="8" t="s">
        <v>27</v>
      </c>
      <c r="D400" s="9" t="str">
        <f>HYPERLINK("https://www.marklines.com/en/global/9879","BMW Manufacturing Hungary Kft., Debrecen Gyar plant")</f>
        <v>BMW Manufacturing Hungary Kft., Debrecen Gyar plant</v>
      </c>
      <c r="E400" s="8" t="s">
        <v>739</v>
      </c>
      <c r="F400" s="8" t="s">
        <v>21</v>
      </c>
      <c r="G400" s="8" t="s">
        <v>495</v>
      </c>
      <c r="H400" s="8"/>
      <c r="I400" s="10">
        <v>44890</v>
      </c>
      <c r="J400" s="8" t="s">
        <v>1309</v>
      </c>
    </row>
    <row r="401" spans="1:10" x14ac:dyDescent="0.15">
      <c r="A401" s="7">
        <v>44893</v>
      </c>
      <c r="B401" s="8" t="s">
        <v>73</v>
      </c>
      <c r="C401" s="8" t="s">
        <v>299</v>
      </c>
      <c r="D401" s="9" t="str">
        <f>HYPERLINK("https://www.marklines.com/en/global/581","Mitsubishi Fuso Truck and Bus, Kawasaki Plant")</f>
        <v>Mitsubishi Fuso Truck and Bus, Kawasaki Plant</v>
      </c>
      <c r="E401" s="8" t="s">
        <v>1310</v>
      </c>
      <c r="F401" s="8" t="s">
        <v>25</v>
      </c>
      <c r="G401" s="8" t="s">
        <v>31</v>
      </c>
      <c r="H401" s="8" t="s">
        <v>396</v>
      </c>
      <c r="I401" s="10">
        <v>44889</v>
      </c>
      <c r="J401" s="8" t="s">
        <v>1311</v>
      </c>
    </row>
    <row r="402" spans="1:10" x14ac:dyDescent="0.15">
      <c r="A402" s="7">
        <v>44893</v>
      </c>
      <c r="B402" s="8" t="s">
        <v>17</v>
      </c>
      <c r="C402" s="8" t="s">
        <v>17</v>
      </c>
      <c r="D402" s="9" t="str">
        <f>HYPERLINK("https://www.marklines.com/en/global/443","Honda Motor, Suzuka Factory")</f>
        <v>Honda Motor, Suzuka Factory</v>
      </c>
      <c r="E402" s="8" t="s">
        <v>43</v>
      </c>
      <c r="F402" s="8" t="s">
        <v>25</v>
      </c>
      <c r="G402" s="8" t="s">
        <v>31</v>
      </c>
      <c r="H402" s="8" t="s">
        <v>44</v>
      </c>
      <c r="I402" s="10">
        <v>44889</v>
      </c>
      <c r="J402" s="8" t="s">
        <v>1312</v>
      </c>
    </row>
    <row r="403" spans="1:10" x14ac:dyDescent="0.15">
      <c r="A403" s="7">
        <v>44893</v>
      </c>
      <c r="B403" s="8" t="s">
        <v>17</v>
      </c>
      <c r="C403" s="8" t="s">
        <v>17</v>
      </c>
      <c r="D403" s="9" t="str">
        <f>HYPERLINK("https://www.marklines.com/en/global/439","Honda Motor, Saitama Factory Automobile Plant")</f>
        <v>Honda Motor, Saitama Factory Automobile Plant</v>
      </c>
      <c r="E403" s="8" t="s">
        <v>45</v>
      </c>
      <c r="F403" s="8" t="s">
        <v>25</v>
      </c>
      <c r="G403" s="8" t="s">
        <v>31</v>
      </c>
      <c r="H403" s="8" t="s">
        <v>46</v>
      </c>
      <c r="I403" s="10">
        <v>44889</v>
      </c>
      <c r="J403" s="8" t="s">
        <v>1312</v>
      </c>
    </row>
    <row r="404" spans="1:10" x14ac:dyDescent="0.15">
      <c r="A404" s="7">
        <v>44893</v>
      </c>
      <c r="B404" s="8" t="s">
        <v>478</v>
      </c>
      <c r="C404" s="8" t="s">
        <v>478</v>
      </c>
      <c r="D404" s="9" t="str">
        <f>HYPERLINK("https://www.marklines.com/en/global/9500","BYD Co., Ltd.")</f>
        <v>BYD Co., Ltd.</v>
      </c>
      <c r="E404" s="8" t="s">
        <v>528</v>
      </c>
      <c r="F404" s="8" t="s">
        <v>25</v>
      </c>
      <c r="G404" s="8" t="s">
        <v>71</v>
      </c>
      <c r="H404" s="8" t="s">
        <v>83</v>
      </c>
      <c r="I404" s="10">
        <v>44888</v>
      </c>
      <c r="J404" s="8" t="s">
        <v>1313</v>
      </c>
    </row>
    <row r="405" spans="1:10" x14ac:dyDescent="0.15">
      <c r="A405" s="7">
        <v>44893</v>
      </c>
      <c r="B405" s="8" t="s">
        <v>82</v>
      </c>
      <c r="C405" s="8" t="s">
        <v>82</v>
      </c>
      <c r="D405" s="9" t="str">
        <f>HYPERLINK("https://www.marklines.com/en/global/4073","Guangzhou Automobile Group Co., Ltd. (GAC)")</f>
        <v>Guangzhou Automobile Group Co., Ltd. (GAC)</v>
      </c>
      <c r="E405" s="8" t="s">
        <v>827</v>
      </c>
      <c r="F405" s="8" t="s">
        <v>25</v>
      </c>
      <c r="G405" s="8" t="s">
        <v>71</v>
      </c>
      <c r="H405" s="8" t="s">
        <v>83</v>
      </c>
      <c r="I405" s="10">
        <v>44888</v>
      </c>
      <c r="J405" s="8" t="s">
        <v>1314</v>
      </c>
    </row>
    <row r="406" spans="1:10" x14ac:dyDescent="0.15">
      <c r="A406" s="7">
        <v>44893</v>
      </c>
      <c r="B406" s="8" t="s">
        <v>82</v>
      </c>
      <c r="C406" s="8" t="s">
        <v>133</v>
      </c>
      <c r="D406" s="9" t="str">
        <f>HYPERLINK("https://www.marklines.com/en/global/9824","GAC Aion New Energy Automobile Co., Ltd.")</f>
        <v>GAC Aion New Energy Automobile Co., Ltd.</v>
      </c>
      <c r="E406" s="8" t="s">
        <v>134</v>
      </c>
      <c r="F406" s="8" t="s">
        <v>25</v>
      </c>
      <c r="G406" s="8" t="s">
        <v>71</v>
      </c>
      <c r="H406" s="8" t="s">
        <v>83</v>
      </c>
      <c r="I406" s="10">
        <v>44888</v>
      </c>
      <c r="J406" s="8" t="s">
        <v>1314</v>
      </c>
    </row>
    <row r="407" spans="1:10" x14ac:dyDescent="0.15">
      <c r="A407" s="7">
        <v>44893</v>
      </c>
      <c r="B407" s="8" t="s">
        <v>58</v>
      </c>
      <c r="C407" s="8" t="s">
        <v>58</v>
      </c>
      <c r="D407" s="9" t="str">
        <f>HYPERLINK("https://www.marklines.com/en/global/9390","Chery New Energy Automotive Co., Ltd. (Formerly Chery New Energy Technology Automotive Co., Ltd.)")</f>
        <v>Chery New Energy Automotive Co., Ltd. (Formerly Chery New Energy Technology Automotive Co., Ltd.)</v>
      </c>
      <c r="E407" s="8" t="s">
        <v>386</v>
      </c>
      <c r="F407" s="8" t="s">
        <v>25</v>
      </c>
      <c r="G407" s="8" t="s">
        <v>71</v>
      </c>
      <c r="H407" s="8" t="s">
        <v>120</v>
      </c>
      <c r="I407" s="10">
        <v>44888</v>
      </c>
      <c r="J407" s="8" t="s">
        <v>1315</v>
      </c>
    </row>
    <row r="408" spans="1:10" x14ac:dyDescent="0.15">
      <c r="A408" s="7">
        <v>44893</v>
      </c>
      <c r="B408" s="8" t="s">
        <v>30</v>
      </c>
      <c r="C408" s="8" t="s">
        <v>30</v>
      </c>
      <c r="D408" s="9" t="str">
        <f>HYPERLINK("https://www.marklines.com/en/global/381","Toyota Motor, Tahara Plant")</f>
        <v>Toyota Motor, Tahara Plant</v>
      </c>
      <c r="E408" s="8" t="s">
        <v>131</v>
      </c>
      <c r="F408" s="8" t="s">
        <v>25</v>
      </c>
      <c r="G408" s="8" t="s">
        <v>31</v>
      </c>
      <c r="H408" s="8" t="s">
        <v>32</v>
      </c>
      <c r="I408" s="10">
        <v>44887</v>
      </c>
      <c r="J408" s="8" t="s">
        <v>1316</v>
      </c>
    </row>
    <row r="409" spans="1:10" x14ac:dyDescent="0.15">
      <c r="A409" s="7">
        <v>44893</v>
      </c>
      <c r="B409" s="8" t="s">
        <v>30</v>
      </c>
      <c r="C409" s="8" t="s">
        <v>30</v>
      </c>
      <c r="D409" s="9" t="str">
        <f>HYPERLINK("https://www.marklines.com/en/global/375","Toyota Motor, Takaoka Plant")</f>
        <v>Toyota Motor, Takaoka Plant</v>
      </c>
      <c r="E409" s="8" t="s">
        <v>51</v>
      </c>
      <c r="F409" s="8" t="s">
        <v>25</v>
      </c>
      <c r="G409" s="8" t="s">
        <v>31</v>
      </c>
      <c r="H409" s="8" t="s">
        <v>32</v>
      </c>
      <c r="I409" s="10">
        <v>44887</v>
      </c>
      <c r="J409" s="8" t="s">
        <v>1316</v>
      </c>
    </row>
    <row r="410" spans="1:10" x14ac:dyDescent="0.15">
      <c r="A410" s="7">
        <v>44893</v>
      </c>
      <c r="B410" s="8" t="s">
        <v>30</v>
      </c>
      <c r="C410" s="8" t="s">
        <v>30</v>
      </c>
      <c r="D410" s="9" t="str">
        <f>HYPERLINK("https://www.marklines.com/en/global/393","Toyota Motor Kyushu, Miyata Plant")</f>
        <v>Toyota Motor Kyushu, Miyata Plant</v>
      </c>
      <c r="E410" s="8" t="s">
        <v>126</v>
      </c>
      <c r="F410" s="8" t="s">
        <v>25</v>
      </c>
      <c r="G410" s="8" t="s">
        <v>31</v>
      </c>
      <c r="H410" s="8" t="s">
        <v>127</v>
      </c>
      <c r="I410" s="10">
        <v>44887</v>
      </c>
      <c r="J410" s="8" t="s">
        <v>1316</v>
      </c>
    </row>
    <row r="411" spans="1:10" x14ac:dyDescent="0.15">
      <c r="A411" s="7">
        <v>44893</v>
      </c>
      <c r="B411" s="8" t="s">
        <v>17</v>
      </c>
      <c r="C411" s="8" t="s">
        <v>17</v>
      </c>
      <c r="D411" s="9" t="str">
        <f>HYPERLINK("https://www.marklines.com/en/global/447","Honda Motor, Kumamoto Factory")</f>
        <v>Honda Motor, Kumamoto Factory</v>
      </c>
      <c r="E411" s="8" t="s">
        <v>1317</v>
      </c>
      <c r="F411" s="8" t="s">
        <v>25</v>
      </c>
      <c r="G411" s="8" t="s">
        <v>31</v>
      </c>
      <c r="H411" s="8" t="s">
        <v>1318</v>
      </c>
      <c r="I411" s="10">
        <v>44887</v>
      </c>
      <c r="J411" s="8" t="s">
        <v>1319</v>
      </c>
    </row>
    <row r="412" spans="1:10" x14ac:dyDescent="0.15">
      <c r="A412" s="7">
        <v>44893</v>
      </c>
      <c r="B412" s="8" t="s">
        <v>14</v>
      </c>
      <c r="C412" s="8" t="s">
        <v>14</v>
      </c>
      <c r="D412" s="9" t="str">
        <f>HYPERLINK("https://www.marklines.com/en/global/10287","Pan Asia Technical Automotive Center Co., Ltd. (PATAC, Shanghai City)")</f>
        <v>Pan Asia Technical Automotive Center Co., Ltd. (PATAC, Shanghai City)</v>
      </c>
      <c r="E412" s="8" t="s">
        <v>1320</v>
      </c>
      <c r="F412" s="8" t="s">
        <v>25</v>
      </c>
      <c r="G412" s="8" t="s">
        <v>71</v>
      </c>
      <c r="H412" s="8" t="s">
        <v>72</v>
      </c>
      <c r="I412" s="10">
        <v>44887</v>
      </c>
      <c r="J412" s="8" t="s">
        <v>1321</v>
      </c>
    </row>
    <row r="413" spans="1:10" x14ac:dyDescent="0.15">
      <c r="A413" s="7">
        <v>44893</v>
      </c>
      <c r="B413" s="8" t="s">
        <v>14</v>
      </c>
      <c r="C413" s="8" t="s">
        <v>23</v>
      </c>
      <c r="D413" s="9" t="str">
        <f>HYPERLINK("https://www.marklines.com/en/global/3621","SAIC General Motors Co., Ltd. (SAIC-GM)")</f>
        <v>SAIC General Motors Co., Ltd. (SAIC-GM)</v>
      </c>
      <c r="E413" s="8" t="s">
        <v>943</v>
      </c>
      <c r="F413" s="8" t="s">
        <v>25</v>
      </c>
      <c r="G413" s="8" t="s">
        <v>71</v>
      </c>
      <c r="H413" s="8" t="s">
        <v>72</v>
      </c>
      <c r="I413" s="10">
        <v>44887</v>
      </c>
      <c r="J413" s="8" t="s">
        <v>1322</v>
      </c>
    </row>
    <row r="414" spans="1:10" x14ac:dyDescent="0.15">
      <c r="A414" s="7">
        <v>44893</v>
      </c>
      <c r="B414" s="8" t="s">
        <v>14</v>
      </c>
      <c r="C414" s="8" t="s">
        <v>811</v>
      </c>
      <c r="D414" s="9" t="str">
        <f>HYPERLINK("https://www.marklines.com/en/global/3621","SAIC General Motors Co., Ltd. (SAIC-GM)")</f>
        <v>SAIC General Motors Co., Ltd. (SAIC-GM)</v>
      </c>
      <c r="E414" s="8" t="s">
        <v>943</v>
      </c>
      <c r="F414" s="8" t="s">
        <v>25</v>
      </c>
      <c r="G414" s="8" t="s">
        <v>71</v>
      </c>
      <c r="H414" s="8" t="s">
        <v>72</v>
      </c>
      <c r="I414" s="10">
        <v>44887</v>
      </c>
      <c r="J414" s="8" t="s">
        <v>1322</v>
      </c>
    </row>
    <row r="415" spans="1:10" x14ac:dyDescent="0.15">
      <c r="A415" s="7">
        <v>44893</v>
      </c>
      <c r="B415" s="8" t="s">
        <v>14</v>
      </c>
      <c r="C415" s="8" t="s">
        <v>28</v>
      </c>
      <c r="D415" s="9" t="str">
        <f>HYPERLINK("https://www.marklines.com/en/global/3621","SAIC General Motors Co., Ltd. (SAIC-GM)")</f>
        <v>SAIC General Motors Co., Ltd. (SAIC-GM)</v>
      </c>
      <c r="E415" s="8" t="s">
        <v>943</v>
      </c>
      <c r="F415" s="8" t="s">
        <v>25</v>
      </c>
      <c r="G415" s="8" t="s">
        <v>71</v>
      </c>
      <c r="H415" s="8" t="s">
        <v>72</v>
      </c>
      <c r="I415" s="10">
        <v>44887</v>
      </c>
      <c r="J415" s="8" t="s">
        <v>1322</v>
      </c>
    </row>
    <row r="416" spans="1:10" x14ac:dyDescent="0.15">
      <c r="A416" s="7">
        <v>44893</v>
      </c>
      <c r="B416" s="8" t="s">
        <v>14</v>
      </c>
      <c r="C416" s="8" t="s">
        <v>14</v>
      </c>
      <c r="D416" s="9" t="str">
        <f>HYPERLINK("https://www.marklines.com/en/global/10439","SAIC-GM Ultium Center")</f>
        <v>SAIC-GM Ultium Center</v>
      </c>
      <c r="E416" s="8" t="s">
        <v>1323</v>
      </c>
      <c r="F416" s="8" t="s">
        <v>25</v>
      </c>
      <c r="G416" s="8" t="s">
        <v>71</v>
      </c>
      <c r="H416" s="8" t="s">
        <v>72</v>
      </c>
      <c r="I416" s="10">
        <v>44887</v>
      </c>
      <c r="J416" s="8" t="s">
        <v>1322</v>
      </c>
    </row>
    <row r="417" spans="1:10" x14ac:dyDescent="0.15">
      <c r="A417" s="7">
        <v>44893</v>
      </c>
      <c r="B417" s="8" t="s">
        <v>27</v>
      </c>
      <c r="C417" s="8" t="s">
        <v>27</v>
      </c>
      <c r="D417" s="9" t="str">
        <f>HYPERLINK("https://www.marklines.com/en/global/2215","BMW AG, Leipzig Plant")</f>
        <v>BMW AG, Leipzig Plant</v>
      </c>
      <c r="E417" s="8" t="s">
        <v>462</v>
      </c>
      <c r="F417" s="8" t="s">
        <v>20</v>
      </c>
      <c r="G417" s="8" t="s">
        <v>29</v>
      </c>
      <c r="H417" s="8"/>
      <c r="I417" s="10">
        <v>44886</v>
      </c>
      <c r="J417" s="8" t="s">
        <v>1324</v>
      </c>
    </row>
    <row r="418" spans="1:10" x14ac:dyDescent="0.15">
      <c r="A418" s="7">
        <v>44893</v>
      </c>
      <c r="B418" s="8" t="s">
        <v>27</v>
      </c>
      <c r="C418" s="8" t="s">
        <v>489</v>
      </c>
      <c r="D418" s="9" t="str">
        <f>HYPERLINK("https://www.marklines.com/en/global/2215","BMW AG, Leipzig Plant")</f>
        <v>BMW AG, Leipzig Plant</v>
      </c>
      <c r="E418" s="8" t="s">
        <v>462</v>
      </c>
      <c r="F418" s="8" t="s">
        <v>20</v>
      </c>
      <c r="G418" s="8" t="s">
        <v>29</v>
      </c>
      <c r="H418" s="8"/>
      <c r="I418" s="10">
        <v>44886</v>
      </c>
      <c r="J418" s="8" t="s">
        <v>1324</v>
      </c>
    </row>
    <row r="419" spans="1:10" x14ac:dyDescent="0.15">
      <c r="A419" s="7">
        <v>44893</v>
      </c>
      <c r="B419" s="8" t="s">
        <v>585</v>
      </c>
      <c r="C419" s="8" t="s">
        <v>586</v>
      </c>
      <c r="D419" s="9" t="str">
        <f>HYPERLINK("https://www.marklines.com/en/global/9538","Hozon New Energy Automobile Co., Ltd. (formerly Zhejiang Hozon New Energy Automobile Co., Ltd.)")</f>
        <v>Hozon New Energy Automobile Co., Ltd. (formerly Zhejiang Hozon New Energy Automobile Co., Ltd.)</v>
      </c>
      <c r="E419" s="8" t="s">
        <v>587</v>
      </c>
      <c r="F419" s="8" t="s">
        <v>25</v>
      </c>
      <c r="G419" s="8" t="s">
        <v>71</v>
      </c>
      <c r="H419" s="8" t="s">
        <v>78</v>
      </c>
      <c r="I419" s="10">
        <v>44886</v>
      </c>
      <c r="J419" s="8" t="s">
        <v>1325</v>
      </c>
    </row>
    <row r="420" spans="1:10" x14ac:dyDescent="0.15">
      <c r="A420" s="7">
        <v>44893</v>
      </c>
      <c r="B420" s="8" t="s">
        <v>30</v>
      </c>
      <c r="C420" s="8" t="s">
        <v>30</v>
      </c>
      <c r="D420" s="9" t="str">
        <f>HYPERLINK("https://www.marklines.com/en/global/363","PT. Toyota Motor Manufacturing Indonesia (TMMIN), Karawang Plant")</f>
        <v>PT. Toyota Motor Manufacturing Indonesia (TMMIN), Karawang Plant</v>
      </c>
      <c r="E420" s="8" t="s">
        <v>1326</v>
      </c>
      <c r="F420" s="8" t="s">
        <v>22</v>
      </c>
      <c r="G420" s="8" t="s">
        <v>53</v>
      </c>
      <c r="H420" s="8"/>
      <c r="I420" s="10">
        <v>44886</v>
      </c>
      <c r="J420" s="8" t="s">
        <v>1327</v>
      </c>
    </row>
    <row r="421" spans="1:10" x14ac:dyDescent="0.15">
      <c r="A421" s="7">
        <v>44893</v>
      </c>
      <c r="B421" s="8" t="s">
        <v>15</v>
      </c>
      <c r="C421" s="8" t="s">
        <v>1328</v>
      </c>
      <c r="D421" s="9" t="str">
        <f>HYPERLINK("https://www.marklines.com/en/global/2687","National Electric Vehicle Sweden AB (NEVS), Trollhattan Plant (Formerly Saab Automobile AB) ")</f>
        <v xml:space="preserve">National Electric Vehicle Sweden AB (NEVS), Trollhattan Plant (Formerly Saab Automobile AB) </v>
      </c>
      <c r="E421" s="8" t="s">
        <v>1329</v>
      </c>
      <c r="F421" s="8" t="s">
        <v>20</v>
      </c>
      <c r="G421" s="8" t="s">
        <v>34</v>
      </c>
      <c r="H421" s="8"/>
      <c r="I421" s="10">
        <v>44883</v>
      </c>
      <c r="J421" s="8" t="s">
        <v>1330</v>
      </c>
    </row>
    <row r="422" spans="1:10" x14ac:dyDescent="0.15">
      <c r="A422" s="7">
        <v>44893</v>
      </c>
      <c r="B422" s="8" t="s">
        <v>289</v>
      </c>
      <c r="C422" s="8" t="s">
        <v>925</v>
      </c>
      <c r="D422" s="9" t="str">
        <f>HYPERLINK("https://www.marklines.com/en/global/6429","SOMACA, Casablanca Plant")</f>
        <v>SOMACA, Casablanca Plant</v>
      </c>
      <c r="E422" s="8" t="s">
        <v>1331</v>
      </c>
      <c r="F422" s="8" t="s">
        <v>129</v>
      </c>
      <c r="G422" s="8" t="s">
        <v>895</v>
      </c>
      <c r="H422" s="8"/>
      <c r="I422" s="10">
        <v>44881</v>
      </c>
      <c r="J422" s="8" t="s">
        <v>1332</v>
      </c>
    </row>
    <row r="423" spans="1:10" x14ac:dyDescent="0.15">
      <c r="A423" s="7">
        <v>44890</v>
      </c>
      <c r="B423" s="8" t="s">
        <v>15</v>
      </c>
      <c r="C423" s="8" t="s">
        <v>178</v>
      </c>
      <c r="D423" s="9" t="str">
        <f>HYPERLINK("https://www.marklines.com/en/global/10553","Ebusco B.V., Deurne Plant")</f>
        <v>Ebusco B.V., Deurne Plant</v>
      </c>
      <c r="E423" s="8" t="s">
        <v>179</v>
      </c>
      <c r="F423" s="8" t="s">
        <v>20</v>
      </c>
      <c r="G423" s="8" t="s">
        <v>147</v>
      </c>
      <c r="H423" s="8"/>
      <c r="I423" s="10">
        <v>44890</v>
      </c>
      <c r="J423" s="8" t="s">
        <v>1062</v>
      </c>
    </row>
    <row r="424" spans="1:10" x14ac:dyDescent="0.15">
      <c r="A424" s="7">
        <v>44890</v>
      </c>
      <c r="B424" s="8" t="s">
        <v>30</v>
      </c>
      <c r="C424" s="8" t="s">
        <v>30</v>
      </c>
      <c r="D424" s="9" t="str">
        <f>HYPERLINK("https://www.marklines.com/en/global/1287","Toyota Kirloskar Motor India (TKM), Bangalore Plant")</f>
        <v>Toyota Kirloskar Motor India (TKM), Bangalore Plant</v>
      </c>
      <c r="E424" s="8" t="s">
        <v>961</v>
      </c>
      <c r="F424" s="8" t="s">
        <v>69</v>
      </c>
      <c r="G424" s="8" t="s">
        <v>70</v>
      </c>
      <c r="H424" s="8" t="s">
        <v>549</v>
      </c>
      <c r="I424" s="10">
        <v>44890</v>
      </c>
      <c r="J424" s="8" t="s">
        <v>1063</v>
      </c>
    </row>
    <row r="425" spans="1:10" x14ac:dyDescent="0.15">
      <c r="A425" s="7">
        <v>44890</v>
      </c>
      <c r="B425" s="8" t="s">
        <v>27</v>
      </c>
      <c r="C425" s="8" t="s">
        <v>27</v>
      </c>
      <c r="D425" s="9" t="str">
        <f>HYPERLINK("https://www.marklines.com/en/global/10316","BMW Cell Manufacturing Competence Center (CMCC), Parsdorf")</f>
        <v>BMW Cell Manufacturing Competence Center (CMCC), Parsdorf</v>
      </c>
      <c r="E425" s="8" t="s">
        <v>741</v>
      </c>
      <c r="F425" s="8" t="s">
        <v>20</v>
      </c>
      <c r="G425" s="8" t="s">
        <v>29</v>
      </c>
      <c r="H425" s="8"/>
      <c r="I425" s="10">
        <v>44889</v>
      </c>
      <c r="J425" s="8" t="s">
        <v>1064</v>
      </c>
    </row>
    <row r="426" spans="1:10" x14ac:dyDescent="0.15">
      <c r="A426" s="7">
        <v>44890</v>
      </c>
      <c r="B426" s="8" t="s">
        <v>27</v>
      </c>
      <c r="C426" s="8" t="s">
        <v>489</v>
      </c>
      <c r="D426" s="9" t="str">
        <f>HYPERLINK("https://www.marklines.com/en/global/10316","BMW Cell Manufacturing Competence Center (CMCC), Parsdorf")</f>
        <v>BMW Cell Manufacturing Competence Center (CMCC), Parsdorf</v>
      </c>
      <c r="E426" s="8" t="s">
        <v>741</v>
      </c>
      <c r="F426" s="8" t="s">
        <v>20</v>
      </c>
      <c r="G426" s="8" t="s">
        <v>29</v>
      </c>
      <c r="H426" s="8"/>
      <c r="I426" s="10">
        <v>44889</v>
      </c>
      <c r="J426" s="8" t="s">
        <v>1064</v>
      </c>
    </row>
    <row r="427" spans="1:10" x14ac:dyDescent="0.15">
      <c r="A427" s="7">
        <v>44890</v>
      </c>
      <c r="B427" s="8" t="s">
        <v>73</v>
      </c>
      <c r="C427" s="8" t="s">
        <v>74</v>
      </c>
      <c r="D427" s="9" t="str">
        <f>HYPERLINK("https://www.marklines.com/en/global/2243","Daimler Truck AG, Wörth Plant")</f>
        <v>Daimler Truck AG, Wörth Plant</v>
      </c>
      <c r="E427" s="8" t="s">
        <v>1065</v>
      </c>
      <c r="F427" s="8" t="s">
        <v>20</v>
      </c>
      <c r="G427" s="8" t="s">
        <v>29</v>
      </c>
      <c r="H427" s="8"/>
      <c r="I427" s="10">
        <v>44889</v>
      </c>
      <c r="J427" s="8" t="s">
        <v>1066</v>
      </c>
    </row>
    <row r="428" spans="1:10" x14ac:dyDescent="0.15">
      <c r="A428" s="7">
        <v>44890</v>
      </c>
      <c r="B428" s="8" t="s">
        <v>97</v>
      </c>
      <c r="C428" s="8" t="s">
        <v>97</v>
      </c>
      <c r="D428" s="9" t="str">
        <f>HYPERLINK("https://www.marklines.com/en/global/749","Nissan Manufacturing Rus OOO, Kamenka (St. Petersburg) Plant")</f>
        <v>Nissan Manufacturing Rus OOO, Kamenka (St. Petersburg) Plant</v>
      </c>
      <c r="E428" s="8" t="s">
        <v>381</v>
      </c>
      <c r="F428" s="8" t="s">
        <v>21</v>
      </c>
      <c r="G428" s="8" t="s">
        <v>16</v>
      </c>
      <c r="H428" s="8"/>
      <c r="I428" s="10">
        <v>44889</v>
      </c>
      <c r="J428" s="8" t="s">
        <v>1067</v>
      </c>
    </row>
    <row r="429" spans="1:10" x14ac:dyDescent="0.15">
      <c r="A429" s="7">
        <v>44890</v>
      </c>
      <c r="B429" s="8" t="s">
        <v>97</v>
      </c>
      <c r="C429" s="8" t="s">
        <v>97</v>
      </c>
      <c r="D429" s="9" t="str">
        <f>HYPERLINK("https://www.marklines.com/en/global/10055","Nissan Technical Center Europe, S.A. (St. Petersburg)")</f>
        <v>Nissan Technical Center Europe, S.A. (St. Petersburg)</v>
      </c>
      <c r="E429" s="8" t="s">
        <v>1068</v>
      </c>
      <c r="F429" s="8" t="s">
        <v>21</v>
      </c>
      <c r="G429" s="8" t="s">
        <v>16</v>
      </c>
      <c r="H429" s="8"/>
      <c r="I429" s="10">
        <v>44889</v>
      </c>
      <c r="J429" s="8" t="s">
        <v>1067</v>
      </c>
    </row>
    <row r="430" spans="1:10" x14ac:dyDescent="0.15">
      <c r="A430" s="7">
        <v>44890</v>
      </c>
      <c r="B430" s="8" t="s">
        <v>11</v>
      </c>
      <c r="C430" s="8" t="s">
        <v>108</v>
      </c>
      <c r="D430" s="9" t="str">
        <f>HYPERLINK("https://www.marklines.com/en/global/1514","Audi Brussels S.A./N.V., Brussels Plant")</f>
        <v>Audi Brussels S.A./N.V., Brussels Plant</v>
      </c>
      <c r="E430" s="8" t="s">
        <v>1069</v>
      </c>
      <c r="F430" s="8" t="s">
        <v>20</v>
      </c>
      <c r="G430" s="8" t="s">
        <v>109</v>
      </c>
      <c r="H430" s="8"/>
      <c r="I430" s="10">
        <v>44888</v>
      </c>
      <c r="J430" s="8" t="s">
        <v>1070</v>
      </c>
    </row>
    <row r="431" spans="1:10" x14ac:dyDescent="0.15">
      <c r="A431" s="7">
        <v>44890</v>
      </c>
      <c r="B431" s="8" t="s">
        <v>683</v>
      </c>
      <c r="C431" s="8" t="s">
        <v>683</v>
      </c>
      <c r="D431" s="9" t="str">
        <f>HYPERLINK("https://www.marklines.com/en/global/9485","Guangzhou Xiaopeng Motors Technology Co., Ltd. ")</f>
        <v xml:space="preserve">Guangzhou Xiaopeng Motors Technology Co., Ltd. </v>
      </c>
      <c r="E431" s="8" t="s">
        <v>848</v>
      </c>
      <c r="F431" s="8" t="s">
        <v>25</v>
      </c>
      <c r="G431" s="8" t="s">
        <v>71</v>
      </c>
      <c r="H431" s="8" t="s">
        <v>83</v>
      </c>
      <c r="I431" s="10">
        <v>44888</v>
      </c>
      <c r="J431" s="8" t="s">
        <v>1071</v>
      </c>
    </row>
    <row r="432" spans="1:10" x14ac:dyDescent="0.15">
      <c r="A432" s="7">
        <v>44890</v>
      </c>
      <c r="B432" s="8" t="s">
        <v>398</v>
      </c>
      <c r="C432" s="8" t="s">
        <v>398</v>
      </c>
      <c r="D432" s="9" t="str">
        <f>HYPERLINK("https://www.marklines.com/en/global/1426","Anadolu Isuzu Otomotiv Sanayi Ve Ticaret A.S., Kocaeli Plant")</f>
        <v>Anadolu Isuzu Otomotiv Sanayi Ve Ticaret A.S., Kocaeli Plant</v>
      </c>
      <c r="E432" s="8" t="s">
        <v>1072</v>
      </c>
      <c r="F432" s="8" t="s">
        <v>295</v>
      </c>
      <c r="G432" s="8" t="s">
        <v>296</v>
      </c>
      <c r="H432" s="8"/>
      <c r="I432" s="10">
        <v>44887</v>
      </c>
      <c r="J432" s="8" t="s">
        <v>1073</v>
      </c>
    </row>
    <row r="433" spans="1:10" x14ac:dyDescent="0.15">
      <c r="A433" s="7">
        <v>44890</v>
      </c>
      <c r="B433" s="8" t="s">
        <v>416</v>
      </c>
      <c r="C433" s="8" t="s">
        <v>416</v>
      </c>
      <c r="D433" s="9" t="str">
        <f>HYPERLINK("https://www.marklines.com/en/global/737","Kamaz, Naberezhnye Chelny Plant")</f>
        <v>Kamaz, Naberezhnye Chelny Plant</v>
      </c>
      <c r="E433" s="8" t="s">
        <v>1074</v>
      </c>
      <c r="F433" s="8" t="s">
        <v>21</v>
      </c>
      <c r="G433" s="8" t="s">
        <v>16</v>
      </c>
      <c r="H433" s="8"/>
      <c r="I433" s="10">
        <v>44887</v>
      </c>
      <c r="J433" s="8" t="s">
        <v>1075</v>
      </c>
    </row>
    <row r="434" spans="1:10" x14ac:dyDescent="0.15">
      <c r="A434" s="7">
        <v>44890</v>
      </c>
      <c r="B434" s="8" t="s">
        <v>478</v>
      </c>
      <c r="C434" s="8" t="s">
        <v>478</v>
      </c>
      <c r="D434" s="9" t="str">
        <f>HYPERLINK("https://www.marklines.com/en/global/10441","BYD Automobile Co., Ltd. Changzhou Branch")</f>
        <v>BYD Automobile Co., Ltd. Changzhou Branch</v>
      </c>
      <c r="E434" s="8" t="s">
        <v>479</v>
      </c>
      <c r="F434" s="8" t="s">
        <v>25</v>
      </c>
      <c r="G434" s="8" t="s">
        <v>71</v>
      </c>
      <c r="H434" s="8" t="s">
        <v>351</v>
      </c>
      <c r="I434" s="10">
        <v>44887</v>
      </c>
      <c r="J434" s="8" t="s">
        <v>1076</v>
      </c>
    </row>
    <row r="435" spans="1:10" x14ac:dyDescent="0.15">
      <c r="A435" s="7">
        <v>44890</v>
      </c>
      <c r="B435" s="8" t="s">
        <v>478</v>
      </c>
      <c r="C435" s="8" t="s">
        <v>478</v>
      </c>
      <c r="D435" s="9" t="str">
        <f>HYPERLINK("https://www.marklines.com/en/global/4269","BYD Automobile Co., Ltd.")</f>
        <v>BYD Automobile Co., Ltd.</v>
      </c>
      <c r="E435" s="8" t="s">
        <v>1077</v>
      </c>
      <c r="F435" s="8" t="s">
        <v>25</v>
      </c>
      <c r="G435" s="8" t="s">
        <v>71</v>
      </c>
      <c r="H435" s="8" t="s">
        <v>727</v>
      </c>
      <c r="I435" s="10">
        <v>44887</v>
      </c>
      <c r="J435" s="8" t="s">
        <v>1076</v>
      </c>
    </row>
    <row r="436" spans="1:10" x14ac:dyDescent="0.15">
      <c r="A436" s="7">
        <v>44890</v>
      </c>
      <c r="B436" s="8" t="s">
        <v>478</v>
      </c>
      <c r="C436" s="8" t="s">
        <v>478</v>
      </c>
      <c r="D436" s="9" t="str">
        <f>HYPERLINK("https://www.marklines.com/en/global/4043","BYD Automobile Industry Co., Ltd., Changsha Branch")</f>
        <v>BYD Automobile Industry Co., Ltd., Changsha Branch</v>
      </c>
      <c r="E436" s="8" t="s">
        <v>481</v>
      </c>
      <c r="F436" s="8" t="s">
        <v>25</v>
      </c>
      <c r="G436" s="8" t="s">
        <v>71</v>
      </c>
      <c r="H436" s="8" t="s">
        <v>482</v>
      </c>
      <c r="I436" s="10">
        <v>44887</v>
      </c>
      <c r="J436" s="8" t="s">
        <v>1076</v>
      </c>
    </row>
    <row r="437" spans="1:10" x14ac:dyDescent="0.15">
      <c r="A437" s="7">
        <v>44890</v>
      </c>
      <c r="B437" s="8" t="s">
        <v>87</v>
      </c>
      <c r="C437" s="8" t="s">
        <v>88</v>
      </c>
      <c r="D437" s="9" t="str">
        <f>HYPERLINK("https://www.marklines.com/en/global/3427","Beijing Benz Automotive Co., Ltd.")</f>
        <v>Beijing Benz Automotive Co., Ltd.</v>
      </c>
      <c r="E437" s="8" t="s">
        <v>1078</v>
      </c>
      <c r="F437" s="8" t="s">
        <v>25</v>
      </c>
      <c r="G437" s="8" t="s">
        <v>71</v>
      </c>
      <c r="H437" s="8" t="s">
        <v>437</v>
      </c>
      <c r="I437" s="10">
        <v>44887</v>
      </c>
      <c r="J437" s="8" t="s">
        <v>1079</v>
      </c>
    </row>
    <row r="438" spans="1:10" x14ac:dyDescent="0.15">
      <c r="A438" s="7">
        <v>44890</v>
      </c>
      <c r="B438" s="8" t="s">
        <v>1080</v>
      </c>
      <c r="C438" s="8" t="s">
        <v>1080</v>
      </c>
      <c r="D438" s="9" t="str">
        <f>HYPERLINK("https://www.marklines.com/en/global/8907","FAW Vehicle Manufacturers SA (Pty) Ltd., Coega plant")</f>
        <v>FAW Vehicle Manufacturers SA (Pty) Ltd., Coega plant</v>
      </c>
      <c r="E438" s="8" t="s">
        <v>1081</v>
      </c>
      <c r="F438" s="8" t="s">
        <v>129</v>
      </c>
      <c r="G438" s="8" t="s">
        <v>130</v>
      </c>
      <c r="H438" s="8"/>
      <c r="I438" s="10">
        <v>44877</v>
      </c>
      <c r="J438" s="8" t="s">
        <v>1082</v>
      </c>
    </row>
    <row r="439" spans="1:10" x14ac:dyDescent="0.15">
      <c r="A439" s="7">
        <v>44889</v>
      </c>
      <c r="B439" s="8" t="s">
        <v>289</v>
      </c>
      <c r="C439" s="8" t="s">
        <v>289</v>
      </c>
      <c r="D439" s="9" t="str">
        <f>HYPERLINK("https://www.marklines.com/en/global/187","Societe de Transmission Automatique (STA), Ruitz Plant")</f>
        <v>Societe de Transmission Automatique (STA), Ruitz Plant</v>
      </c>
      <c r="E439" s="8" t="s">
        <v>1083</v>
      </c>
      <c r="F439" s="8" t="s">
        <v>20</v>
      </c>
      <c r="G439" s="8" t="s">
        <v>86</v>
      </c>
      <c r="H439" s="8"/>
      <c r="I439" s="10">
        <v>44889</v>
      </c>
      <c r="J439" s="8" t="s">
        <v>1084</v>
      </c>
    </row>
    <row r="440" spans="1:10" x14ac:dyDescent="0.15">
      <c r="A440" s="7">
        <v>44889</v>
      </c>
      <c r="B440" s="8" t="s">
        <v>289</v>
      </c>
      <c r="C440" s="8" t="s">
        <v>289</v>
      </c>
      <c r="D440" s="9" t="str">
        <f>HYPERLINK("https://www.marklines.com/en/global/173","Maubeuge Construction Automobile (MCA), Maubeuge Plant")</f>
        <v>Maubeuge Construction Automobile (MCA), Maubeuge Plant</v>
      </c>
      <c r="E440" s="8" t="s">
        <v>358</v>
      </c>
      <c r="F440" s="8" t="s">
        <v>20</v>
      </c>
      <c r="G440" s="8" t="s">
        <v>86</v>
      </c>
      <c r="H440" s="8"/>
      <c r="I440" s="10">
        <v>44889</v>
      </c>
      <c r="J440" s="8" t="s">
        <v>1084</v>
      </c>
    </row>
    <row r="441" spans="1:10" x14ac:dyDescent="0.15">
      <c r="A441" s="7">
        <v>44889</v>
      </c>
      <c r="B441" s="8" t="s">
        <v>289</v>
      </c>
      <c r="C441" s="8" t="s">
        <v>289</v>
      </c>
      <c r="D441" s="9" t="str">
        <f>HYPERLINK("https://www.marklines.com/en/global/169","Renault S.A., Douai (Georges Besse) Plant")</f>
        <v>Renault S.A., Douai (Georges Besse) Plant</v>
      </c>
      <c r="E441" s="8" t="s">
        <v>734</v>
      </c>
      <c r="F441" s="8" t="s">
        <v>20</v>
      </c>
      <c r="G441" s="8" t="s">
        <v>86</v>
      </c>
      <c r="H441" s="8"/>
      <c r="I441" s="10">
        <v>44889</v>
      </c>
      <c r="J441" s="8" t="s">
        <v>1084</v>
      </c>
    </row>
    <row r="442" spans="1:10" x14ac:dyDescent="0.15">
      <c r="A442" s="7">
        <v>44889</v>
      </c>
      <c r="B442" s="8" t="s">
        <v>289</v>
      </c>
      <c r="C442" s="8" t="s">
        <v>289</v>
      </c>
      <c r="D442" s="9" t="str">
        <f>HYPERLINK("https://www.marklines.com/en/global/179","Renault S.A., Cléon Plant")</f>
        <v>Renault S.A., Cléon Plant</v>
      </c>
      <c r="E442" s="8" t="s">
        <v>356</v>
      </c>
      <c r="F442" s="8" t="s">
        <v>20</v>
      </c>
      <c r="G442" s="8" t="s">
        <v>86</v>
      </c>
      <c r="H442" s="8"/>
      <c r="I442" s="10">
        <v>44889</v>
      </c>
      <c r="J442" s="8" t="s">
        <v>1084</v>
      </c>
    </row>
    <row r="443" spans="1:10" x14ac:dyDescent="0.15">
      <c r="A443" s="7">
        <v>44889</v>
      </c>
      <c r="B443" s="8" t="s">
        <v>289</v>
      </c>
      <c r="C443" s="8" t="s">
        <v>289</v>
      </c>
      <c r="D443" s="9" t="str">
        <f>HYPERLINK("https://www.marklines.com/en/global/169","Renault S.A., Douai (Georges Besse) Plant")</f>
        <v>Renault S.A., Douai (Georges Besse) Plant</v>
      </c>
      <c r="E443" s="8" t="s">
        <v>734</v>
      </c>
      <c r="F443" s="8" t="s">
        <v>20</v>
      </c>
      <c r="G443" s="8" t="s">
        <v>86</v>
      </c>
      <c r="H443" s="8"/>
      <c r="I443" s="10">
        <v>44889</v>
      </c>
      <c r="J443" s="8" t="s">
        <v>1085</v>
      </c>
    </row>
    <row r="444" spans="1:10" x14ac:dyDescent="0.15">
      <c r="A444" s="7">
        <v>44889</v>
      </c>
      <c r="B444" s="8" t="s">
        <v>289</v>
      </c>
      <c r="C444" s="8" t="s">
        <v>289</v>
      </c>
      <c r="D444" s="9" t="str">
        <f>HYPERLINK("https://www.marklines.com/en/global/173","Maubeuge Construction Automobile (MCA), Maubeuge Plant")</f>
        <v>Maubeuge Construction Automobile (MCA), Maubeuge Plant</v>
      </c>
      <c r="E444" s="8" t="s">
        <v>358</v>
      </c>
      <c r="F444" s="8" t="s">
        <v>20</v>
      </c>
      <c r="G444" s="8" t="s">
        <v>86</v>
      </c>
      <c r="H444" s="8"/>
      <c r="I444" s="10">
        <v>44889</v>
      </c>
      <c r="J444" s="8" t="s">
        <v>1086</v>
      </c>
    </row>
    <row r="445" spans="1:10" x14ac:dyDescent="0.15">
      <c r="A445" s="7">
        <v>44889</v>
      </c>
      <c r="B445" s="8" t="s">
        <v>15</v>
      </c>
      <c r="C445" s="8" t="s">
        <v>15</v>
      </c>
      <c r="D445" s="9" t="str">
        <f>HYPERLINK("https://www.marklines.com/en/global/2749","Valmet Automotive Inc., Uusikaupunki Plant")</f>
        <v>Valmet Automotive Inc., Uusikaupunki Plant</v>
      </c>
      <c r="E445" s="8" t="s">
        <v>663</v>
      </c>
      <c r="F445" s="8" t="s">
        <v>20</v>
      </c>
      <c r="G445" s="8" t="s">
        <v>664</v>
      </c>
      <c r="H445" s="8"/>
      <c r="I445" s="10">
        <v>44889</v>
      </c>
      <c r="J445" s="8" t="s">
        <v>1087</v>
      </c>
    </row>
    <row r="446" spans="1:10" x14ac:dyDescent="0.15">
      <c r="A446" s="7">
        <v>44889</v>
      </c>
      <c r="B446" s="8" t="s">
        <v>15</v>
      </c>
      <c r="C446" s="8" t="s">
        <v>662</v>
      </c>
      <c r="D446" s="9" t="str">
        <f>HYPERLINK("https://www.marklines.com/en/global/2749","Valmet Automotive Inc., Uusikaupunki Plant")</f>
        <v>Valmet Automotive Inc., Uusikaupunki Plant</v>
      </c>
      <c r="E446" s="8" t="s">
        <v>663</v>
      </c>
      <c r="F446" s="8" t="s">
        <v>20</v>
      </c>
      <c r="G446" s="8" t="s">
        <v>664</v>
      </c>
      <c r="H446" s="8"/>
      <c r="I446" s="10">
        <v>44889</v>
      </c>
      <c r="J446" s="8" t="s">
        <v>1088</v>
      </c>
    </row>
    <row r="447" spans="1:10" x14ac:dyDescent="0.15">
      <c r="A447" s="7">
        <v>44889</v>
      </c>
      <c r="B447" s="8" t="s">
        <v>85</v>
      </c>
      <c r="C447" s="8" t="s">
        <v>162</v>
      </c>
      <c r="D447" s="9" t="str">
        <f>HYPERLINK("https://www.marklines.com/en/global/109","Renault Trucks, Bourg en Bresse Plant")</f>
        <v>Renault Trucks, Bourg en Bresse Plant</v>
      </c>
      <c r="E447" s="8" t="s">
        <v>204</v>
      </c>
      <c r="F447" s="8" t="s">
        <v>20</v>
      </c>
      <c r="G447" s="8" t="s">
        <v>86</v>
      </c>
      <c r="H447" s="8"/>
      <c r="I447" s="10">
        <v>44888</v>
      </c>
      <c r="J447" s="8" t="s">
        <v>1089</v>
      </c>
    </row>
    <row r="448" spans="1:10" x14ac:dyDescent="0.15">
      <c r="A448" s="7">
        <v>44889</v>
      </c>
      <c r="B448" s="8" t="s">
        <v>15</v>
      </c>
      <c r="C448" s="8" t="s">
        <v>824</v>
      </c>
      <c r="D448" s="9" t="str">
        <f>HYPERLINK("https://www.marklines.com/en/global/803","JSC UralAZ (Ural Avtomobilny Zavod), Chelyabinsk Plant")</f>
        <v>JSC UralAZ (Ural Avtomobilny Zavod), Chelyabinsk Plant</v>
      </c>
      <c r="E448" s="8" t="s">
        <v>825</v>
      </c>
      <c r="F448" s="8" t="s">
        <v>21</v>
      </c>
      <c r="G448" s="8" t="s">
        <v>16</v>
      </c>
      <c r="H448" s="8"/>
      <c r="I448" s="10">
        <v>44887</v>
      </c>
      <c r="J448" s="8" t="s">
        <v>1090</v>
      </c>
    </row>
    <row r="449" spans="1:10" x14ac:dyDescent="0.15">
      <c r="A449" s="7">
        <v>44889</v>
      </c>
      <c r="B449" s="8" t="s">
        <v>439</v>
      </c>
      <c r="C449" s="8" t="s">
        <v>439</v>
      </c>
      <c r="D449" s="9" t="str">
        <f>HYPERLINK("https://www.marklines.com/en/global/9129","Beijing Automotive Group Off-road vehicle Co., Ltd.,")</f>
        <v>Beijing Automotive Group Off-road vehicle Co., Ltd.,</v>
      </c>
      <c r="E449" s="8" t="s">
        <v>1091</v>
      </c>
      <c r="F449" s="8" t="s">
        <v>25</v>
      </c>
      <c r="G449" s="8" t="s">
        <v>71</v>
      </c>
      <c r="H449" s="8" t="s">
        <v>437</v>
      </c>
      <c r="I449" s="10">
        <v>44887</v>
      </c>
      <c r="J449" s="8" t="s">
        <v>1092</v>
      </c>
    </row>
    <row r="450" spans="1:10" x14ac:dyDescent="0.15">
      <c r="A450" s="7">
        <v>44889</v>
      </c>
      <c r="B450" s="8" t="s">
        <v>52</v>
      </c>
      <c r="C450" s="8" t="s">
        <v>267</v>
      </c>
      <c r="D450" s="9" t="str">
        <f>HYPERLINK("https://www.marklines.com/en/global/2675","Stellantis, FCA Canada, Windsor Assembly Plant")</f>
        <v>Stellantis, FCA Canada, Windsor Assembly Plant</v>
      </c>
      <c r="E450" s="8" t="s">
        <v>1093</v>
      </c>
      <c r="F450" s="8" t="s">
        <v>19</v>
      </c>
      <c r="G450" s="8" t="s">
        <v>630</v>
      </c>
      <c r="H450" s="8"/>
      <c r="I450" s="10">
        <v>44887</v>
      </c>
      <c r="J450" s="8" t="s">
        <v>1094</v>
      </c>
    </row>
    <row r="451" spans="1:10" x14ac:dyDescent="0.15">
      <c r="A451" s="7">
        <v>44889</v>
      </c>
      <c r="B451" s="8" t="s">
        <v>100</v>
      </c>
      <c r="C451" s="8" t="s">
        <v>902</v>
      </c>
      <c r="D451" s="9" t="str">
        <f>HYPERLINK("https://www.marklines.com/en/global/6451","SAIC MAXUS Automotive Co., Ltd. Wuxi Branch")</f>
        <v>SAIC MAXUS Automotive Co., Ltd. Wuxi Branch</v>
      </c>
      <c r="E451" s="8" t="s">
        <v>1095</v>
      </c>
      <c r="F451" s="8" t="s">
        <v>25</v>
      </c>
      <c r="G451" s="8" t="s">
        <v>71</v>
      </c>
      <c r="H451" s="8" t="s">
        <v>351</v>
      </c>
      <c r="I451" s="10">
        <v>44886</v>
      </c>
      <c r="J451" s="8" t="s">
        <v>1096</v>
      </c>
    </row>
    <row r="452" spans="1:10" x14ac:dyDescent="0.15">
      <c r="A452" s="7">
        <v>44889</v>
      </c>
      <c r="B452" s="8" t="s">
        <v>15</v>
      </c>
      <c r="C452" s="8" t="s">
        <v>1097</v>
      </c>
      <c r="D452" s="9" t="str">
        <f>HYPERLINK("https://www.marklines.com/en/global/10529","Letin Motor Group Ltd")</f>
        <v>Letin Motor Group Ltd</v>
      </c>
      <c r="E452" s="8" t="s">
        <v>1098</v>
      </c>
      <c r="F452" s="8" t="s">
        <v>25</v>
      </c>
      <c r="G452" s="8" t="s">
        <v>71</v>
      </c>
      <c r="H452" s="8" t="s">
        <v>1099</v>
      </c>
      <c r="I452" s="10">
        <v>44886</v>
      </c>
      <c r="J452" s="8" t="s">
        <v>1100</v>
      </c>
    </row>
    <row r="453" spans="1:10" x14ac:dyDescent="0.15">
      <c r="A453" s="7">
        <v>44889</v>
      </c>
      <c r="B453" s="8" t="s">
        <v>139</v>
      </c>
      <c r="C453" s="8" t="s">
        <v>1101</v>
      </c>
      <c r="D453" s="9" t="str">
        <f>HYPERLINK("https://www.marklines.com/en/global/10356","Anhui Jianghuai Automobile Group Co., Ltd. Car Branch")</f>
        <v>Anhui Jianghuai Automobile Group Co., Ltd. Car Branch</v>
      </c>
      <c r="E453" s="8" t="s">
        <v>440</v>
      </c>
      <c r="F453" s="8" t="s">
        <v>25</v>
      </c>
      <c r="G453" s="8" t="s">
        <v>71</v>
      </c>
      <c r="H453" s="8" t="s">
        <v>120</v>
      </c>
      <c r="I453" s="10">
        <v>44885</v>
      </c>
      <c r="J453" s="8" t="s">
        <v>1102</v>
      </c>
    </row>
    <row r="454" spans="1:10" x14ac:dyDescent="0.15">
      <c r="A454" s="7">
        <v>44889</v>
      </c>
      <c r="B454" s="8" t="s">
        <v>87</v>
      </c>
      <c r="C454" s="8" t="s">
        <v>1103</v>
      </c>
      <c r="D454" s="9" t="str">
        <f>HYPERLINK("https://www.marklines.com/en/global/9568","Xi'an Geely Automobile Co., Ltd.")</f>
        <v>Xi'an Geely Automobile Co., Ltd.</v>
      </c>
      <c r="E454" s="8" t="s">
        <v>1104</v>
      </c>
      <c r="F454" s="8" t="s">
        <v>25</v>
      </c>
      <c r="G454" s="8" t="s">
        <v>71</v>
      </c>
      <c r="H454" s="8" t="s">
        <v>727</v>
      </c>
      <c r="I454" s="10">
        <v>44884</v>
      </c>
      <c r="J454" s="8" t="s">
        <v>1105</v>
      </c>
    </row>
    <row r="455" spans="1:10" x14ac:dyDescent="0.15">
      <c r="A455" s="7">
        <v>44889</v>
      </c>
      <c r="B455" s="8" t="s">
        <v>76</v>
      </c>
      <c r="C455" s="8" t="s">
        <v>76</v>
      </c>
      <c r="D455" s="9" t="str">
        <f>HYPERLINK("https://www.marklines.com/en/global/9568","Xi'an Geely Automobile Co., Ltd.")</f>
        <v>Xi'an Geely Automobile Co., Ltd.</v>
      </c>
      <c r="E455" s="8" t="s">
        <v>1104</v>
      </c>
      <c r="F455" s="8" t="s">
        <v>25</v>
      </c>
      <c r="G455" s="8" t="s">
        <v>71</v>
      </c>
      <c r="H455" s="8" t="s">
        <v>727</v>
      </c>
      <c r="I455" s="10">
        <v>44884</v>
      </c>
      <c r="J455" s="8" t="s">
        <v>1105</v>
      </c>
    </row>
    <row r="456" spans="1:10" x14ac:dyDescent="0.15">
      <c r="A456" s="7">
        <v>44889</v>
      </c>
      <c r="B456" s="8" t="s">
        <v>30</v>
      </c>
      <c r="C456" s="8" t="s">
        <v>37</v>
      </c>
      <c r="D456" s="9" t="str">
        <f>HYPERLINK("https://www.marklines.com/en/global/569","Hino Motors, Nitta Plant")</f>
        <v>Hino Motors, Nitta Plant</v>
      </c>
      <c r="E456" s="8" t="s">
        <v>153</v>
      </c>
      <c r="F456" s="8" t="s">
        <v>25</v>
      </c>
      <c r="G456" s="8" t="s">
        <v>31</v>
      </c>
      <c r="H456" s="8" t="s">
        <v>154</v>
      </c>
      <c r="I456" s="10">
        <v>44883</v>
      </c>
      <c r="J456" s="8" t="s">
        <v>1106</v>
      </c>
    </row>
    <row r="457" spans="1:10" x14ac:dyDescent="0.15">
      <c r="A457" s="7">
        <v>44889</v>
      </c>
      <c r="B457" s="8" t="s">
        <v>30</v>
      </c>
      <c r="C457" s="8" t="s">
        <v>37</v>
      </c>
      <c r="D457" s="9" t="str">
        <f>HYPERLINK("https://www.marklines.com/en/global/570","Hino Motors, Koga Plant")</f>
        <v>Hino Motors, Koga Plant</v>
      </c>
      <c r="E457" s="8" t="s">
        <v>115</v>
      </c>
      <c r="F457" s="8" t="s">
        <v>25</v>
      </c>
      <c r="G457" s="8" t="s">
        <v>31</v>
      </c>
      <c r="H457" s="8" t="s">
        <v>116</v>
      </c>
      <c r="I457" s="10">
        <v>44883</v>
      </c>
      <c r="J457" s="8" t="s">
        <v>1106</v>
      </c>
    </row>
    <row r="458" spans="1:10" x14ac:dyDescent="0.15">
      <c r="A458" s="7">
        <v>44889</v>
      </c>
      <c r="B458" s="8" t="s">
        <v>30</v>
      </c>
      <c r="C458" s="8" t="s">
        <v>402</v>
      </c>
      <c r="D458" s="9" t="str">
        <f>HYPERLINK("https://www.marklines.com/en/global/393","Toyota Motor Kyushu, Miyata Plant")</f>
        <v>Toyota Motor Kyushu, Miyata Plant</v>
      </c>
      <c r="E458" s="8" t="s">
        <v>126</v>
      </c>
      <c r="F458" s="8" t="s">
        <v>25</v>
      </c>
      <c r="G458" s="8" t="s">
        <v>31</v>
      </c>
      <c r="H458" s="8" t="s">
        <v>127</v>
      </c>
      <c r="I458" s="10">
        <v>44883</v>
      </c>
      <c r="J458" s="8" t="s">
        <v>1107</v>
      </c>
    </row>
    <row r="459" spans="1:10" x14ac:dyDescent="0.15">
      <c r="A459" s="7">
        <v>44889</v>
      </c>
      <c r="B459" s="8" t="s">
        <v>11</v>
      </c>
      <c r="C459" s="8" t="s">
        <v>26</v>
      </c>
      <c r="D459" s="9" t="str">
        <f>HYPERLINK("https://www.marklines.com/en/global/3341","FAW-Volkswagen Automotive Co., Ltd.")</f>
        <v>FAW-Volkswagen Automotive Co., Ltd.</v>
      </c>
      <c r="E459" s="8" t="s">
        <v>582</v>
      </c>
      <c r="F459" s="8" t="s">
        <v>25</v>
      </c>
      <c r="G459" s="8" t="s">
        <v>71</v>
      </c>
      <c r="H459" s="8" t="s">
        <v>583</v>
      </c>
      <c r="I459" s="10">
        <v>44883</v>
      </c>
      <c r="J459" s="8" t="s">
        <v>1108</v>
      </c>
    </row>
    <row r="460" spans="1:10" x14ac:dyDescent="0.15">
      <c r="A460" s="7">
        <v>44889</v>
      </c>
      <c r="B460" s="8" t="s">
        <v>17</v>
      </c>
      <c r="C460" s="8" t="s">
        <v>17</v>
      </c>
      <c r="D460" s="9" t="str">
        <f>HYPERLINK("https://www.marklines.com/en/global/439","Honda Motor, Saitama Factory Automobile Plant")</f>
        <v>Honda Motor, Saitama Factory Automobile Plant</v>
      </c>
      <c r="E460" s="8" t="s">
        <v>45</v>
      </c>
      <c r="F460" s="8" t="s">
        <v>25</v>
      </c>
      <c r="G460" s="8" t="s">
        <v>31</v>
      </c>
      <c r="H460" s="8" t="s">
        <v>46</v>
      </c>
      <c r="I460" s="10">
        <v>44882</v>
      </c>
      <c r="J460" s="8" t="s">
        <v>1109</v>
      </c>
    </row>
    <row r="461" spans="1:10" x14ac:dyDescent="0.15">
      <c r="A461" s="7">
        <v>44889</v>
      </c>
      <c r="B461" s="8" t="s">
        <v>30</v>
      </c>
      <c r="C461" s="8" t="s">
        <v>37</v>
      </c>
      <c r="D461" s="9" t="str">
        <f>HYPERLINK("https://www.marklines.com/en/global/593","J-Bus, Komatsu Plant")</f>
        <v>J-Bus, Komatsu Plant</v>
      </c>
      <c r="E461" s="8" t="s">
        <v>155</v>
      </c>
      <c r="F461" s="8" t="s">
        <v>25</v>
      </c>
      <c r="G461" s="8" t="s">
        <v>31</v>
      </c>
      <c r="H461" s="8" t="s">
        <v>156</v>
      </c>
      <c r="I461" s="10">
        <v>44882</v>
      </c>
      <c r="J461" s="8" t="s">
        <v>1110</v>
      </c>
    </row>
    <row r="462" spans="1:10" x14ac:dyDescent="0.15">
      <c r="A462" s="7">
        <v>44889</v>
      </c>
      <c r="B462" s="8" t="s">
        <v>30</v>
      </c>
      <c r="C462" s="8" t="s">
        <v>37</v>
      </c>
      <c r="D462" s="9" t="str">
        <f>HYPERLINK("https://www.marklines.com/en/global/595","J-Bus, Utsunomiya Plant")</f>
        <v>J-Bus, Utsunomiya Plant</v>
      </c>
      <c r="E462" s="8" t="s">
        <v>1111</v>
      </c>
      <c r="F462" s="8" t="s">
        <v>25</v>
      </c>
      <c r="G462" s="8" t="s">
        <v>31</v>
      </c>
      <c r="H462" s="8" t="s">
        <v>33</v>
      </c>
      <c r="I462" s="10">
        <v>44882</v>
      </c>
      <c r="J462" s="8" t="s">
        <v>1110</v>
      </c>
    </row>
    <row r="463" spans="1:10" x14ac:dyDescent="0.15">
      <c r="A463" s="7">
        <v>44889</v>
      </c>
      <c r="B463" s="8" t="s">
        <v>30</v>
      </c>
      <c r="C463" s="8" t="s">
        <v>30</v>
      </c>
      <c r="D463" s="9" t="str">
        <f>HYPERLINK("https://www.marklines.com/en/global/379","Toyota Motor, Tsutsumi Plant")</f>
        <v>Toyota Motor, Tsutsumi Plant</v>
      </c>
      <c r="E463" s="8" t="s">
        <v>105</v>
      </c>
      <c r="F463" s="8" t="s">
        <v>25</v>
      </c>
      <c r="G463" s="8" t="s">
        <v>31</v>
      </c>
      <c r="H463" s="8" t="s">
        <v>32</v>
      </c>
      <c r="I463" s="10">
        <v>44881</v>
      </c>
      <c r="J463" s="8" t="s">
        <v>1112</v>
      </c>
    </row>
    <row r="464" spans="1:10" x14ac:dyDescent="0.15">
      <c r="A464" s="7">
        <v>44889</v>
      </c>
      <c r="B464" s="8" t="s">
        <v>375</v>
      </c>
      <c r="C464" s="8" t="s">
        <v>375</v>
      </c>
      <c r="D464" s="9" t="str">
        <f>HYPERLINK("https://www.marklines.com/en/global/543","Daihatsu Motor, Shiga (Ryuo) Plant")</f>
        <v>Daihatsu Motor, Shiga (Ryuo) Plant</v>
      </c>
      <c r="E464" s="8" t="s">
        <v>372</v>
      </c>
      <c r="F464" s="8" t="s">
        <v>25</v>
      </c>
      <c r="G464" s="8" t="s">
        <v>31</v>
      </c>
      <c r="H464" s="8" t="s">
        <v>373</v>
      </c>
      <c r="I464" s="10">
        <v>44876</v>
      </c>
      <c r="J464" s="8" t="s">
        <v>1113</v>
      </c>
    </row>
    <row r="465" spans="1:10" x14ac:dyDescent="0.15">
      <c r="A465" s="7">
        <v>44889</v>
      </c>
      <c r="B465" s="8" t="s">
        <v>375</v>
      </c>
      <c r="C465" s="8" t="s">
        <v>375</v>
      </c>
      <c r="D465" s="9" t="str">
        <f>HYPERLINK("https://www.marklines.com/en/global/531","Subaru, Gunma Yajima Plant (Gunma Plant) ")</f>
        <v xml:space="preserve">Subaru, Gunma Yajima Plant (Gunma Plant) </v>
      </c>
      <c r="E465" s="8" t="s">
        <v>1114</v>
      </c>
      <c r="F465" s="8" t="s">
        <v>25</v>
      </c>
      <c r="G465" s="8" t="s">
        <v>31</v>
      </c>
      <c r="H465" s="8" t="s">
        <v>154</v>
      </c>
      <c r="I465" s="10">
        <v>44876</v>
      </c>
      <c r="J465" s="8" t="s">
        <v>1204</v>
      </c>
    </row>
    <row r="466" spans="1:10" x14ac:dyDescent="0.15">
      <c r="A466" s="7">
        <v>44889</v>
      </c>
      <c r="B466" s="8" t="s">
        <v>17</v>
      </c>
      <c r="C466" s="8" t="s">
        <v>17</v>
      </c>
      <c r="D466" s="9" t="str">
        <f>HYPERLINK("https://www.marklines.com/en/global/443","Honda Motor, Suzuka Factory")</f>
        <v>Honda Motor, Suzuka Factory</v>
      </c>
      <c r="E466" s="8" t="s">
        <v>43</v>
      </c>
      <c r="F466" s="8" t="s">
        <v>25</v>
      </c>
      <c r="G466" s="8" t="s">
        <v>31</v>
      </c>
      <c r="H466" s="8" t="s">
        <v>44</v>
      </c>
      <c r="I466" s="10">
        <v>44875</v>
      </c>
      <c r="J466" s="8" t="s">
        <v>1115</v>
      </c>
    </row>
    <row r="467" spans="1:10" x14ac:dyDescent="0.15">
      <c r="A467" s="7">
        <v>44889</v>
      </c>
      <c r="B467" s="8" t="s">
        <v>17</v>
      </c>
      <c r="C467" s="8" t="s">
        <v>17</v>
      </c>
      <c r="D467" s="9" t="str">
        <f>HYPERLINK("https://www.marklines.com/en/global/439","Honda Motor, Saitama Factory Automobile Plant")</f>
        <v>Honda Motor, Saitama Factory Automobile Plant</v>
      </c>
      <c r="E467" s="8" t="s">
        <v>45</v>
      </c>
      <c r="F467" s="8" t="s">
        <v>25</v>
      </c>
      <c r="G467" s="8" t="s">
        <v>31</v>
      </c>
      <c r="H467" s="8" t="s">
        <v>46</v>
      </c>
      <c r="I467" s="10">
        <v>44875</v>
      </c>
      <c r="J467" s="8" t="s">
        <v>1115</v>
      </c>
    </row>
    <row r="468" spans="1:10" x14ac:dyDescent="0.15">
      <c r="A468" s="7">
        <v>44889</v>
      </c>
      <c r="B468" s="8" t="s">
        <v>30</v>
      </c>
      <c r="C468" s="8" t="s">
        <v>30</v>
      </c>
      <c r="D468" s="9" t="str">
        <f>HYPERLINK("https://www.marklines.com/en/global/10436","Toyota Industries, Ishihama Plant")</f>
        <v>Toyota Industries, Ishihama Plant</v>
      </c>
      <c r="E468" s="8" t="s">
        <v>1116</v>
      </c>
      <c r="F468" s="8" t="s">
        <v>25</v>
      </c>
      <c r="G468" s="8" t="s">
        <v>31</v>
      </c>
      <c r="H468" s="8" t="s">
        <v>32</v>
      </c>
      <c r="I468" s="10">
        <v>44865</v>
      </c>
      <c r="J468" s="8" t="s">
        <v>1117</v>
      </c>
    </row>
    <row r="469" spans="1:10" x14ac:dyDescent="0.15">
      <c r="A469" s="7">
        <v>44888</v>
      </c>
      <c r="B469" s="8" t="s">
        <v>15</v>
      </c>
      <c r="C469" s="8" t="s">
        <v>15</v>
      </c>
      <c r="D469" s="9" t="str">
        <f>HYPERLINK("https://www.marklines.com/en/global/757","JSC Moscow Automobile Plant Moskvich (former CJSC Renault Russia), Moscow Plant")</f>
        <v>JSC Moscow Automobile Plant Moskvich (former CJSC Renault Russia), Moscow Plant</v>
      </c>
      <c r="E469" s="8" t="s">
        <v>456</v>
      </c>
      <c r="F469" s="8" t="s">
        <v>21</v>
      </c>
      <c r="G469" s="8" t="s">
        <v>16</v>
      </c>
      <c r="H469" s="8"/>
      <c r="I469" s="10">
        <v>44888</v>
      </c>
      <c r="J469" s="8" t="s">
        <v>1118</v>
      </c>
    </row>
    <row r="470" spans="1:10" x14ac:dyDescent="0.15">
      <c r="A470" s="7">
        <v>44888</v>
      </c>
      <c r="B470" s="8" t="s">
        <v>87</v>
      </c>
      <c r="C470" s="8" t="s">
        <v>1103</v>
      </c>
      <c r="D470" s="9" t="str">
        <f>HYPERLINK("https://www.marklines.com/en/global/1889","Revoz dd, Novo Mesto Plant")</f>
        <v>Revoz dd, Novo Mesto Plant</v>
      </c>
      <c r="E470" s="8" t="s">
        <v>1119</v>
      </c>
      <c r="F470" s="8" t="s">
        <v>21</v>
      </c>
      <c r="G470" s="8" t="s">
        <v>1120</v>
      </c>
      <c r="H470" s="8"/>
      <c r="I470" s="10">
        <v>44887</v>
      </c>
      <c r="J470" s="8" t="s">
        <v>1121</v>
      </c>
    </row>
    <row r="471" spans="1:10" x14ac:dyDescent="0.15">
      <c r="A471" s="7">
        <v>44888</v>
      </c>
      <c r="B471" s="8" t="s">
        <v>289</v>
      </c>
      <c r="C471" s="8" t="s">
        <v>289</v>
      </c>
      <c r="D471" s="9" t="str">
        <f>HYPERLINK("https://www.marklines.com/en/global/1889","Revoz dd, Novo Mesto Plant")</f>
        <v>Revoz dd, Novo Mesto Plant</v>
      </c>
      <c r="E471" s="8" t="s">
        <v>1119</v>
      </c>
      <c r="F471" s="8" t="s">
        <v>21</v>
      </c>
      <c r="G471" s="8" t="s">
        <v>1120</v>
      </c>
      <c r="H471" s="8"/>
      <c r="I471" s="10">
        <v>44887</v>
      </c>
      <c r="J471" s="8" t="s">
        <v>1121</v>
      </c>
    </row>
    <row r="472" spans="1:10" x14ac:dyDescent="0.15">
      <c r="A472" s="7">
        <v>44888</v>
      </c>
      <c r="B472" s="8" t="s">
        <v>15</v>
      </c>
      <c r="C472" s="8" t="s">
        <v>178</v>
      </c>
      <c r="D472" s="9" t="str">
        <f>HYPERLINK("https://www.marklines.com/en/global/10553","Ebusco B.V., Deurne Plant")</f>
        <v>Ebusco B.V., Deurne Plant</v>
      </c>
      <c r="E472" s="8" t="s">
        <v>179</v>
      </c>
      <c r="F472" s="8" t="s">
        <v>20</v>
      </c>
      <c r="G472" s="8" t="s">
        <v>147</v>
      </c>
      <c r="H472" s="8"/>
      <c r="I472" s="10">
        <v>44887</v>
      </c>
      <c r="J472" s="8" t="s">
        <v>1122</v>
      </c>
    </row>
    <row r="473" spans="1:10" x14ac:dyDescent="0.15">
      <c r="A473" s="7">
        <v>44888</v>
      </c>
      <c r="B473" s="8" t="s">
        <v>59</v>
      </c>
      <c r="C473" s="8" t="s">
        <v>60</v>
      </c>
      <c r="D473" s="9" t="str">
        <f>HYPERLINK("https://www.marklines.com/en/global/143","Stellantis, PSA, Sochaux Plant")</f>
        <v>Stellantis, PSA, Sochaux Plant</v>
      </c>
      <c r="E473" s="8" t="s">
        <v>602</v>
      </c>
      <c r="F473" s="8" t="s">
        <v>20</v>
      </c>
      <c r="G473" s="8" t="s">
        <v>86</v>
      </c>
      <c r="H473" s="8"/>
      <c r="I473" s="10">
        <v>44887</v>
      </c>
      <c r="J473" s="8" t="s">
        <v>1123</v>
      </c>
    </row>
    <row r="474" spans="1:10" x14ac:dyDescent="0.15">
      <c r="A474" s="7">
        <v>44888</v>
      </c>
      <c r="B474" s="8" t="s">
        <v>59</v>
      </c>
      <c r="C474" s="8" t="s">
        <v>159</v>
      </c>
      <c r="D474" s="9" t="str">
        <f>HYPERLINK("https://www.marklines.com/en/global/143","Stellantis, PSA, Sochaux Plant")</f>
        <v>Stellantis, PSA, Sochaux Plant</v>
      </c>
      <c r="E474" s="8" t="s">
        <v>602</v>
      </c>
      <c r="F474" s="8" t="s">
        <v>20</v>
      </c>
      <c r="G474" s="8" t="s">
        <v>86</v>
      </c>
      <c r="H474" s="8"/>
      <c r="I474" s="10">
        <v>44887</v>
      </c>
      <c r="J474" s="8" t="s">
        <v>1123</v>
      </c>
    </row>
    <row r="475" spans="1:10" x14ac:dyDescent="0.15">
      <c r="A475" s="7">
        <v>44888</v>
      </c>
      <c r="B475" s="8" t="s">
        <v>11</v>
      </c>
      <c r="C475" s="8" t="s">
        <v>26</v>
      </c>
      <c r="D475" s="9" t="str">
        <f>HYPERLINK("https://www.marklines.com/en/global/2931","Volkswagen Brazil, Anchieta (Sao Bernardo do Campo) Plant")</f>
        <v>Volkswagen Brazil, Anchieta (Sao Bernardo do Campo) Plant</v>
      </c>
      <c r="E475" s="8" t="s">
        <v>1124</v>
      </c>
      <c r="F475" s="8" t="s">
        <v>24</v>
      </c>
      <c r="G475" s="8" t="s">
        <v>68</v>
      </c>
      <c r="H475" s="8"/>
      <c r="I475" s="10">
        <v>44887</v>
      </c>
      <c r="J475" s="8" t="s">
        <v>1125</v>
      </c>
    </row>
    <row r="476" spans="1:10" x14ac:dyDescent="0.15">
      <c r="A476" s="7">
        <v>44888</v>
      </c>
      <c r="B476" s="8" t="s">
        <v>1126</v>
      </c>
      <c r="C476" s="8" t="s">
        <v>1126</v>
      </c>
      <c r="D476" s="9" t="str">
        <f>HYPERLINK("https://www.marklines.com/en/global/1151","Force Motors, Pithampur Plant")</f>
        <v>Force Motors, Pithampur Plant</v>
      </c>
      <c r="E476" s="8" t="s">
        <v>1127</v>
      </c>
      <c r="F476" s="8" t="s">
        <v>69</v>
      </c>
      <c r="G476" s="8" t="s">
        <v>70</v>
      </c>
      <c r="H476" s="8" t="s">
        <v>1128</v>
      </c>
      <c r="I476" s="10">
        <v>44886</v>
      </c>
      <c r="J476" s="8" t="s">
        <v>1129</v>
      </c>
    </row>
    <row r="477" spans="1:10" x14ac:dyDescent="0.15">
      <c r="A477" s="7">
        <v>44888</v>
      </c>
      <c r="B477" s="8" t="s">
        <v>14</v>
      </c>
      <c r="C477" s="8" t="s">
        <v>14</v>
      </c>
      <c r="D477" s="9" t="str">
        <f>HYPERLINK("https://www.marklines.com/en/global/9976","Ultium Cells LLC, Warren Plant ")</f>
        <v xml:space="preserve">Ultium Cells LLC, Warren Plant </v>
      </c>
      <c r="E477" s="8" t="s">
        <v>733</v>
      </c>
      <c r="F477" s="8" t="s">
        <v>19</v>
      </c>
      <c r="G477" s="8" t="s">
        <v>12</v>
      </c>
      <c r="H477" s="8" t="s">
        <v>48</v>
      </c>
      <c r="I477" s="10">
        <v>44886</v>
      </c>
      <c r="J477" s="8" t="s">
        <v>1130</v>
      </c>
    </row>
    <row r="478" spans="1:10" x14ac:dyDescent="0.15">
      <c r="A478" s="7">
        <v>44888</v>
      </c>
      <c r="B478" s="8" t="s">
        <v>14</v>
      </c>
      <c r="C478" s="8" t="s">
        <v>23</v>
      </c>
      <c r="D478" s="9" t="str">
        <f>HYPERLINK("https://www.marklines.com/en/global/2479","General Motors, Orion Assembly Plant")</f>
        <v>General Motors, Orion Assembly Plant</v>
      </c>
      <c r="E478" s="8" t="s">
        <v>35</v>
      </c>
      <c r="F478" s="8" t="s">
        <v>19</v>
      </c>
      <c r="G478" s="8" t="s">
        <v>12</v>
      </c>
      <c r="H478" s="8" t="s">
        <v>13</v>
      </c>
      <c r="I478" s="10">
        <v>44886</v>
      </c>
      <c r="J478" s="8" t="s">
        <v>1131</v>
      </c>
    </row>
    <row r="479" spans="1:10" x14ac:dyDescent="0.15">
      <c r="A479" s="7">
        <v>44888</v>
      </c>
      <c r="B479" s="8" t="s">
        <v>398</v>
      </c>
      <c r="C479" s="8" t="s">
        <v>398</v>
      </c>
      <c r="D479" s="9" t="str">
        <f>HYPERLINK("https://www.marklines.com/en/global/1426","Anadolu Isuzu Otomotiv Sanayi Ve Ticaret A.S., Kocaeli Plant")</f>
        <v>Anadolu Isuzu Otomotiv Sanayi Ve Ticaret A.S., Kocaeli Plant</v>
      </c>
      <c r="E479" s="8" t="s">
        <v>1072</v>
      </c>
      <c r="F479" s="8" t="s">
        <v>295</v>
      </c>
      <c r="G479" s="8" t="s">
        <v>296</v>
      </c>
      <c r="H479" s="8"/>
      <c r="I479" s="10">
        <v>44885</v>
      </c>
      <c r="J479" s="8" t="s">
        <v>1132</v>
      </c>
    </row>
    <row r="480" spans="1:10" x14ac:dyDescent="0.15">
      <c r="A480" s="7">
        <v>44888</v>
      </c>
      <c r="B480" s="8" t="s">
        <v>530</v>
      </c>
      <c r="C480" s="8" t="s">
        <v>531</v>
      </c>
      <c r="D480" s="9" t="str">
        <f>HYPERLINK("https://www.marklines.com/en/global/8808","GAC Mitsubishi Motors Co., Ltd. (GMMC)")</f>
        <v>GAC Mitsubishi Motors Co., Ltd. (GMMC)</v>
      </c>
      <c r="E480" s="8" t="s">
        <v>974</v>
      </c>
      <c r="F480" s="8" t="s">
        <v>25</v>
      </c>
      <c r="G480" s="8" t="s">
        <v>71</v>
      </c>
      <c r="H480" s="8" t="s">
        <v>482</v>
      </c>
      <c r="I480" s="10">
        <v>44884</v>
      </c>
      <c r="J480" s="8" t="s">
        <v>1133</v>
      </c>
    </row>
    <row r="481" spans="1:10" x14ac:dyDescent="0.15">
      <c r="A481" s="7">
        <v>44888</v>
      </c>
      <c r="B481" s="8" t="s">
        <v>100</v>
      </c>
      <c r="C481" s="8" t="s">
        <v>113</v>
      </c>
      <c r="D481" s="9" t="str">
        <f>HYPERLINK("https://www.marklines.com/en/global/4153"," SAIC-GM-Wuling Automobile Co., Ltd. (SGMW)　")</f>
        <v xml:space="preserve"> SAIC-GM-Wuling Automobile Co., Ltd. (SGMW)　</v>
      </c>
      <c r="E481" s="8" t="s">
        <v>121</v>
      </c>
      <c r="F481" s="8" t="s">
        <v>25</v>
      </c>
      <c r="G481" s="8" t="s">
        <v>71</v>
      </c>
      <c r="H481" s="8" t="s">
        <v>122</v>
      </c>
      <c r="I481" s="10">
        <v>44883</v>
      </c>
      <c r="J481" s="8" t="s">
        <v>1134</v>
      </c>
    </row>
    <row r="482" spans="1:10" x14ac:dyDescent="0.15">
      <c r="A482" s="7">
        <v>44888</v>
      </c>
      <c r="B482" s="8" t="s">
        <v>58</v>
      </c>
      <c r="C482" s="8" t="s">
        <v>58</v>
      </c>
      <c r="D482" s="9" t="str">
        <f>HYPERLINK("https://www.marklines.com/en/global/10481","Chery Automobile Co., Ltd. Qingdao Branch")</f>
        <v>Chery Automobile Co., Ltd. Qingdao Branch</v>
      </c>
      <c r="E482" s="8" t="s">
        <v>1135</v>
      </c>
      <c r="F482" s="8" t="s">
        <v>25</v>
      </c>
      <c r="G482" s="8" t="s">
        <v>71</v>
      </c>
      <c r="H482" s="8" t="s">
        <v>104</v>
      </c>
      <c r="I482" s="10">
        <v>44883</v>
      </c>
      <c r="J482" s="8" t="s">
        <v>1136</v>
      </c>
    </row>
    <row r="483" spans="1:10" x14ac:dyDescent="0.15">
      <c r="A483" s="7">
        <v>44888</v>
      </c>
      <c r="B483" s="8" t="s">
        <v>101</v>
      </c>
      <c r="C483" s="8" t="s">
        <v>1137</v>
      </c>
      <c r="D483" s="9" t="str">
        <f>HYPERLINK("https://www.marklines.com/en/global/9165"," Dongfeng Motor (Wuhan) Co., Ltd. (formerly Dongfeng Renault Automotive  Co., Ltd.) ")</f>
        <v xml:space="preserve"> Dongfeng Motor (Wuhan) Co., Ltd. (formerly Dongfeng Renault Automotive  Co., Ltd.) </v>
      </c>
      <c r="E483" s="8" t="s">
        <v>1138</v>
      </c>
      <c r="F483" s="8" t="s">
        <v>25</v>
      </c>
      <c r="G483" s="8" t="s">
        <v>71</v>
      </c>
      <c r="H483" s="8" t="s">
        <v>90</v>
      </c>
      <c r="I483" s="10">
        <v>44883</v>
      </c>
      <c r="J483" s="8" t="s">
        <v>1139</v>
      </c>
    </row>
    <row r="484" spans="1:10" x14ac:dyDescent="0.15">
      <c r="A484" s="7">
        <v>44888</v>
      </c>
      <c r="B484" s="8" t="s">
        <v>59</v>
      </c>
      <c r="C484" s="8" t="s">
        <v>59</v>
      </c>
      <c r="D484" s="9" t="str">
        <f>HYPERLINK("https://www.marklines.com/en/global/3983","Dongfeng Peugeot Citroen Automobile Co., Ltd. ")</f>
        <v xml:space="preserve">Dongfeng Peugeot Citroen Automobile Co., Ltd. </v>
      </c>
      <c r="E484" s="8" t="s">
        <v>1140</v>
      </c>
      <c r="F484" s="8" t="s">
        <v>25</v>
      </c>
      <c r="G484" s="8" t="s">
        <v>71</v>
      </c>
      <c r="H484" s="8" t="s">
        <v>90</v>
      </c>
      <c r="I484" s="10">
        <v>44883</v>
      </c>
      <c r="J484" s="8" t="s">
        <v>1141</v>
      </c>
    </row>
    <row r="485" spans="1:10" x14ac:dyDescent="0.15">
      <c r="A485" s="7">
        <v>44888</v>
      </c>
      <c r="B485" s="8" t="s">
        <v>101</v>
      </c>
      <c r="C485" s="8" t="s">
        <v>101</v>
      </c>
      <c r="D485" s="9" t="str">
        <f>HYPERLINK("https://www.marklines.com/en/global/3983","Dongfeng Peugeot Citroen Automobile Co., Ltd. ")</f>
        <v xml:space="preserve">Dongfeng Peugeot Citroen Automobile Co., Ltd. </v>
      </c>
      <c r="E485" s="8" t="s">
        <v>1140</v>
      </c>
      <c r="F485" s="8" t="s">
        <v>25</v>
      </c>
      <c r="G485" s="8" t="s">
        <v>71</v>
      </c>
      <c r="H485" s="8" t="s">
        <v>90</v>
      </c>
      <c r="I485" s="10">
        <v>44883</v>
      </c>
      <c r="J485" s="8" t="s">
        <v>1141</v>
      </c>
    </row>
    <row r="486" spans="1:10" x14ac:dyDescent="0.15">
      <c r="A486" s="7">
        <v>44888</v>
      </c>
      <c r="B486" s="8" t="s">
        <v>59</v>
      </c>
      <c r="C486" s="8" t="s">
        <v>271</v>
      </c>
      <c r="D486" s="9" t="str">
        <f>HYPERLINK("https://www.marklines.com/en/global/1329","Stellantis, FCA Italy, Giambattista Vico (Pomigliano d'Arco) Plant")</f>
        <v>Stellantis, FCA Italy, Giambattista Vico (Pomigliano d'Arco) Plant</v>
      </c>
      <c r="E486" s="8" t="s">
        <v>1142</v>
      </c>
      <c r="F486" s="8" t="s">
        <v>20</v>
      </c>
      <c r="G486" s="8" t="s">
        <v>110</v>
      </c>
      <c r="H486" s="8"/>
      <c r="I486" s="10">
        <v>44881</v>
      </c>
      <c r="J486" s="8" t="s">
        <v>1143</v>
      </c>
    </row>
    <row r="487" spans="1:10" x14ac:dyDescent="0.15">
      <c r="A487" s="7">
        <v>44887</v>
      </c>
      <c r="B487" s="8" t="s">
        <v>100</v>
      </c>
      <c r="C487" s="8" t="s">
        <v>100</v>
      </c>
      <c r="D487" s="9" t="str">
        <f>HYPERLINK("https://www.marklines.com/en/global/9814","SAIC Motor Corporation Limited Passenger Vehicle Fujian Branch")</f>
        <v>SAIC Motor Corporation Limited Passenger Vehicle Fujian Branch</v>
      </c>
      <c r="E487" s="8" t="s">
        <v>1333</v>
      </c>
      <c r="F487" s="8" t="s">
        <v>25</v>
      </c>
      <c r="G487" s="8" t="s">
        <v>71</v>
      </c>
      <c r="H487" s="8" t="s">
        <v>1334</v>
      </c>
      <c r="I487" s="10">
        <v>44673</v>
      </c>
      <c r="J487" s="8" t="s">
        <v>1335</v>
      </c>
    </row>
    <row r="488" spans="1:10" x14ac:dyDescent="0.15">
      <c r="A488" s="7">
        <v>44887</v>
      </c>
      <c r="B488" s="8" t="s">
        <v>100</v>
      </c>
      <c r="C488" s="8" t="s">
        <v>100</v>
      </c>
      <c r="D488" s="9" t="str">
        <f>HYPERLINK("https://www.marklines.com/en/global/3609","SAIC Motor Corporation Limited")</f>
        <v>SAIC Motor Corporation Limited</v>
      </c>
      <c r="E488" s="8" t="s">
        <v>384</v>
      </c>
      <c r="F488" s="8" t="s">
        <v>25</v>
      </c>
      <c r="G488" s="8" t="s">
        <v>71</v>
      </c>
      <c r="H488" s="8" t="s">
        <v>1336</v>
      </c>
      <c r="I488" s="10">
        <v>44826</v>
      </c>
      <c r="J488" s="8" t="s">
        <v>1337</v>
      </c>
    </row>
    <row r="489" spans="1:10" x14ac:dyDescent="0.15">
      <c r="A489" s="7">
        <v>44887</v>
      </c>
      <c r="B489" s="8" t="s">
        <v>94</v>
      </c>
      <c r="C489" s="8" t="s">
        <v>94</v>
      </c>
      <c r="D489" s="9" t="str">
        <f>HYPERLINK("https://www.marklines.com/en/global/1253","Maruti Suzuki India Ltd. (MSIL), Gurgaon Plant")</f>
        <v>Maruti Suzuki India Ltd. (MSIL), Gurgaon Plant</v>
      </c>
      <c r="E489" s="8" t="s">
        <v>770</v>
      </c>
      <c r="F489" s="8" t="s">
        <v>69</v>
      </c>
      <c r="G489" s="8" t="s">
        <v>70</v>
      </c>
      <c r="H489" s="8" t="s">
        <v>769</v>
      </c>
      <c r="I489" s="10">
        <v>44887</v>
      </c>
      <c r="J489" s="8" t="s">
        <v>1144</v>
      </c>
    </row>
    <row r="490" spans="1:10" x14ac:dyDescent="0.15">
      <c r="A490" s="7">
        <v>44887</v>
      </c>
      <c r="B490" s="8" t="s">
        <v>76</v>
      </c>
      <c r="C490" s="8" t="s">
        <v>365</v>
      </c>
      <c r="D490" s="9" t="str">
        <f>HYPERLINK("https://www.marklines.com/en/global/9867"," Asia-Europe Automobile Manufacturing (Taizhou) Co., Ltd.")</f>
        <v xml:space="preserve"> Asia-Europe Automobile Manufacturing (Taizhou) Co., Ltd.</v>
      </c>
      <c r="E490" s="8" t="s">
        <v>1145</v>
      </c>
      <c r="F490" s="8" t="s">
        <v>25</v>
      </c>
      <c r="G490" s="8" t="s">
        <v>71</v>
      </c>
      <c r="H490" s="8" t="s">
        <v>78</v>
      </c>
      <c r="I490" s="10">
        <v>44887</v>
      </c>
      <c r="J490" s="8" t="s">
        <v>1146</v>
      </c>
    </row>
    <row r="491" spans="1:10" x14ac:dyDescent="0.15">
      <c r="A491" s="7">
        <v>44887</v>
      </c>
      <c r="B491" s="8" t="s">
        <v>56</v>
      </c>
      <c r="C491" s="8" t="s">
        <v>56</v>
      </c>
      <c r="D491" s="9" t="str">
        <f>HYPERLINK("https://www.marklines.com/en/global/1419","Ford Otomotiv Sanayi A.Ş. (Ford Otosan), Gölcük Plant (Kocaeli Plant)")</f>
        <v>Ford Otomotiv Sanayi A.Ş. (Ford Otosan), Gölcük Plant (Kocaeli Plant)</v>
      </c>
      <c r="E491" s="8" t="s">
        <v>1147</v>
      </c>
      <c r="F491" s="8" t="s">
        <v>295</v>
      </c>
      <c r="G491" s="8" t="s">
        <v>296</v>
      </c>
      <c r="H491" s="8"/>
      <c r="I491" s="10">
        <v>44887</v>
      </c>
      <c r="J491" s="8" t="s">
        <v>1148</v>
      </c>
    </row>
    <row r="492" spans="1:10" x14ac:dyDescent="0.15">
      <c r="A492" s="7">
        <v>44887</v>
      </c>
      <c r="B492" s="8" t="s">
        <v>11</v>
      </c>
      <c r="C492" s="8" t="s">
        <v>553</v>
      </c>
      <c r="D492" s="9" t="str">
        <f>HYPERLINK("https://www.marklines.com/en/global/10410","Porsche Engineering Romania SRL (Cluj-Napoca)")</f>
        <v>Porsche Engineering Romania SRL (Cluj-Napoca)</v>
      </c>
      <c r="E492" s="8" t="s">
        <v>1149</v>
      </c>
      <c r="F492" s="8" t="s">
        <v>21</v>
      </c>
      <c r="G492" s="8" t="s">
        <v>641</v>
      </c>
      <c r="H492" s="8"/>
      <c r="I492" s="10">
        <v>44886</v>
      </c>
      <c r="J492" s="8" t="s">
        <v>1150</v>
      </c>
    </row>
    <row r="493" spans="1:10" x14ac:dyDescent="0.15">
      <c r="A493" s="7">
        <v>44887</v>
      </c>
      <c r="B493" s="8" t="s">
        <v>1151</v>
      </c>
      <c r="C493" s="8" t="s">
        <v>1152</v>
      </c>
      <c r="D493" s="9" t="str">
        <f>HYPERLINK("https://www.marklines.com/en/global/10443","VinES Battery Manufacturing Factory, Vung Ang, Ky Anh")</f>
        <v>VinES Battery Manufacturing Factory, Vung Ang, Ky Anh</v>
      </c>
      <c r="E493" s="8" t="s">
        <v>1153</v>
      </c>
      <c r="F493" s="8" t="s">
        <v>22</v>
      </c>
      <c r="G493" s="8" t="s">
        <v>712</v>
      </c>
      <c r="H493" s="8"/>
      <c r="I493" s="10">
        <v>44883</v>
      </c>
      <c r="J493" s="8" t="s">
        <v>1154</v>
      </c>
    </row>
    <row r="494" spans="1:10" x14ac:dyDescent="0.15">
      <c r="A494" s="7">
        <v>44887</v>
      </c>
      <c r="B494" s="8" t="s">
        <v>30</v>
      </c>
      <c r="C494" s="8" t="s">
        <v>30</v>
      </c>
      <c r="D494" s="9" t="str">
        <f>HYPERLINK("https://www.marklines.com/en/global/10482","FAW Toyota Motor Co., Ltd. New Energy Branch (formerly Tianjin FAW Toyota Motor Co., Ltd. (TFTM) New Energy Branch)")</f>
        <v>FAW Toyota Motor Co., Ltd. New Energy Branch (formerly Tianjin FAW Toyota Motor Co., Ltd. (TFTM) New Energy Branch)</v>
      </c>
      <c r="E494" s="8" t="s">
        <v>838</v>
      </c>
      <c r="F494" s="8" t="s">
        <v>25</v>
      </c>
      <c r="G494" s="8" t="s">
        <v>71</v>
      </c>
      <c r="H494" s="8" t="s">
        <v>672</v>
      </c>
      <c r="I494" s="10">
        <v>44883</v>
      </c>
      <c r="J494" s="8" t="s">
        <v>1155</v>
      </c>
    </row>
    <row r="495" spans="1:10" x14ac:dyDescent="0.15">
      <c r="A495" s="7">
        <v>44887</v>
      </c>
      <c r="B495" s="8" t="s">
        <v>14</v>
      </c>
      <c r="C495" s="8" t="s">
        <v>23</v>
      </c>
      <c r="D495" s="9" t="str">
        <f>HYPERLINK("https://www.marklines.com/en/global/2845","General Motors Brazil, Sao Caetano do Sul Plant")</f>
        <v>General Motors Brazil, Sao Caetano do Sul Plant</v>
      </c>
      <c r="E495" s="8" t="s">
        <v>92</v>
      </c>
      <c r="F495" s="8" t="s">
        <v>24</v>
      </c>
      <c r="G495" s="8" t="s">
        <v>68</v>
      </c>
      <c r="H495" s="8"/>
      <c r="I495" s="10">
        <v>44883</v>
      </c>
      <c r="J495" s="8" t="s">
        <v>1156</v>
      </c>
    </row>
    <row r="496" spans="1:10" x14ac:dyDescent="0.15">
      <c r="A496" s="7">
        <v>44887</v>
      </c>
      <c r="B496" s="8" t="s">
        <v>439</v>
      </c>
      <c r="C496" s="8" t="s">
        <v>439</v>
      </c>
      <c r="D496" s="9" t="str">
        <f>HYPERLINK("https://www.marklines.com/en/global/9474","BAIC Automobile SA (Pty) Limited")</f>
        <v>BAIC Automobile SA (Pty) Limited</v>
      </c>
      <c r="E496" s="8" t="s">
        <v>1157</v>
      </c>
      <c r="F496" s="8" t="s">
        <v>129</v>
      </c>
      <c r="G496" s="8" t="s">
        <v>130</v>
      </c>
      <c r="H496" s="8"/>
      <c r="I496" s="10">
        <v>44882</v>
      </c>
      <c r="J496" s="8" t="s">
        <v>1158</v>
      </c>
    </row>
    <row r="497" spans="1:10" x14ac:dyDescent="0.15">
      <c r="A497" s="7">
        <v>44887</v>
      </c>
      <c r="B497" s="8" t="s">
        <v>76</v>
      </c>
      <c r="C497" s="8" t="s">
        <v>77</v>
      </c>
      <c r="D497" s="9" t="str">
        <f>HYPERLINK("https://www.marklines.com/en/global/9867"," Asia-Europe Automobile Manufacturing (Taizhou) Co., Ltd.")</f>
        <v xml:space="preserve"> Asia-Europe Automobile Manufacturing (Taizhou) Co., Ltd.</v>
      </c>
      <c r="E497" s="8" t="s">
        <v>1145</v>
      </c>
      <c r="F497" s="8" t="s">
        <v>25</v>
      </c>
      <c r="G497" s="8" t="s">
        <v>71</v>
      </c>
      <c r="H497" s="8" t="s">
        <v>78</v>
      </c>
      <c r="I497" s="10">
        <v>44882</v>
      </c>
      <c r="J497" s="8" t="s">
        <v>1159</v>
      </c>
    </row>
    <row r="498" spans="1:10" x14ac:dyDescent="0.15">
      <c r="A498" s="7">
        <v>44887</v>
      </c>
      <c r="B498" s="8" t="s">
        <v>76</v>
      </c>
      <c r="C498" s="8" t="s">
        <v>77</v>
      </c>
      <c r="D498" s="9" t="str">
        <f>HYPERLINK("https://www.marklines.com/en/global/3633","Volvo Car, APAC Headquarters")</f>
        <v>Volvo Car, APAC Headquarters</v>
      </c>
      <c r="E498" s="8" t="s">
        <v>1160</v>
      </c>
      <c r="F498" s="8" t="s">
        <v>25</v>
      </c>
      <c r="G498" s="8" t="s">
        <v>71</v>
      </c>
      <c r="H498" s="8" t="s">
        <v>72</v>
      </c>
      <c r="I498" s="10">
        <v>44882</v>
      </c>
      <c r="J498" s="8" t="s">
        <v>1159</v>
      </c>
    </row>
    <row r="499" spans="1:10" x14ac:dyDescent="0.15">
      <c r="A499" s="7">
        <v>44887</v>
      </c>
      <c r="B499" s="8" t="s">
        <v>11</v>
      </c>
      <c r="C499" s="8" t="s">
        <v>333</v>
      </c>
      <c r="D499" s="9" t="str">
        <f>HYPERLINK("https://www.marklines.com/en/global/3617","Volkswagen Transmission (Shanghai) Co., Ltd.")</f>
        <v>Volkswagen Transmission (Shanghai) Co., Ltd.</v>
      </c>
      <c r="E499" s="8" t="s">
        <v>1161</v>
      </c>
      <c r="F499" s="8" t="s">
        <v>25</v>
      </c>
      <c r="G499" s="8" t="s">
        <v>71</v>
      </c>
      <c r="H499" s="8" t="s">
        <v>72</v>
      </c>
      <c r="I499" s="10">
        <v>44882</v>
      </c>
      <c r="J499" s="8" t="s">
        <v>1162</v>
      </c>
    </row>
    <row r="500" spans="1:10" x14ac:dyDescent="0.15">
      <c r="A500" s="7">
        <v>44887</v>
      </c>
      <c r="B500" s="8" t="s">
        <v>458</v>
      </c>
      <c r="C500" s="8" t="s">
        <v>458</v>
      </c>
      <c r="D500" s="9" t="str">
        <f>HYPERLINK("https://www.marklines.com/en/global/9552","Aiways Automobile Co., Ltd. ")</f>
        <v xml:space="preserve">Aiways Automobile Co., Ltd. </v>
      </c>
      <c r="E500" s="8" t="s">
        <v>1163</v>
      </c>
      <c r="F500" s="8" t="s">
        <v>25</v>
      </c>
      <c r="G500" s="8" t="s">
        <v>71</v>
      </c>
      <c r="H500" s="8" t="s">
        <v>460</v>
      </c>
      <c r="I500" s="10">
        <v>44882</v>
      </c>
      <c r="J500" s="8" t="s">
        <v>1164</v>
      </c>
    </row>
    <row r="501" spans="1:10" x14ac:dyDescent="0.15">
      <c r="A501" s="7">
        <v>44887</v>
      </c>
      <c r="B501" s="8" t="s">
        <v>76</v>
      </c>
      <c r="C501" s="8" t="s">
        <v>781</v>
      </c>
      <c r="D501" s="9" t="str">
        <f>HYPERLINK("https://www.marklines.com/en/global/10387","Zeekr Automobile (Ningbo Hangzhou Bay New Zone) Co., Ltd. (formerly Ningbo Zeekr Intelligent Technology Co., Ltd.")</f>
        <v>Zeekr Automobile (Ningbo Hangzhou Bay New Zone) Co., Ltd. (formerly Ningbo Zeekr Intelligent Technology Co., Ltd.</v>
      </c>
      <c r="E501" s="8" t="s">
        <v>782</v>
      </c>
      <c r="F501" s="8" t="s">
        <v>25</v>
      </c>
      <c r="G501" s="8" t="s">
        <v>71</v>
      </c>
      <c r="H501" s="8" t="s">
        <v>78</v>
      </c>
      <c r="I501" s="10">
        <v>44882</v>
      </c>
      <c r="J501" s="8" t="s">
        <v>1165</v>
      </c>
    </row>
    <row r="502" spans="1:10" x14ac:dyDescent="0.15">
      <c r="A502" s="7">
        <v>44887</v>
      </c>
      <c r="B502" s="8" t="s">
        <v>15</v>
      </c>
      <c r="C502" s="8" t="s">
        <v>135</v>
      </c>
      <c r="D502" s="9" t="str">
        <f>HYPERLINK("https://www.marklines.com/en/global/687","Sollers-Yelabuga OOO, Yelabuga Plant")</f>
        <v>Sollers-Yelabuga OOO, Yelabuga Plant</v>
      </c>
      <c r="E502" s="8" t="s">
        <v>136</v>
      </c>
      <c r="F502" s="8" t="s">
        <v>21</v>
      </c>
      <c r="G502" s="8" t="s">
        <v>16</v>
      </c>
      <c r="H502" s="8"/>
      <c r="I502" s="10">
        <v>44881</v>
      </c>
      <c r="J502" s="8" t="s">
        <v>1166</v>
      </c>
    </row>
    <row r="503" spans="1:10" x14ac:dyDescent="0.15">
      <c r="A503" s="7">
        <v>44887</v>
      </c>
      <c r="B503" s="8" t="s">
        <v>15</v>
      </c>
      <c r="C503" s="8" t="s">
        <v>15</v>
      </c>
      <c r="D503" s="9" t="str">
        <f>HYPERLINK("https://www.marklines.com/en/global/757","JSC Moscow Automobile Plant Moskvich (former CJSC Renault Russia), Moscow Plant")</f>
        <v>JSC Moscow Automobile Plant Moskvich (former CJSC Renault Russia), Moscow Plant</v>
      </c>
      <c r="E503" s="8" t="s">
        <v>456</v>
      </c>
      <c r="F503" s="8" t="s">
        <v>21</v>
      </c>
      <c r="G503" s="8" t="s">
        <v>16</v>
      </c>
      <c r="H503" s="8"/>
      <c r="I503" s="10">
        <v>44881</v>
      </c>
      <c r="J503" s="8" t="s">
        <v>1166</v>
      </c>
    </row>
    <row r="504" spans="1:10" x14ac:dyDescent="0.15">
      <c r="A504" s="7">
        <v>44887</v>
      </c>
      <c r="B504" s="8" t="s">
        <v>56</v>
      </c>
      <c r="C504" s="8" t="s">
        <v>56</v>
      </c>
      <c r="D504" s="9" t="str">
        <f>HYPERLINK("https://www.marklines.com/en/global/2617","Ford Motor Canada, Oakville Assembly Plant")</f>
        <v>Ford Motor Canada, Oakville Assembly Plant</v>
      </c>
      <c r="E504" s="8" t="s">
        <v>1167</v>
      </c>
      <c r="F504" s="8" t="s">
        <v>19</v>
      </c>
      <c r="G504" s="8" t="s">
        <v>630</v>
      </c>
      <c r="H504" s="8"/>
      <c r="I504" s="10">
        <v>44881</v>
      </c>
      <c r="J504" s="8" t="s">
        <v>1168</v>
      </c>
    </row>
    <row r="505" spans="1:10" x14ac:dyDescent="0.15">
      <c r="A505" s="7">
        <v>44887</v>
      </c>
      <c r="B505" s="8" t="s">
        <v>56</v>
      </c>
      <c r="C505" s="8" t="s">
        <v>56</v>
      </c>
      <c r="D505" s="9" t="str">
        <f>HYPERLINK("https://www.marklines.com/en/global/2589","Ford Motor, Ohio Assembly Plant")</f>
        <v>Ford Motor, Ohio Assembly Plant</v>
      </c>
      <c r="E505" s="8" t="s">
        <v>1169</v>
      </c>
      <c r="F505" s="8" t="s">
        <v>19</v>
      </c>
      <c r="G505" s="8" t="s">
        <v>12</v>
      </c>
      <c r="H505" s="8" t="s">
        <v>48</v>
      </c>
      <c r="I505" s="10">
        <v>44881</v>
      </c>
      <c r="J505" s="8" t="s">
        <v>1168</v>
      </c>
    </row>
    <row r="506" spans="1:10" x14ac:dyDescent="0.15">
      <c r="A506" s="7">
        <v>44887</v>
      </c>
      <c r="B506" s="8" t="s">
        <v>56</v>
      </c>
      <c r="C506" s="8" t="s">
        <v>56</v>
      </c>
      <c r="D506" s="9" t="str">
        <f>HYPERLINK("https://www.marklines.com/en/global/10431","Ford BlueOval City/ BlueOval SK battery plant")</f>
        <v>Ford BlueOval City/ BlueOval SK battery plant</v>
      </c>
      <c r="E506" s="8" t="s">
        <v>1170</v>
      </c>
      <c r="F506" s="8" t="s">
        <v>19</v>
      </c>
      <c r="G506" s="8" t="s">
        <v>12</v>
      </c>
      <c r="H506" s="8" t="s">
        <v>107</v>
      </c>
      <c r="I506" s="10">
        <v>44881</v>
      </c>
      <c r="J506" s="8" t="s">
        <v>1168</v>
      </c>
    </row>
    <row r="507" spans="1:10" x14ac:dyDescent="0.15">
      <c r="A507" s="7">
        <v>44887</v>
      </c>
      <c r="B507" s="8" t="s">
        <v>58</v>
      </c>
      <c r="C507" s="8" t="s">
        <v>58</v>
      </c>
      <c r="D507" s="9" t="str">
        <f>HYPERLINK("https://www.marklines.com/en/global/10481","Chery Automobile Co., Ltd. Qingdao Branch")</f>
        <v>Chery Automobile Co., Ltd. Qingdao Branch</v>
      </c>
      <c r="E507" s="8" t="s">
        <v>1135</v>
      </c>
      <c r="F507" s="8" t="s">
        <v>25</v>
      </c>
      <c r="G507" s="8" t="s">
        <v>71</v>
      </c>
      <c r="H507" s="8" t="s">
        <v>104</v>
      </c>
      <c r="I507" s="10">
        <v>44880</v>
      </c>
      <c r="J507" s="8" t="s">
        <v>1171</v>
      </c>
    </row>
    <row r="508" spans="1:10" x14ac:dyDescent="0.15">
      <c r="A508" s="7">
        <v>44887</v>
      </c>
      <c r="B508" s="8" t="s">
        <v>1044</v>
      </c>
      <c r="C508" s="8" t="s">
        <v>1045</v>
      </c>
      <c r="D508" s="9" t="str">
        <f>HYPERLINK("https://www.marklines.com/en/global/1205","Mahindra, Nashik (Satpur) Plant")</f>
        <v>Mahindra, Nashik (Satpur) Plant</v>
      </c>
      <c r="E508" s="8" t="s">
        <v>1052</v>
      </c>
      <c r="F508" s="8" t="s">
        <v>69</v>
      </c>
      <c r="G508" s="8" t="s">
        <v>70</v>
      </c>
      <c r="H508" s="8" t="s">
        <v>99</v>
      </c>
      <c r="I508" s="10">
        <v>44876</v>
      </c>
      <c r="J508" s="8" t="s">
        <v>1172</v>
      </c>
    </row>
    <row r="509" spans="1:10" x14ac:dyDescent="0.15">
      <c r="A509" s="7">
        <v>44887</v>
      </c>
      <c r="B509" s="8" t="s">
        <v>1173</v>
      </c>
      <c r="C509" s="8" t="s">
        <v>1173</v>
      </c>
      <c r="D509" s="9" t="str">
        <f>HYPERLINK("https://www.marklines.com/en/global/2427","Ssangyong Motor Company")</f>
        <v>Ssangyong Motor Company</v>
      </c>
      <c r="E509" s="8" t="s">
        <v>1174</v>
      </c>
      <c r="F509" s="8" t="s">
        <v>25</v>
      </c>
      <c r="G509" s="8" t="s">
        <v>411</v>
      </c>
      <c r="H509" s="8"/>
      <c r="I509" s="10">
        <v>44876</v>
      </c>
      <c r="J509" s="8" t="s">
        <v>1175</v>
      </c>
    </row>
    <row r="510" spans="1:10" x14ac:dyDescent="0.15">
      <c r="A510" s="7">
        <v>44887</v>
      </c>
      <c r="B510" s="8" t="s">
        <v>1173</v>
      </c>
      <c r="C510" s="8" t="s">
        <v>1173</v>
      </c>
      <c r="D510" s="9" t="str">
        <f>HYPERLINK("https://www.marklines.com/en/global/2429","Ssangyong Motor, Pyeongtaek Plant")</f>
        <v>Ssangyong Motor, Pyeongtaek Plant</v>
      </c>
      <c r="E510" s="8" t="s">
        <v>1176</v>
      </c>
      <c r="F510" s="8" t="s">
        <v>25</v>
      </c>
      <c r="G510" s="8" t="s">
        <v>411</v>
      </c>
      <c r="H510" s="8"/>
      <c r="I510" s="10">
        <v>44876</v>
      </c>
      <c r="J510" s="8" t="s">
        <v>1175</v>
      </c>
    </row>
    <row r="511" spans="1:10" x14ac:dyDescent="0.15">
      <c r="A511" s="7">
        <v>44887</v>
      </c>
      <c r="B511" s="8" t="s">
        <v>1173</v>
      </c>
      <c r="C511" s="8" t="s">
        <v>1173</v>
      </c>
      <c r="D511" s="9" t="str">
        <f>HYPERLINK("https://www.marklines.com/en/global/2431","Ssangyong Motor, Changwon Plant")</f>
        <v>Ssangyong Motor, Changwon Plant</v>
      </c>
      <c r="E511" s="8" t="s">
        <v>1177</v>
      </c>
      <c r="F511" s="8" t="s">
        <v>25</v>
      </c>
      <c r="G511" s="8" t="s">
        <v>411</v>
      </c>
      <c r="H511" s="8"/>
      <c r="I511" s="10">
        <v>44876</v>
      </c>
      <c r="J511" s="8" t="s">
        <v>1175</v>
      </c>
    </row>
    <row r="512" spans="1:10" x14ac:dyDescent="0.15">
      <c r="A512" s="7">
        <v>44886</v>
      </c>
      <c r="B512" s="8" t="s">
        <v>289</v>
      </c>
      <c r="C512" s="8" t="s">
        <v>289</v>
      </c>
      <c r="D512" s="9" t="str">
        <f>HYPERLINK("https://www.marklines.com/en/global/165","SOVAB, Batilly Plant")</f>
        <v>SOVAB, Batilly Plant</v>
      </c>
      <c r="E512" s="8" t="s">
        <v>292</v>
      </c>
      <c r="F512" s="8" t="s">
        <v>20</v>
      </c>
      <c r="G512" s="8" t="s">
        <v>86</v>
      </c>
      <c r="H512" s="8"/>
      <c r="I512" s="10">
        <v>44886</v>
      </c>
      <c r="J512" s="8" t="s">
        <v>1178</v>
      </c>
    </row>
    <row r="513" spans="1:10" x14ac:dyDescent="0.15">
      <c r="A513" s="7">
        <v>44886</v>
      </c>
      <c r="B513" s="8" t="s">
        <v>94</v>
      </c>
      <c r="C513" s="8" t="s">
        <v>94</v>
      </c>
      <c r="D513" s="9" t="str">
        <f>HYPERLINK("https://www.marklines.com/en/global/1253","Maruti Suzuki India Ltd. (MSIL), Gurgaon Plant")</f>
        <v>Maruti Suzuki India Ltd. (MSIL), Gurgaon Plant</v>
      </c>
      <c r="E513" s="8" t="s">
        <v>770</v>
      </c>
      <c r="F513" s="8" t="s">
        <v>69</v>
      </c>
      <c r="G513" s="8" t="s">
        <v>70</v>
      </c>
      <c r="H513" s="8" t="s">
        <v>769</v>
      </c>
      <c r="I513" s="10">
        <v>44883</v>
      </c>
      <c r="J513" s="8" t="s">
        <v>1179</v>
      </c>
    </row>
    <row r="514" spans="1:10" x14ac:dyDescent="0.15">
      <c r="A514" s="7">
        <v>44886</v>
      </c>
      <c r="B514" s="8" t="s">
        <v>17</v>
      </c>
      <c r="C514" s="8" t="s">
        <v>17</v>
      </c>
      <c r="D514" s="9" t="str">
        <f>HYPERLINK("https://www.marklines.com/en/global/10111","Honda R&amp;D Europe (Deutschland) GmbH (HRE-G) (Offenbach/Main)")</f>
        <v>Honda R&amp;D Europe (Deutschland) GmbH (HRE-G) (Offenbach/Main)</v>
      </c>
      <c r="E514" s="8" t="s">
        <v>1180</v>
      </c>
      <c r="F514" s="8" t="s">
        <v>20</v>
      </c>
      <c r="G514" s="8" t="s">
        <v>29</v>
      </c>
      <c r="H514" s="8"/>
      <c r="I514" s="10">
        <v>44883</v>
      </c>
      <c r="J514" s="8" t="s">
        <v>1181</v>
      </c>
    </row>
    <row r="515" spans="1:10" x14ac:dyDescent="0.15">
      <c r="A515" s="7">
        <v>44886</v>
      </c>
      <c r="B515" s="8" t="s">
        <v>15</v>
      </c>
      <c r="C515" s="8" t="s">
        <v>15</v>
      </c>
      <c r="D515" s="9" t="str">
        <f>HYPERLINK("https://www.marklines.com/en/global/9602","OOO Motorinvest, Lipetsk Plant (formerly Changan Automobile, Lipetsk Plant)")</f>
        <v>OOO Motorinvest, Lipetsk Plant (formerly Changan Automobile, Lipetsk Plant)</v>
      </c>
      <c r="E515" s="8" t="s">
        <v>1017</v>
      </c>
      <c r="F515" s="8" t="s">
        <v>21</v>
      </c>
      <c r="G515" s="8" t="s">
        <v>16</v>
      </c>
      <c r="H515" s="8"/>
      <c r="I515" s="10">
        <v>44883</v>
      </c>
      <c r="J515" s="8" t="s">
        <v>1182</v>
      </c>
    </row>
    <row r="516" spans="1:10" x14ac:dyDescent="0.15">
      <c r="A516" s="7">
        <v>44886</v>
      </c>
      <c r="B516" s="8" t="s">
        <v>344</v>
      </c>
      <c r="C516" s="8" t="s">
        <v>345</v>
      </c>
      <c r="D516" s="9" t="str">
        <f>HYPERLINK("https://www.marklines.com/en/global/675","AvtoVAZ, Togliatti Plant")</f>
        <v>AvtoVAZ, Togliatti Plant</v>
      </c>
      <c r="E516" s="8" t="s">
        <v>346</v>
      </c>
      <c r="F516" s="8" t="s">
        <v>21</v>
      </c>
      <c r="G516" s="8" t="s">
        <v>16</v>
      </c>
      <c r="H516" s="8"/>
      <c r="I516" s="10">
        <v>44883</v>
      </c>
      <c r="J516" s="8" t="s">
        <v>1183</v>
      </c>
    </row>
    <row r="517" spans="1:10" x14ac:dyDescent="0.15">
      <c r="A517" s="7">
        <v>44886</v>
      </c>
      <c r="B517" s="8" t="s">
        <v>556</v>
      </c>
      <c r="C517" s="8" t="s">
        <v>556</v>
      </c>
      <c r="D517" s="9" t="str">
        <f>HYPERLINK("https://www.marklines.com/en/global/1913","Iveco Espana, S.L., Madrid Plant")</f>
        <v>Iveco Espana, S.L., Madrid Plant</v>
      </c>
      <c r="E517" s="8" t="s">
        <v>1184</v>
      </c>
      <c r="F517" s="8" t="s">
        <v>20</v>
      </c>
      <c r="G517" s="8" t="s">
        <v>277</v>
      </c>
      <c r="H517" s="8"/>
      <c r="I517" s="10">
        <v>44882</v>
      </c>
      <c r="J517" s="8" t="s">
        <v>1185</v>
      </c>
    </row>
    <row r="518" spans="1:10" x14ac:dyDescent="0.15">
      <c r="A518" s="7">
        <v>44886</v>
      </c>
      <c r="B518" s="8" t="s">
        <v>556</v>
      </c>
      <c r="C518" s="8" t="s">
        <v>556</v>
      </c>
      <c r="D518" s="9" t="str">
        <f>HYPERLINK("https://www.marklines.com/en/global/1915","Iveco Espana, S.L., Valladolid Plant")</f>
        <v>Iveco Espana, S.L., Valladolid Plant</v>
      </c>
      <c r="E518" s="8" t="s">
        <v>1186</v>
      </c>
      <c r="F518" s="8" t="s">
        <v>20</v>
      </c>
      <c r="G518" s="8" t="s">
        <v>277</v>
      </c>
      <c r="H518" s="8"/>
      <c r="I518" s="10">
        <v>44882</v>
      </c>
      <c r="J518" s="8" t="s">
        <v>1185</v>
      </c>
    </row>
    <row r="519" spans="1:10" x14ac:dyDescent="0.15">
      <c r="A519" s="7">
        <v>44886</v>
      </c>
      <c r="B519" s="8" t="s">
        <v>11</v>
      </c>
      <c r="C519" s="8" t="s">
        <v>108</v>
      </c>
      <c r="D519" s="9" t="str">
        <f>HYPERLINK("https://www.marklines.com/en/global/10280","Audi Research &amp; Development Center for Asia (Beijing City)")</f>
        <v>Audi Research &amp; Development Center for Asia (Beijing City)</v>
      </c>
      <c r="E519" s="8" t="s">
        <v>1187</v>
      </c>
      <c r="F519" s="8" t="s">
        <v>25</v>
      </c>
      <c r="G519" s="8" t="s">
        <v>71</v>
      </c>
      <c r="H519" s="8" t="s">
        <v>437</v>
      </c>
      <c r="I519" s="10">
        <v>44881</v>
      </c>
      <c r="J519" s="8" t="s">
        <v>1188</v>
      </c>
    </row>
    <row r="520" spans="1:10" x14ac:dyDescent="0.15">
      <c r="A520" s="7">
        <v>44886</v>
      </c>
      <c r="B520" s="8" t="s">
        <v>439</v>
      </c>
      <c r="C520" s="8" t="s">
        <v>439</v>
      </c>
      <c r="D520" s="9" t="str">
        <f>HYPERLINK("https://www.marklines.com/en/global/9129","Beijing Automotive Group Off-road vehicle Co., Ltd.,")</f>
        <v>Beijing Automotive Group Off-road vehicle Co., Ltd.,</v>
      </c>
      <c r="E520" s="8" t="s">
        <v>1091</v>
      </c>
      <c r="F520" s="8" t="s">
        <v>25</v>
      </c>
      <c r="G520" s="8" t="s">
        <v>71</v>
      </c>
      <c r="H520" s="8" t="s">
        <v>437</v>
      </c>
      <c r="I520" s="10">
        <v>44881</v>
      </c>
      <c r="J520" s="8" t="s">
        <v>1189</v>
      </c>
    </row>
    <row r="521" spans="1:10" x14ac:dyDescent="0.15">
      <c r="A521" s="7">
        <v>44886</v>
      </c>
      <c r="B521" s="8" t="s">
        <v>478</v>
      </c>
      <c r="C521" s="8" t="s">
        <v>478</v>
      </c>
      <c r="D521" s="9" t="str">
        <f>HYPERLINK("https://www.marklines.com/en/global/9500","BYD Co., Ltd.")</f>
        <v>BYD Co., Ltd.</v>
      </c>
      <c r="E521" s="8" t="s">
        <v>528</v>
      </c>
      <c r="F521" s="8" t="s">
        <v>25</v>
      </c>
      <c r="G521" s="8" t="s">
        <v>71</v>
      </c>
      <c r="H521" s="8" t="s">
        <v>83</v>
      </c>
      <c r="I521" s="10">
        <v>44881</v>
      </c>
      <c r="J521" s="8" t="s">
        <v>1190</v>
      </c>
    </row>
    <row r="522" spans="1:10" x14ac:dyDescent="0.15">
      <c r="A522" s="7">
        <v>44886</v>
      </c>
      <c r="B522" s="8" t="s">
        <v>279</v>
      </c>
      <c r="C522" s="8" t="s">
        <v>279</v>
      </c>
      <c r="D522" s="9" t="str">
        <f>HYPERLINK("https://www.marklines.com/en/global/671","ZAO AvtoTOR, Kaliningrad Plant")</f>
        <v>ZAO AvtoTOR, Kaliningrad Plant</v>
      </c>
      <c r="E522" s="8" t="s">
        <v>280</v>
      </c>
      <c r="F522" s="8" t="s">
        <v>21</v>
      </c>
      <c r="G522" s="8" t="s">
        <v>16</v>
      </c>
      <c r="H522" s="8"/>
      <c r="I522" s="10">
        <v>44880</v>
      </c>
      <c r="J522" s="8" t="s">
        <v>1191</v>
      </c>
    </row>
    <row r="523" spans="1:10" x14ac:dyDescent="0.15">
      <c r="A523" s="7">
        <v>44886</v>
      </c>
      <c r="B523" s="8" t="s">
        <v>478</v>
      </c>
      <c r="C523" s="8" t="s">
        <v>478</v>
      </c>
      <c r="D523" s="9" t="str">
        <f>HYPERLINK("https://www.marklines.com/en/global/4125","BYD Automobile Industry Co., Ltd., Shenzhen Plant")</f>
        <v>BYD Automobile Industry Co., Ltd., Shenzhen Plant</v>
      </c>
      <c r="E523" s="8" t="s">
        <v>702</v>
      </c>
      <c r="F523" s="8" t="s">
        <v>25</v>
      </c>
      <c r="G523" s="8" t="s">
        <v>71</v>
      </c>
      <c r="H523" s="8" t="s">
        <v>83</v>
      </c>
      <c r="I523" s="10">
        <v>44880</v>
      </c>
      <c r="J523" s="8" t="s">
        <v>1192</v>
      </c>
    </row>
    <row r="524" spans="1:10" x14ac:dyDescent="0.15">
      <c r="A524" s="7">
        <v>44886</v>
      </c>
      <c r="B524" s="8" t="s">
        <v>101</v>
      </c>
      <c r="C524" s="8" t="s">
        <v>1137</v>
      </c>
      <c r="D524" s="9" t="str">
        <f>HYPERLINK("https://www.marklines.com/en/global/9165"," Dongfeng Motor (Wuhan) Co., Ltd. (formerly Dongfeng Renault Automotive  Co., Ltd.) ")</f>
        <v xml:space="preserve"> Dongfeng Motor (Wuhan) Co., Ltd. (formerly Dongfeng Renault Automotive  Co., Ltd.) </v>
      </c>
      <c r="E524" s="8" t="s">
        <v>1138</v>
      </c>
      <c r="F524" s="8" t="s">
        <v>25</v>
      </c>
      <c r="G524" s="8" t="s">
        <v>71</v>
      </c>
      <c r="H524" s="8" t="s">
        <v>90</v>
      </c>
      <c r="I524" s="10">
        <v>44879</v>
      </c>
      <c r="J524" s="8" t="s">
        <v>1193</v>
      </c>
    </row>
    <row r="525" spans="1:10" x14ac:dyDescent="0.15">
      <c r="A525" s="7">
        <v>44886</v>
      </c>
      <c r="B525" s="8" t="s">
        <v>15</v>
      </c>
      <c r="C525" s="8" t="s">
        <v>1194</v>
      </c>
      <c r="D525" s="9" t="str">
        <f>HYPERLINK("https://www.marklines.com/en/global/1428","Karsan Otomotiv Sanayi ve Ticaret A.S., Akçalar (Bursa) Plant")</f>
        <v>Karsan Otomotiv Sanayi ve Ticaret A.S., Akçalar (Bursa) Plant</v>
      </c>
      <c r="E525" s="8" t="s">
        <v>1195</v>
      </c>
      <c r="F525" s="8" t="s">
        <v>295</v>
      </c>
      <c r="G525" s="8" t="s">
        <v>296</v>
      </c>
      <c r="H525" s="8"/>
      <c r="I525" s="10">
        <v>44876</v>
      </c>
      <c r="J525" s="8" t="s">
        <v>1196</v>
      </c>
    </row>
    <row r="526" spans="1:10" x14ac:dyDescent="0.15">
      <c r="A526" s="7">
        <v>44886</v>
      </c>
      <c r="B526" s="8" t="s">
        <v>11</v>
      </c>
      <c r="C526" s="8" t="s">
        <v>26</v>
      </c>
      <c r="D526" s="9" t="str">
        <f>HYPERLINK("https://www.marklines.com/en/global/10605","Mobility Asia Smart Technology Co., Ltd. (CARIAD)")</f>
        <v>Mobility Asia Smart Technology Co., Ltd. (CARIAD)</v>
      </c>
      <c r="E526" s="8" t="s">
        <v>1197</v>
      </c>
      <c r="F526" s="8" t="s">
        <v>25</v>
      </c>
      <c r="G526" s="8" t="s">
        <v>71</v>
      </c>
      <c r="H526" s="8" t="s">
        <v>677</v>
      </c>
      <c r="I526" s="10">
        <v>44852</v>
      </c>
      <c r="J526" s="8" t="s">
        <v>1198</v>
      </c>
    </row>
    <row r="527" spans="1:10" x14ac:dyDescent="0.15">
      <c r="A527" s="7">
        <v>44884</v>
      </c>
      <c r="B527" s="8" t="s">
        <v>14</v>
      </c>
      <c r="C527" s="8" t="s">
        <v>14</v>
      </c>
      <c r="D527" s="9" t="str">
        <f>HYPERLINK("https://www.marklines.com/en/global/2507","General Motors, Bedford Casting Operations")</f>
        <v>General Motors, Bedford Casting Operations</v>
      </c>
      <c r="E527" s="8" t="s">
        <v>1199</v>
      </c>
      <c r="F527" s="8" t="s">
        <v>19</v>
      </c>
      <c r="G527" s="8" t="s">
        <v>12</v>
      </c>
      <c r="H527" s="8" t="s">
        <v>39</v>
      </c>
      <c r="I527" s="10">
        <v>44883</v>
      </c>
      <c r="J527" s="8" t="s">
        <v>1200</v>
      </c>
    </row>
    <row r="528" spans="1:10" x14ac:dyDescent="0.15">
      <c r="A528" s="7">
        <v>44884</v>
      </c>
      <c r="B528" s="8" t="s">
        <v>15</v>
      </c>
      <c r="C528" s="8" t="s">
        <v>15</v>
      </c>
      <c r="D528" s="9" t="str">
        <f>HYPERLINK("https://www.marklines.com/en/global/1809","Magna Steyr Fahrzeugtechnik AG &amp; Co KG, Graz Plant")</f>
        <v>Magna Steyr Fahrzeugtechnik AG &amp; Co KG, Graz Plant</v>
      </c>
      <c r="E528" s="8" t="s">
        <v>152</v>
      </c>
      <c r="F528" s="8" t="s">
        <v>20</v>
      </c>
      <c r="G528" s="8" t="s">
        <v>106</v>
      </c>
      <c r="H528" s="8"/>
      <c r="I528" s="10">
        <v>44882</v>
      </c>
      <c r="J528" s="8" t="s">
        <v>1201</v>
      </c>
    </row>
    <row r="529" spans="1:10" x14ac:dyDescent="0.15">
      <c r="A529" s="7">
        <v>44883</v>
      </c>
      <c r="B529" s="8" t="s">
        <v>375</v>
      </c>
      <c r="C529" s="8" t="s">
        <v>375</v>
      </c>
      <c r="D529" s="9" t="str">
        <f>HYPERLINK("https://www.marklines.com/en/global/3215","Subaru of Indiana Automotive Inc. (SIA), Lafayette Plant")</f>
        <v>Subaru of Indiana Automotive Inc. (SIA), Lafayette Plant</v>
      </c>
      <c r="E529" s="8" t="s">
        <v>970</v>
      </c>
      <c r="F529" s="8" t="s">
        <v>19</v>
      </c>
      <c r="G529" s="8" t="s">
        <v>12</v>
      </c>
      <c r="H529" s="8" t="s">
        <v>39</v>
      </c>
      <c r="I529" s="10">
        <v>44882</v>
      </c>
      <c r="J529" s="8" t="s">
        <v>971</v>
      </c>
    </row>
    <row r="530" spans="1:10" x14ac:dyDescent="0.15">
      <c r="A530" s="7">
        <v>44883</v>
      </c>
      <c r="B530" s="8" t="s">
        <v>89</v>
      </c>
      <c r="C530" s="8" t="s">
        <v>95</v>
      </c>
      <c r="D530" s="9" t="str">
        <f>HYPERLINK("https://www.marklines.com/en/global/10366","Sazgar Engineeringworks Ltd., Kasur, Punjab Car Plant")</f>
        <v>Sazgar Engineeringworks Ltd., Kasur, Punjab Car Plant</v>
      </c>
      <c r="E530" s="8" t="s">
        <v>972</v>
      </c>
      <c r="F530" s="8" t="s">
        <v>69</v>
      </c>
      <c r="G530" s="8" t="s">
        <v>96</v>
      </c>
      <c r="H530" s="8"/>
      <c r="I530" s="10">
        <v>44881</v>
      </c>
      <c r="J530" s="8" t="s">
        <v>973</v>
      </c>
    </row>
    <row r="531" spans="1:10" x14ac:dyDescent="0.15">
      <c r="A531" s="7">
        <v>44883</v>
      </c>
      <c r="B531" s="8" t="s">
        <v>530</v>
      </c>
      <c r="C531" s="8" t="s">
        <v>531</v>
      </c>
      <c r="D531" s="9" t="str">
        <f>HYPERLINK("https://www.marklines.com/en/global/8808","GAC Mitsubishi Motors Co., Ltd. (GMMC)")</f>
        <v>GAC Mitsubishi Motors Co., Ltd. (GMMC)</v>
      </c>
      <c r="E531" s="8" t="s">
        <v>974</v>
      </c>
      <c r="F531" s="8" t="s">
        <v>25</v>
      </c>
      <c r="G531" s="8" t="s">
        <v>71</v>
      </c>
      <c r="H531" s="8" t="s">
        <v>482</v>
      </c>
      <c r="I531" s="10">
        <v>44880</v>
      </c>
      <c r="J531" s="8" t="s">
        <v>975</v>
      </c>
    </row>
    <row r="532" spans="1:10" x14ac:dyDescent="0.15">
      <c r="A532" s="7">
        <v>44883</v>
      </c>
      <c r="B532" s="8" t="s">
        <v>478</v>
      </c>
      <c r="C532" s="8" t="s">
        <v>478</v>
      </c>
      <c r="D532" s="9" t="str">
        <f>HYPERLINK("https://www.marklines.com/en/global/9500","BYD Co., Ltd.")</f>
        <v>BYD Co., Ltd.</v>
      </c>
      <c r="E532" s="8" t="s">
        <v>528</v>
      </c>
      <c r="F532" s="8" t="s">
        <v>25</v>
      </c>
      <c r="G532" s="8" t="s">
        <v>71</v>
      </c>
      <c r="H532" s="8" t="s">
        <v>83</v>
      </c>
      <c r="I532" s="10">
        <v>44880</v>
      </c>
      <c r="J532" s="8" t="s">
        <v>976</v>
      </c>
    </row>
    <row r="533" spans="1:10" x14ac:dyDescent="0.15">
      <c r="A533" s="7">
        <v>44883</v>
      </c>
      <c r="B533" s="8" t="s">
        <v>11</v>
      </c>
      <c r="C533" s="8" t="s">
        <v>176</v>
      </c>
      <c r="D533" s="9" t="str">
        <f>HYPERLINK("https://www.marklines.com/en/global/1739","Škoda Auto, Mladá Boleslav Plant")</f>
        <v>Škoda Auto, Mladá Boleslav Plant</v>
      </c>
      <c r="E533" s="8" t="s">
        <v>871</v>
      </c>
      <c r="F533" s="8" t="s">
        <v>21</v>
      </c>
      <c r="G533" s="8" t="s">
        <v>872</v>
      </c>
      <c r="H533" s="8"/>
      <c r="I533" s="10">
        <v>44876</v>
      </c>
      <c r="J533" s="8" t="s">
        <v>977</v>
      </c>
    </row>
    <row r="534" spans="1:10" x14ac:dyDescent="0.15">
      <c r="A534" s="7">
        <v>44883</v>
      </c>
      <c r="B534" s="8" t="s">
        <v>11</v>
      </c>
      <c r="C534" s="8" t="s">
        <v>176</v>
      </c>
      <c r="D534" s="9" t="str">
        <f>HYPERLINK("https://www.marklines.com/en/global/1737","Škoda Auto a.s.")</f>
        <v>Škoda Auto a.s.</v>
      </c>
      <c r="E534" s="8" t="s">
        <v>978</v>
      </c>
      <c r="F534" s="8" t="s">
        <v>21</v>
      </c>
      <c r="G534" s="8" t="s">
        <v>872</v>
      </c>
      <c r="H534" s="8"/>
      <c r="I534" s="10">
        <v>44876</v>
      </c>
      <c r="J534" s="8" t="s">
        <v>977</v>
      </c>
    </row>
    <row r="535" spans="1:10" x14ac:dyDescent="0.15">
      <c r="A535" s="7">
        <v>44883</v>
      </c>
      <c r="B535" s="8" t="s">
        <v>57</v>
      </c>
      <c r="C535" s="8" t="s">
        <v>57</v>
      </c>
      <c r="D535" s="9" t="str">
        <f>HYPERLINK("https://www.marklines.com/en/global/51","Sanyang Motor, Hsinchu Plant")</f>
        <v>Sanyang Motor, Hsinchu Plant</v>
      </c>
      <c r="E535" s="8" t="s">
        <v>979</v>
      </c>
      <c r="F535" s="8" t="s">
        <v>25</v>
      </c>
      <c r="G535" s="8" t="s">
        <v>318</v>
      </c>
      <c r="H535" s="8"/>
      <c r="I535" s="10">
        <v>44873</v>
      </c>
      <c r="J535" s="8" t="s">
        <v>1667</v>
      </c>
    </row>
    <row r="536" spans="1:10" x14ac:dyDescent="0.15">
      <c r="A536" s="7">
        <v>44883</v>
      </c>
      <c r="B536" s="8" t="s">
        <v>38</v>
      </c>
      <c r="C536" s="8" t="s">
        <v>38</v>
      </c>
      <c r="D536" s="9" t="str">
        <f>HYPERLINK("https://www.marklines.com/en/global/503","Mazda Motor, Hiroshima Plant")</f>
        <v>Mazda Motor, Hiroshima Plant</v>
      </c>
      <c r="E536" s="8" t="s">
        <v>980</v>
      </c>
      <c r="F536" s="8" t="s">
        <v>25</v>
      </c>
      <c r="G536" s="8" t="s">
        <v>31</v>
      </c>
      <c r="H536" s="8" t="s">
        <v>981</v>
      </c>
      <c r="I536" s="10">
        <v>44867</v>
      </c>
      <c r="J536" s="8" t="s">
        <v>982</v>
      </c>
    </row>
    <row r="537" spans="1:10" x14ac:dyDescent="0.15">
      <c r="A537" s="7">
        <v>44883</v>
      </c>
      <c r="B537" s="8" t="s">
        <v>97</v>
      </c>
      <c r="C537" s="8" t="s">
        <v>97</v>
      </c>
      <c r="D537" s="9" t="str">
        <f>HYPERLINK("https://www.marklines.com/en/global/465","Nissan Motor Kyushu Co.,Ltd.")</f>
        <v>Nissan Motor Kyushu Co.,Ltd.</v>
      </c>
      <c r="E537" s="8" t="s">
        <v>983</v>
      </c>
      <c r="F537" s="8" t="s">
        <v>25</v>
      </c>
      <c r="G537" s="8" t="s">
        <v>31</v>
      </c>
      <c r="H537" s="8" t="s">
        <v>127</v>
      </c>
      <c r="I537" s="10">
        <v>44865</v>
      </c>
      <c r="J537" s="8" t="s">
        <v>984</v>
      </c>
    </row>
    <row r="538" spans="1:10" x14ac:dyDescent="0.15">
      <c r="A538" s="7">
        <v>44883</v>
      </c>
      <c r="B538" s="8" t="s">
        <v>97</v>
      </c>
      <c r="C538" s="8" t="s">
        <v>97</v>
      </c>
      <c r="D538" s="9" t="str">
        <f>HYPERLINK("https://www.marklines.com/en/global/517","Mitsubishi Motors, Mizushima Plant")</f>
        <v>Mitsubishi Motors, Mizushima Plant</v>
      </c>
      <c r="E538" s="8" t="s">
        <v>532</v>
      </c>
      <c r="F538" s="8" t="s">
        <v>25</v>
      </c>
      <c r="G538" s="8" t="s">
        <v>31</v>
      </c>
      <c r="H538" s="8" t="s">
        <v>533</v>
      </c>
      <c r="I538" s="10">
        <v>44865</v>
      </c>
      <c r="J538" s="8" t="s">
        <v>984</v>
      </c>
    </row>
    <row r="539" spans="1:10" x14ac:dyDescent="0.15">
      <c r="A539" s="7">
        <v>44882</v>
      </c>
      <c r="B539" s="8" t="s">
        <v>17</v>
      </c>
      <c r="C539" s="8" t="s">
        <v>308</v>
      </c>
      <c r="D539" s="9" t="str">
        <f>HYPERLINK("https://www.marklines.com/en/global/3112","Honda of America Manufacturing Inc., Performance Manufacturing Center")</f>
        <v>Honda of America Manufacturing Inc., Performance Manufacturing Center</v>
      </c>
      <c r="E539" s="8" t="s">
        <v>985</v>
      </c>
      <c r="F539" s="8" t="s">
        <v>19</v>
      </c>
      <c r="G539" s="8" t="s">
        <v>12</v>
      </c>
      <c r="H539" s="8" t="s">
        <v>48</v>
      </c>
      <c r="I539" s="10">
        <v>44881</v>
      </c>
      <c r="J539" s="8" t="s">
        <v>986</v>
      </c>
    </row>
    <row r="540" spans="1:10" x14ac:dyDescent="0.15">
      <c r="A540" s="7">
        <v>44882</v>
      </c>
      <c r="B540" s="8" t="s">
        <v>486</v>
      </c>
      <c r="C540" s="8" t="s">
        <v>486</v>
      </c>
      <c r="D540" s="9" t="str">
        <f>HYPERLINK("https://www.marklines.com/en/global/9873","Lucid Motors (Lucid Group, Inc.), Casa Grande plant")</f>
        <v>Lucid Motors (Lucid Group, Inc.), Casa Grande plant</v>
      </c>
      <c r="E540" s="8" t="s">
        <v>487</v>
      </c>
      <c r="F540" s="8" t="s">
        <v>19</v>
      </c>
      <c r="G540" s="8" t="s">
        <v>12</v>
      </c>
      <c r="H540" s="8" t="s">
        <v>469</v>
      </c>
      <c r="I540" s="10">
        <v>44880</v>
      </c>
      <c r="J540" s="8" t="s">
        <v>987</v>
      </c>
    </row>
    <row r="541" spans="1:10" x14ac:dyDescent="0.15">
      <c r="A541" s="7">
        <v>44882</v>
      </c>
      <c r="B541" s="8" t="s">
        <v>988</v>
      </c>
      <c r="C541" s="8" t="s">
        <v>988</v>
      </c>
      <c r="D541" s="9" t="str">
        <f>HYPERLINK("https://www.marklines.com/en/global/3095","Karma Innovation and Customization Center (KICC) ")</f>
        <v xml:space="preserve">Karma Innovation and Customization Center (KICC) </v>
      </c>
      <c r="E541" s="8" t="s">
        <v>989</v>
      </c>
      <c r="F541" s="8" t="s">
        <v>19</v>
      </c>
      <c r="G541" s="8" t="s">
        <v>12</v>
      </c>
      <c r="H541" s="8" t="s">
        <v>608</v>
      </c>
      <c r="I541" s="10">
        <v>44880</v>
      </c>
      <c r="J541" s="8" t="s">
        <v>990</v>
      </c>
    </row>
    <row r="542" spans="1:10" x14ac:dyDescent="0.15">
      <c r="A542" s="7">
        <v>44882</v>
      </c>
      <c r="B542" s="8" t="s">
        <v>89</v>
      </c>
      <c r="C542" s="8" t="s">
        <v>89</v>
      </c>
      <c r="D542" s="9" t="str">
        <f>HYPERLINK("https://www.marklines.com/en/global/9570","Great Wall Motor Company Limited Chongqing Branch")</f>
        <v>Great Wall Motor Company Limited Chongqing Branch</v>
      </c>
      <c r="E542" s="8" t="s">
        <v>991</v>
      </c>
      <c r="F542" s="8" t="s">
        <v>25</v>
      </c>
      <c r="G542" s="8" t="s">
        <v>71</v>
      </c>
      <c r="H542" s="8" t="s">
        <v>81</v>
      </c>
      <c r="I542" s="10">
        <v>44877</v>
      </c>
      <c r="J542" s="8" t="s">
        <v>992</v>
      </c>
    </row>
    <row r="543" spans="1:10" x14ac:dyDescent="0.15">
      <c r="A543" s="7">
        <v>44882</v>
      </c>
      <c r="B543" s="8" t="s">
        <v>89</v>
      </c>
      <c r="C543" s="8" t="s">
        <v>95</v>
      </c>
      <c r="D543" s="9" t="str">
        <f>HYPERLINK("https://www.marklines.com/en/global/9570","Great Wall Motor Company Limited Chongqing Branch")</f>
        <v>Great Wall Motor Company Limited Chongqing Branch</v>
      </c>
      <c r="E543" s="8" t="s">
        <v>991</v>
      </c>
      <c r="F543" s="8" t="s">
        <v>25</v>
      </c>
      <c r="G543" s="8" t="s">
        <v>71</v>
      </c>
      <c r="H543" s="8" t="s">
        <v>81</v>
      </c>
      <c r="I543" s="10">
        <v>44877</v>
      </c>
      <c r="J543" s="8" t="s">
        <v>992</v>
      </c>
    </row>
    <row r="544" spans="1:10" x14ac:dyDescent="0.15">
      <c r="A544" s="7">
        <v>44882</v>
      </c>
      <c r="B544" s="8" t="s">
        <v>89</v>
      </c>
      <c r="C544" s="8" t="s">
        <v>993</v>
      </c>
      <c r="D544" s="9" t="str">
        <f>HYPERLINK("https://www.marklines.com/en/global/9570","Great Wall Motor Company Limited Chongqing Branch")</f>
        <v>Great Wall Motor Company Limited Chongqing Branch</v>
      </c>
      <c r="E544" s="8" t="s">
        <v>991</v>
      </c>
      <c r="F544" s="8" t="s">
        <v>25</v>
      </c>
      <c r="G544" s="8" t="s">
        <v>71</v>
      </c>
      <c r="H544" s="8" t="s">
        <v>81</v>
      </c>
      <c r="I544" s="10">
        <v>44877</v>
      </c>
      <c r="J544" s="8" t="s">
        <v>992</v>
      </c>
    </row>
    <row r="545" spans="1:10" x14ac:dyDescent="0.15">
      <c r="A545" s="7">
        <v>44882</v>
      </c>
      <c r="B545" s="8" t="s">
        <v>353</v>
      </c>
      <c r="C545" s="8" t="s">
        <v>353</v>
      </c>
      <c r="D545" s="9" t="str">
        <f>HYPERLINK("https://www.marklines.com/en/global/10344","JMEV Nanchang NEV plant")</f>
        <v>JMEV Nanchang NEV plant</v>
      </c>
      <c r="E545" s="8" t="s">
        <v>994</v>
      </c>
      <c r="F545" s="8" t="s">
        <v>25</v>
      </c>
      <c r="G545" s="8" t="s">
        <v>71</v>
      </c>
      <c r="H545" s="8" t="s">
        <v>460</v>
      </c>
      <c r="I545" s="10">
        <v>44876</v>
      </c>
      <c r="J545" s="8" t="s">
        <v>995</v>
      </c>
    </row>
    <row r="546" spans="1:10" x14ac:dyDescent="0.15">
      <c r="A546" s="7">
        <v>44882</v>
      </c>
      <c r="B546" s="8" t="s">
        <v>27</v>
      </c>
      <c r="C546" s="8" t="s">
        <v>27</v>
      </c>
      <c r="D546" s="9" t="str">
        <f>HYPERLINK("https://www.marklines.com/en/global/3373","BMW Brilliance Automotive Limited (BBA)")</f>
        <v>BMW Brilliance Automotive Limited (BBA)</v>
      </c>
      <c r="E546" s="8" t="s">
        <v>996</v>
      </c>
      <c r="F546" s="8" t="s">
        <v>25</v>
      </c>
      <c r="G546" s="8" t="s">
        <v>71</v>
      </c>
      <c r="H546" s="8" t="s">
        <v>437</v>
      </c>
      <c r="I546" s="10">
        <v>44876</v>
      </c>
      <c r="J546" s="8" t="s">
        <v>997</v>
      </c>
    </row>
    <row r="547" spans="1:10" x14ac:dyDescent="0.15">
      <c r="A547" s="7">
        <v>44882</v>
      </c>
      <c r="B547" s="8" t="s">
        <v>27</v>
      </c>
      <c r="C547" s="8" t="s">
        <v>27</v>
      </c>
      <c r="D547" s="9" t="str">
        <f>HYPERLINK("https://www.marklines.com/en/global/8952","BMW Brilliance Automotive Limited, Powertrain Plant")</f>
        <v>BMW Brilliance Automotive Limited, Powertrain Plant</v>
      </c>
      <c r="E547" s="8" t="s">
        <v>998</v>
      </c>
      <c r="F547" s="8" t="s">
        <v>25</v>
      </c>
      <c r="G547" s="8" t="s">
        <v>71</v>
      </c>
      <c r="H547" s="8" t="s">
        <v>84</v>
      </c>
      <c r="I547" s="10">
        <v>44876</v>
      </c>
      <c r="J547" s="8" t="s">
        <v>997</v>
      </c>
    </row>
    <row r="548" spans="1:10" x14ac:dyDescent="0.15">
      <c r="A548" s="7">
        <v>44882</v>
      </c>
      <c r="B548" s="8" t="s">
        <v>76</v>
      </c>
      <c r="C548" s="8" t="s">
        <v>620</v>
      </c>
      <c r="D548" s="9" t="str">
        <f>HYPERLINK("https://www.marklines.com/en/global/9345","Geely Sichuan Commercial Vehicle Co., Ltd.")</f>
        <v>Geely Sichuan Commercial Vehicle Co., Ltd.</v>
      </c>
      <c r="E548" s="8" t="s">
        <v>621</v>
      </c>
      <c r="F548" s="8" t="s">
        <v>25</v>
      </c>
      <c r="G548" s="8" t="s">
        <v>71</v>
      </c>
      <c r="H548" s="8" t="s">
        <v>367</v>
      </c>
      <c r="I548" s="10">
        <v>44875</v>
      </c>
      <c r="J548" s="8" t="s">
        <v>999</v>
      </c>
    </row>
    <row r="549" spans="1:10" x14ac:dyDescent="0.15">
      <c r="A549" s="7">
        <v>44882</v>
      </c>
      <c r="B549" s="8" t="s">
        <v>79</v>
      </c>
      <c r="C549" s="8" t="s">
        <v>79</v>
      </c>
      <c r="D549" s="9" t="str">
        <f>HYPERLINK("https://www.marklines.com/en/global/3539","Hebei Changan Automobile Co., Ltd. ")</f>
        <v xml:space="preserve">Hebei Changan Automobile Co., Ltd. </v>
      </c>
      <c r="E549" s="8" t="s">
        <v>1000</v>
      </c>
      <c r="F549" s="8" t="s">
        <v>25</v>
      </c>
      <c r="G549" s="8" t="s">
        <v>71</v>
      </c>
      <c r="H549" s="8" t="s">
        <v>616</v>
      </c>
      <c r="I549" s="10">
        <v>44875</v>
      </c>
      <c r="J549" s="8" t="s">
        <v>1001</v>
      </c>
    </row>
    <row r="550" spans="1:10" x14ac:dyDescent="0.15">
      <c r="A550" s="7">
        <v>44882</v>
      </c>
      <c r="B550" s="8" t="s">
        <v>87</v>
      </c>
      <c r="C550" s="8" t="s">
        <v>87</v>
      </c>
      <c r="D550" s="9" t="str">
        <f>HYPERLINK("https://www.marklines.com/en/global/4307","Shenzhen DENZA New Energy Automotive Co., Ltd.")</f>
        <v>Shenzhen DENZA New Energy Automotive Co., Ltd.</v>
      </c>
      <c r="E550" s="8" t="s">
        <v>1002</v>
      </c>
      <c r="F550" s="8" t="s">
        <v>25</v>
      </c>
      <c r="G550" s="8" t="s">
        <v>71</v>
      </c>
      <c r="H550" s="8" t="s">
        <v>83</v>
      </c>
      <c r="I550" s="10">
        <v>44875</v>
      </c>
      <c r="J550" s="8" t="s">
        <v>1003</v>
      </c>
    </row>
    <row r="551" spans="1:10" x14ac:dyDescent="0.15">
      <c r="A551" s="7">
        <v>44882</v>
      </c>
      <c r="B551" s="8" t="s">
        <v>478</v>
      </c>
      <c r="C551" s="8" t="s">
        <v>478</v>
      </c>
      <c r="D551" s="9" t="str">
        <f>HYPERLINK("https://www.marklines.com/en/global/4307","Shenzhen DENZA New Energy Automotive Co., Ltd.")</f>
        <v>Shenzhen DENZA New Energy Automotive Co., Ltd.</v>
      </c>
      <c r="E551" s="8" t="s">
        <v>1002</v>
      </c>
      <c r="F551" s="8" t="s">
        <v>25</v>
      </c>
      <c r="G551" s="8" t="s">
        <v>71</v>
      </c>
      <c r="H551" s="8" t="s">
        <v>83</v>
      </c>
      <c r="I551" s="10">
        <v>44875</v>
      </c>
      <c r="J551" s="8" t="s">
        <v>1003</v>
      </c>
    </row>
    <row r="552" spans="1:10" x14ac:dyDescent="0.15">
      <c r="A552" s="7">
        <v>44882</v>
      </c>
      <c r="B552" s="8" t="s">
        <v>478</v>
      </c>
      <c r="C552" s="8" t="s">
        <v>478</v>
      </c>
      <c r="D552" s="9" t="str">
        <f>HYPERLINK("https://www.marklines.com/en/global/4125","BYD Automobile Industry Co., Ltd., Shenzhen Plant")</f>
        <v>BYD Automobile Industry Co., Ltd., Shenzhen Plant</v>
      </c>
      <c r="E552" s="8" t="s">
        <v>702</v>
      </c>
      <c r="F552" s="8" t="s">
        <v>25</v>
      </c>
      <c r="G552" s="8" t="s">
        <v>71</v>
      </c>
      <c r="H552" s="8" t="s">
        <v>83</v>
      </c>
      <c r="I552" s="10">
        <v>44875</v>
      </c>
      <c r="J552" s="8" t="s">
        <v>1003</v>
      </c>
    </row>
    <row r="553" spans="1:10" x14ac:dyDescent="0.15">
      <c r="A553" s="7">
        <v>44882</v>
      </c>
      <c r="B553" s="8" t="s">
        <v>478</v>
      </c>
      <c r="C553" s="8" t="s">
        <v>478</v>
      </c>
      <c r="D553" s="9" t="str">
        <f>HYPERLINK("https://www.marklines.com/en/global/4043","BYD Automobile Industry Co., Ltd., Changsha Branch")</f>
        <v>BYD Automobile Industry Co., Ltd., Changsha Branch</v>
      </c>
      <c r="E553" s="8" t="s">
        <v>481</v>
      </c>
      <c r="F553" s="8" t="s">
        <v>25</v>
      </c>
      <c r="G553" s="8" t="s">
        <v>71</v>
      </c>
      <c r="H553" s="8" t="s">
        <v>482</v>
      </c>
      <c r="I553" s="10">
        <v>44875</v>
      </c>
      <c r="J553" s="8" t="s">
        <v>1003</v>
      </c>
    </row>
    <row r="554" spans="1:10" x14ac:dyDescent="0.15">
      <c r="A554" s="7">
        <v>44882</v>
      </c>
      <c r="B554" s="8" t="s">
        <v>478</v>
      </c>
      <c r="C554" s="8" t="s">
        <v>478</v>
      </c>
      <c r="D554" s="9" t="str">
        <f>HYPERLINK("https://www.marklines.com/en/global/9500","BYD Co., Ltd.")</f>
        <v>BYD Co., Ltd.</v>
      </c>
      <c r="E554" s="8" t="s">
        <v>528</v>
      </c>
      <c r="F554" s="8" t="s">
        <v>25</v>
      </c>
      <c r="G554" s="8" t="s">
        <v>71</v>
      </c>
      <c r="H554" s="8" t="s">
        <v>83</v>
      </c>
      <c r="I554" s="10">
        <v>44874</v>
      </c>
      <c r="J554" s="8" t="s">
        <v>1004</v>
      </c>
    </row>
    <row r="555" spans="1:10" x14ac:dyDescent="0.15">
      <c r="A555" s="7">
        <v>44882</v>
      </c>
      <c r="B555" s="8" t="s">
        <v>82</v>
      </c>
      <c r="C555" s="8" t="s">
        <v>82</v>
      </c>
      <c r="D555" s="9" t="str">
        <f>HYPERLINK("https://www.marklines.com/en/global/4075","GAC Motor Co., Ltd. (formerly Guangzhou Automobile Group Motor Co., Ltd.)")</f>
        <v>GAC Motor Co., Ltd. (formerly Guangzhou Automobile Group Motor Co., Ltd.)</v>
      </c>
      <c r="E555" s="8" t="s">
        <v>474</v>
      </c>
      <c r="F555" s="8" t="s">
        <v>25</v>
      </c>
      <c r="G555" s="8" t="s">
        <v>71</v>
      </c>
      <c r="H555" s="8" t="s">
        <v>83</v>
      </c>
      <c r="I555" s="10">
        <v>44873</v>
      </c>
      <c r="J555" s="8" t="s">
        <v>1005</v>
      </c>
    </row>
    <row r="556" spans="1:10" x14ac:dyDescent="0.15">
      <c r="A556" s="7">
        <v>44881</v>
      </c>
      <c r="B556" s="8" t="s">
        <v>57</v>
      </c>
      <c r="C556" s="8" t="s">
        <v>57</v>
      </c>
      <c r="D556" s="9" t="str">
        <f>HYPERLINK("https://www.marklines.com/en/global/9303","Hyundai Thanh Cong Vietnam (HTC), Ninh Binh Plant")</f>
        <v>Hyundai Thanh Cong Vietnam (HTC), Ninh Binh Plant</v>
      </c>
      <c r="E556" s="8" t="s">
        <v>711</v>
      </c>
      <c r="F556" s="8" t="s">
        <v>22</v>
      </c>
      <c r="G556" s="8" t="s">
        <v>712</v>
      </c>
      <c r="H556" s="8"/>
      <c r="I556" s="10">
        <v>44880</v>
      </c>
      <c r="J556" s="8" t="s">
        <v>1006</v>
      </c>
    </row>
    <row r="557" spans="1:10" x14ac:dyDescent="0.15">
      <c r="A557" s="7">
        <v>44881</v>
      </c>
      <c r="B557" s="8" t="s">
        <v>486</v>
      </c>
      <c r="C557" s="8" t="s">
        <v>486</v>
      </c>
      <c r="D557" s="9" t="str">
        <f>HYPERLINK("https://www.marklines.com/en/global/9873","Lucid Motors (Lucid Group, Inc.), Casa Grande plant")</f>
        <v>Lucid Motors (Lucid Group, Inc.), Casa Grande plant</v>
      </c>
      <c r="E557" s="8" t="s">
        <v>487</v>
      </c>
      <c r="F557" s="8" t="s">
        <v>19</v>
      </c>
      <c r="G557" s="8" t="s">
        <v>12</v>
      </c>
      <c r="H557" s="8" t="s">
        <v>469</v>
      </c>
      <c r="I557" s="10">
        <v>44880</v>
      </c>
      <c r="J557" s="8" t="s">
        <v>1007</v>
      </c>
    </row>
    <row r="558" spans="1:10" x14ac:dyDescent="0.15">
      <c r="A558" s="7">
        <v>44881</v>
      </c>
      <c r="B558" s="8" t="s">
        <v>56</v>
      </c>
      <c r="C558" s="8" t="s">
        <v>56</v>
      </c>
      <c r="D558" s="9" t="str">
        <f>HYPERLINK("https://www.marklines.com/en/global/1561","Ford Vietnam Ltd., Hai Duong Plant")</f>
        <v>Ford Vietnam Ltd., Hai Duong Plant</v>
      </c>
      <c r="E558" s="8" t="s">
        <v>1008</v>
      </c>
      <c r="F558" s="8" t="s">
        <v>22</v>
      </c>
      <c r="G558" s="8" t="s">
        <v>712</v>
      </c>
      <c r="H558" s="8"/>
      <c r="I558" s="10">
        <v>44876</v>
      </c>
      <c r="J558" s="8" t="s">
        <v>1009</v>
      </c>
    </row>
    <row r="559" spans="1:10" x14ac:dyDescent="0.15">
      <c r="A559" s="7">
        <v>44881</v>
      </c>
      <c r="B559" s="8" t="s">
        <v>56</v>
      </c>
      <c r="C559" s="8" t="s">
        <v>56</v>
      </c>
      <c r="D559" s="9" t="str">
        <f>HYPERLINK("https://www.marklines.com/en/global/1989","AutoAlliance (Thailand), Rayong Plant (1st Line)")</f>
        <v>AutoAlliance (Thailand), Rayong Plant (1st Line)</v>
      </c>
      <c r="E559" s="8" t="s">
        <v>544</v>
      </c>
      <c r="F559" s="8" t="s">
        <v>22</v>
      </c>
      <c r="G559" s="8" t="s">
        <v>514</v>
      </c>
      <c r="H559" s="8" t="s">
        <v>545</v>
      </c>
      <c r="I559" s="10">
        <v>44876</v>
      </c>
      <c r="J559" s="8" t="s">
        <v>1009</v>
      </c>
    </row>
    <row r="560" spans="1:10" x14ac:dyDescent="0.15">
      <c r="A560" s="7">
        <v>44881</v>
      </c>
      <c r="B560" s="8" t="s">
        <v>56</v>
      </c>
      <c r="C560" s="8" t="s">
        <v>56</v>
      </c>
      <c r="D560" s="9" t="str">
        <f>HYPERLINK("https://www.marklines.com/en/global/1985","Ford Thailand Manufacturing (FTM), Rayong Plant")</f>
        <v>Ford Thailand Manufacturing (FTM), Rayong Plant</v>
      </c>
      <c r="E560" s="8" t="s">
        <v>547</v>
      </c>
      <c r="F560" s="8" t="s">
        <v>22</v>
      </c>
      <c r="G560" s="8" t="s">
        <v>514</v>
      </c>
      <c r="H560" s="8" t="s">
        <v>545</v>
      </c>
      <c r="I560" s="10">
        <v>44876</v>
      </c>
      <c r="J560" s="8" t="s">
        <v>1009</v>
      </c>
    </row>
    <row r="561" spans="1:10" x14ac:dyDescent="0.15">
      <c r="A561" s="7">
        <v>44881</v>
      </c>
      <c r="B561" s="8" t="s">
        <v>56</v>
      </c>
      <c r="C561" s="8" t="s">
        <v>56</v>
      </c>
      <c r="D561" s="9" t="str">
        <f>HYPERLINK("https://www.marklines.com/en/global/2777","Ford Motor Argentina, Pacheco Plant")</f>
        <v>Ford Motor Argentina, Pacheco Plant</v>
      </c>
      <c r="E561" s="8" t="s">
        <v>801</v>
      </c>
      <c r="F561" s="8" t="s">
        <v>24</v>
      </c>
      <c r="G561" s="8" t="s">
        <v>18</v>
      </c>
      <c r="H561" s="8"/>
      <c r="I561" s="10">
        <v>44876</v>
      </c>
      <c r="J561" s="8" t="s">
        <v>1009</v>
      </c>
    </row>
    <row r="562" spans="1:10" x14ac:dyDescent="0.15">
      <c r="A562" s="7">
        <v>44881</v>
      </c>
      <c r="B562" s="8" t="s">
        <v>56</v>
      </c>
      <c r="C562" s="8" t="s">
        <v>56</v>
      </c>
      <c r="D562" s="9" t="str">
        <f>HYPERLINK("https://www.marklines.com/en/global/2569","Ford Motor, Michigan Assembly Plant")</f>
        <v>Ford Motor, Michigan Assembly Plant</v>
      </c>
      <c r="E562" s="8" t="s">
        <v>1010</v>
      </c>
      <c r="F562" s="8" t="s">
        <v>19</v>
      </c>
      <c r="G562" s="8" t="s">
        <v>12</v>
      </c>
      <c r="H562" s="8" t="s">
        <v>13</v>
      </c>
      <c r="I562" s="10">
        <v>44876</v>
      </c>
      <c r="J562" s="8" t="s">
        <v>1009</v>
      </c>
    </row>
    <row r="563" spans="1:10" x14ac:dyDescent="0.15">
      <c r="A563" s="7">
        <v>44881</v>
      </c>
      <c r="B563" s="8" t="s">
        <v>56</v>
      </c>
      <c r="C563" s="8" t="s">
        <v>56</v>
      </c>
      <c r="D563" s="9" t="str">
        <f>HYPERLINK("https://www.marklines.com/en/global/615","Ford South Africa, Struandale Engine Plant")</f>
        <v>Ford South Africa, Struandale Engine Plant</v>
      </c>
      <c r="E563" s="8" t="s">
        <v>1011</v>
      </c>
      <c r="F563" s="8" t="s">
        <v>129</v>
      </c>
      <c r="G563" s="8" t="s">
        <v>130</v>
      </c>
      <c r="H563" s="8"/>
      <c r="I563" s="10">
        <v>44876</v>
      </c>
      <c r="J563" s="8" t="s">
        <v>1009</v>
      </c>
    </row>
    <row r="564" spans="1:10" x14ac:dyDescent="0.15">
      <c r="A564" s="7">
        <v>44881</v>
      </c>
      <c r="B564" s="8" t="s">
        <v>56</v>
      </c>
      <c r="C564" s="8" t="s">
        <v>56</v>
      </c>
      <c r="D564" s="9" t="str">
        <f>HYPERLINK("https://www.marklines.com/en/global/613","Ford South Africa, Silverton Assembly Plant")</f>
        <v>Ford South Africa, Silverton Assembly Plant</v>
      </c>
      <c r="E564" s="8" t="s">
        <v>128</v>
      </c>
      <c r="F564" s="8" t="s">
        <v>129</v>
      </c>
      <c r="G564" s="8" t="s">
        <v>130</v>
      </c>
      <c r="H564" s="8"/>
      <c r="I564" s="10">
        <v>44876</v>
      </c>
      <c r="J564" s="8" t="s">
        <v>1009</v>
      </c>
    </row>
    <row r="565" spans="1:10" x14ac:dyDescent="0.15">
      <c r="A565" s="7">
        <v>44880</v>
      </c>
      <c r="B565" s="8" t="s">
        <v>27</v>
      </c>
      <c r="C565" s="8" t="s">
        <v>27</v>
      </c>
      <c r="D565" s="9" t="str">
        <f>HYPERLINK("https://www.marklines.com/en/global/10495","BMW Brilliance Automotive Ltd. Lydia Plant (formerly Tiexi New Plant (Lydia Project))")</f>
        <v>BMW Brilliance Automotive Ltd. Lydia Plant (formerly Tiexi New Plant (Lydia Project))</v>
      </c>
      <c r="E565" s="8" t="s">
        <v>1012</v>
      </c>
      <c r="F565" s="8" t="s">
        <v>25</v>
      </c>
      <c r="G565" s="8" t="s">
        <v>71</v>
      </c>
      <c r="H565" s="8" t="s">
        <v>84</v>
      </c>
      <c r="I565" s="10">
        <v>44880</v>
      </c>
      <c r="J565" s="8" t="s">
        <v>1013</v>
      </c>
    </row>
    <row r="566" spans="1:10" x14ac:dyDescent="0.15">
      <c r="A566" s="7">
        <v>44880</v>
      </c>
      <c r="B566" s="8" t="s">
        <v>27</v>
      </c>
      <c r="C566" s="8" t="s">
        <v>27</v>
      </c>
      <c r="D566" s="9" t="str">
        <f>HYPERLINK("https://www.marklines.com/en/global/9255","BMW Mexico, San Luis Potosi Plant")</f>
        <v>BMW Mexico, San Luis Potosi Plant</v>
      </c>
      <c r="E566" s="8" t="s">
        <v>1014</v>
      </c>
      <c r="F566" s="8" t="s">
        <v>19</v>
      </c>
      <c r="G566" s="8" t="s">
        <v>47</v>
      </c>
      <c r="H566" s="8"/>
      <c r="I566" s="10">
        <v>44880</v>
      </c>
      <c r="J566" s="8" t="s">
        <v>1013</v>
      </c>
    </row>
    <row r="567" spans="1:10" x14ac:dyDescent="0.15">
      <c r="A567" s="7">
        <v>44880</v>
      </c>
      <c r="B567" s="8" t="s">
        <v>27</v>
      </c>
      <c r="C567" s="8" t="s">
        <v>27</v>
      </c>
      <c r="D567" s="9" t="str">
        <f>HYPERLINK("https://www.marklines.com/en/global/3045","BMW Manufacturing Co., Spartanburg Plant")</f>
        <v>BMW Manufacturing Co., Spartanburg Plant</v>
      </c>
      <c r="E567" s="8" t="s">
        <v>181</v>
      </c>
      <c r="F567" s="8" t="s">
        <v>19</v>
      </c>
      <c r="G567" s="8" t="s">
        <v>12</v>
      </c>
      <c r="H567" s="8" t="s">
        <v>144</v>
      </c>
      <c r="I567" s="10">
        <v>44880</v>
      </c>
      <c r="J567" s="8" t="s">
        <v>1013</v>
      </c>
    </row>
    <row r="568" spans="1:10" x14ac:dyDescent="0.15">
      <c r="A568" s="7">
        <v>44880</v>
      </c>
      <c r="B568" s="8" t="s">
        <v>27</v>
      </c>
      <c r="C568" s="8" t="s">
        <v>27</v>
      </c>
      <c r="D568" s="9" t="str">
        <f>HYPERLINK("https://www.marklines.com/en/global/3377","BMW Brilliance Automotive Limited (BBA), Tiexi Plant ")</f>
        <v xml:space="preserve">BMW Brilliance Automotive Limited (BBA), Tiexi Plant </v>
      </c>
      <c r="E568" s="8" t="s">
        <v>1015</v>
      </c>
      <c r="F568" s="8" t="s">
        <v>25</v>
      </c>
      <c r="G568" s="8" t="s">
        <v>71</v>
      </c>
      <c r="H568" s="8" t="s">
        <v>84</v>
      </c>
      <c r="I568" s="10">
        <v>44880</v>
      </c>
      <c r="J568" s="8" t="s">
        <v>1013</v>
      </c>
    </row>
    <row r="569" spans="1:10" x14ac:dyDescent="0.15">
      <c r="A569" s="7">
        <v>44880</v>
      </c>
      <c r="B569" s="8" t="s">
        <v>27</v>
      </c>
      <c r="C569" s="8" t="s">
        <v>27</v>
      </c>
      <c r="D569" s="9" t="str">
        <f>HYPERLINK("https://www.marklines.com/en/global/3375","BMW Brilliance Automotive Limited (BBA), Dadong Plant")</f>
        <v>BMW Brilliance Automotive Limited (BBA), Dadong Plant</v>
      </c>
      <c r="E569" s="8" t="s">
        <v>1016</v>
      </c>
      <c r="F569" s="8" t="s">
        <v>25</v>
      </c>
      <c r="G569" s="8" t="s">
        <v>71</v>
      </c>
      <c r="H569" s="8" t="s">
        <v>84</v>
      </c>
      <c r="I569" s="10">
        <v>44880</v>
      </c>
      <c r="J569" s="8" t="s">
        <v>1013</v>
      </c>
    </row>
    <row r="570" spans="1:10" x14ac:dyDescent="0.15">
      <c r="A570" s="7">
        <v>44880</v>
      </c>
      <c r="B570" s="8" t="s">
        <v>15</v>
      </c>
      <c r="C570" s="8" t="s">
        <v>15</v>
      </c>
      <c r="D570" s="9" t="str">
        <f>HYPERLINK("https://www.marklines.com/en/global/9602","OOO Motorinvest, Lipetsk Plant (formerly Changan Automobile, Lipetsk Plant)")</f>
        <v>OOO Motorinvest, Lipetsk Plant (formerly Changan Automobile, Lipetsk Plant)</v>
      </c>
      <c r="E570" s="8" t="s">
        <v>1017</v>
      </c>
      <c r="F570" s="8" t="s">
        <v>21</v>
      </c>
      <c r="G570" s="8" t="s">
        <v>16</v>
      </c>
      <c r="H570" s="8"/>
      <c r="I570" s="10">
        <v>44880</v>
      </c>
      <c r="J570" s="8" t="s">
        <v>1018</v>
      </c>
    </row>
    <row r="571" spans="1:10" x14ac:dyDescent="0.15">
      <c r="A571" s="7">
        <v>44880</v>
      </c>
      <c r="B571" s="8" t="s">
        <v>27</v>
      </c>
      <c r="C571" s="8" t="s">
        <v>27</v>
      </c>
      <c r="D571" s="9" t="str">
        <f>HYPERLINK("https://www.marklines.com/en/global/3045","BMW Manufacturing Co., Spartanburg Plant")</f>
        <v>BMW Manufacturing Co., Spartanburg Plant</v>
      </c>
      <c r="E571" s="8" t="s">
        <v>181</v>
      </c>
      <c r="F571" s="8" t="s">
        <v>19</v>
      </c>
      <c r="G571" s="8" t="s">
        <v>12</v>
      </c>
      <c r="H571" s="8" t="s">
        <v>144</v>
      </c>
      <c r="I571" s="10">
        <v>44879</v>
      </c>
      <c r="J571" s="8" t="s">
        <v>1019</v>
      </c>
    </row>
    <row r="572" spans="1:10" x14ac:dyDescent="0.15">
      <c r="A572" s="7">
        <v>44880</v>
      </c>
      <c r="B572" s="8" t="s">
        <v>1020</v>
      </c>
      <c r="C572" s="8" t="s">
        <v>1020</v>
      </c>
      <c r="D572" s="9" t="str">
        <f>HYPERLINK("https://www.marklines.com/en/global/9603","Faraday Future Intelligent Electric Inc., Hanford Plant (FF ieFactory California)")</f>
        <v>Faraday Future Intelligent Electric Inc., Hanford Plant (FF ieFactory California)</v>
      </c>
      <c r="E572" s="8" t="s">
        <v>1021</v>
      </c>
      <c r="F572" s="8" t="s">
        <v>19</v>
      </c>
      <c r="G572" s="8" t="s">
        <v>12</v>
      </c>
      <c r="H572" s="8" t="s">
        <v>608</v>
      </c>
      <c r="I572" s="10">
        <v>44879</v>
      </c>
      <c r="J572" s="8" t="s">
        <v>1022</v>
      </c>
    </row>
    <row r="573" spans="1:10" x14ac:dyDescent="0.15">
      <c r="A573" s="7">
        <v>44880</v>
      </c>
      <c r="B573" s="8" t="s">
        <v>73</v>
      </c>
      <c r="C573" s="8" t="s">
        <v>74</v>
      </c>
      <c r="D573" s="9" t="str">
        <f>HYPERLINK("https://www.marklines.com/en/global/2829","Daimler Truck, São Bernardo do Campo Plant, Mercedes-Benz do Brasil Ltda. ")</f>
        <v xml:space="preserve">Daimler Truck, São Bernardo do Campo Plant, Mercedes-Benz do Brasil Ltda. </v>
      </c>
      <c r="E573" s="8" t="s">
        <v>75</v>
      </c>
      <c r="F573" s="8" t="s">
        <v>24</v>
      </c>
      <c r="G573" s="8" t="s">
        <v>68</v>
      </c>
      <c r="H573" s="8"/>
      <c r="I573" s="10">
        <v>44878</v>
      </c>
      <c r="J573" s="8" t="s">
        <v>1023</v>
      </c>
    </row>
    <row r="574" spans="1:10" x14ac:dyDescent="0.15">
      <c r="A574" s="7">
        <v>44880</v>
      </c>
      <c r="B574" s="8" t="s">
        <v>11</v>
      </c>
      <c r="C574" s="8" t="s">
        <v>26</v>
      </c>
      <c r="D574" s="9" t="str">
        <f>HYPERLINK("https://www.marklines.com/en/global/10548","CARIAD SE (Wolfsburg)")</f>
        <v>CARIAD SE (Wolfsburg)</v>
      </c>
      <c r="E574" s="8" t="s">
        <v>1024</v>
      </c>
      <c r="F574" s="8" t="s">
        <v>20</v>
      </c>
      <c r="G574" s="8" t="s">
        <v>29</v>
      </c>
      <c r="H574" s="8"/>
      <c r="I574" s="10">
        <v>44876</v>
      </c>
      <c r="J574" s="8" t="s">
        <v>1025</v>
      </c>
    </row>
    <row r="575" spans="1:10" x14ac:dyDescent="0.15">
      <c r="A575" s="7">
        <v>44880</v>
      </c>
      <c r="B575" s="8" t="s">
        <v>38</v>
      </c>
      <c r="C575" s="8" t="s">
        <v>38</v>
      </c>
      <c r="D575" s="9" t="str">
        <f>HYPERLINK("https://www.marklines.com/en/global/8751","MAZDA SOLLERS Manufacturing Rus (MSMR), Vladivostok Plant")</f>
        <v>MAZDA SOLLERS Manufacturing Rus (MSMR), Vladivostok Plant</v>
      </c>
      <c r="E575" s="8" t="s">
        <v>1026</v>
      </c>
      <c r="F575" s="8" t="s">
        <v>21</v>
      </c>
      <c r="G575" s="8" t="s">
        <v>16</v>
      </c>
      <c r="H575" s="8"/>
      <c r="I575" s="10">
        <v>44876</v>
      </c>
      <c r="J575" s="8" t="s">
        <v>1027</v>
      </c>
    </row>
    <row r="576" spans="1:10" x14ac:dyDescent="0.15">
      <c r="A576" s="7">
        <v>44880</v>
      </c>
      <c r="B576" s="8" t="s">
        <v>15</v>
      </c>
      <c r="C576" s="8" t="s">
        <v>135</v>
      </c>
      <c r="D576" s="9" t="str">
        <f>HYPERLINK("https://www.marklines.com/en/global/8751","MAZDA SOLLERS Manufacturing Rus (MSMR), Vladivostok Plant")</f>
        <v>MAZDA SOLLERS Manufacturing Rus (MSMR), Vladivostok Plant</v>
      </c>
      <c r="E576" s="8" t="s">
        <v>1026</v>
      </c>
      <c r="F576" s="8" t="s">
        <v>21</v>
      </c>
      <c r="G576" s="8" t="s">
        <v>16</v>
      </c>
      <c r="H576" s="8"/>
      <c r="I576" s="10">
        <v>44876</v>
      </c>
      <c r="J576" s="8" t="s">
        <v>1027</v>
      </c>
    </row>
    <row r="577" spans="1:10" x14ac:dyDescent="0.15">
      <c r="A577" s="7">
        <v>44880</v>
      </c>
      <c r="B577" s="8" t="s">
        <v>73</v>
      </c>
      <c r="C577" s="8" t="s">
        <v>1028</v>
      </c>
      <c r="D577" s="9" t="str">
        <f>HYPERLINK("https://www.marklines.com/en/global/3073","Western Star Trucks, Portland Plant")</f>
        <v>Western Star Trucks, Portland Plant</v>
      </c>
      <c r="E577" s="8" t="s">
        <v>1029</v>
      </c>
      <c r="F577" s="8" t="s">
        <v>19</v>
      </c>
      <c r="G577" s="8" t="s">
        <v>12</v>
      </c>
      <c r="H577" s="8" t="s">
        <v>1030</v>
      </c>
      <c r="I577" s="10">
        <v>44876</v>
      </c>
      <c r="J577" s="8" t="s">
        <v>1031</v>
      </c>
    </row>
    <row r="578" spans="1:10" x14ac:dyDescent="0.15">
      <c r="A578" s="7">
        <v>44880</v>
      </c>
      <c r="B578" s="8" t="s">
        <v>38</v>
      </c>
      <c r="C578" s="8" t="s">
        <v>38</v>
      </c>
      <c r="D578" s="9" t="str">
        <f>HYPERLINK("https://www.marklines.com/en/global/8751","MAZDA SOLLERS Manufacturing Rus (MSMR), Vladivostok Plant")</f>
        <v>MAZDA SOLLERS Manufacturing Rus (MSMR), Vladivostok Plant</v>
      </c>
      <c r="E578" s="8" t="s">
        <v>1026</v>
      </c>
      <c r="F578" s="8" t="s">
        <v>21</v>
      </c>
      <c r="G578" s="8" t="s">
        <v>16</v>
      </c>
      <c r="H578" s="8"/>
      <c r="I578" s="10">
        <v>44875</v>
      </c>
      <c r="J578" s="8" t="s">
        <v>1032</v>
      </c>
    </row>
    <row r="579" spans="1:10" x14ac:dyDescent="0.15">
      <c r="A579" s="7">
        <v>44880</v>
      </c>
      <c r="B579" s="8" t="s">
        <v>15</v>
      </c>
      <c r="C579" s="8" t="s">
        <v>135</v>
      </c>
      <c r="D579" s="9" t="str">
        <f>HYPERLINK("https://www.marklines.com/en/global/8751","MAZDA SOLLERS Manufacturing Rus (MSMR), Vladivostok Plant")</f>
        <v>MAZDA SOLLERS Manufacturing Rus (MSMR), Vladivostok Plant</v>
      </c>
      <c r="E579" s="8" t="s">
        <v>1026</v>
      </c>
      <c r="F579" s="8" t="s">
        <v>21</v>
      </c>
      <c r="G579" s="8" t="s">
        <v>16</v>
      </c>
      <c r="H579" s="8"/>
      <c r="I579" s="10">
        <v>44875</v>
      </c>
      <c r="J579" s="8" t="s">
        <v>1032</v>
      </c>
    </row>
    <row r="580" spans="1:10" x14ac:dyDescent="0.15">
      <c r="A580" s="7">
        <v>44880</v>
      </c>
      <c r="B580" s="8" t="s">
        <v>79</v>
      </c>
      <c r="C580" s="8" t="s">
        <v>79</v>
      </c>
      <c r="D580" s="9" t="str">
        <f>HYPERLINK("https://www.marklines.com/en/global/4163","Chongqing Changan Automobile Co., Ltd.")</f>
        <v>Chongqing Changan Automobile Co., Ltd.</v>
      </c>
      <c r="E580" s="8" t="s">
        <v>80</v>
      </c>
      <c r="F580" s="8" t="s">
        <v>25</v>
      </c>
      <c r="G580" s="8" t="s">
        <v>71</v>
      </c>
      <c r="H580" s="8" t="s">
        <v>81</v>
      </c>
      <c r="I580" s="10">
        <v>44874</v>
      </c>
      <c r="J580" s="8" t="s">
        <v>1033</v>
      </c>
    </row>
    <row r="581" spans="1:10" x14ac:dyDescent="0.15">
      <c r="A581" s="7">
        <v>44880</v>
      </c>
      <c r="B581" s="8" t="s">
        <v>79</v>
      </c>
      <c r="C581" s="8" t="s">
        <v>79</v>
      </c>
      <c r="D581" s="9" t="str">
        <f>HYPERLINK("https://www.marklines.com/en/global/9875","Chongqing Changan New Energy Vehicle Technology Co., Ltd.")</f>
        <v>Chongqing Changan New Energy Vehicle Technology Co., Ltd.</v>
      </c>
      <c r="E581" s="8" t="s">
        <v>1034</v>
      </c>
      <c r="F581" s="8" t="s">
        <v>25</v>
      </c>
      <c r="G581" s="8" t="s">
        <v>71</v>
      </c>
      <c r="H581" s="8" t="s">
        <v>81</v>
      </c>
      <c r="I581" s="10">
        <v>44874</v>
      </c>
      <c r="J581" s="8" t="s">
        <v>1033</v>
      </c>
    </row>
    <row r="582" spans="1:10" x14ac:dyDescent="0.15">
      <c r="A582" s="7">
        <v>44880</v>
      </c>
      <c r="B582" s="8" t="s">
        <v>100</v>
      </c>
      <c r="C582" s="8" t="s">
        <v>902</v>
      </c>
      <c r="D582" s="9" t="str">
        <f>HYPERLINK("https://www.marklines.com/en/global/9598","SAIC MAXUS Automotive Co., Ltd. Nanjing Branch")</f>
        <v>SAIC MAXUS Automotive Co., Ltd. Nanjing Branch</v>
      </c>
      <c r="E582" s="8" t="s">
        <v>903</v>
      </c>
      <c r="F582" s="8" t="s">
        <v>25</v>
      </c>
      <c r="G582" s="8" t="s">
        <v>71</v>
      </c>
      <c r="H582" s="8" t="s">
        <v>351</v>
      </c>
      <c r="I582" s="10">
        <v>44872</v>
      </c>
      <c r="J582" s="8" t="s">
        <v>1035</v>
      </c>
    </row>
    <row r="583" spans="1:10" x14ac:dyDescent="0.15">
      <c r="A583" s="7">
        <v>44880</v>
      </c>
      <c r="B583" s="8" t="s">
        <v>76</v>
      </c>
      <c r="C583" s="8" t="s">
        <v>954</v>
      </c>
      <c r="D583" s="9" t="str">
        <f>HYPERLINK("https://www.marklines.com/en/global/10480","Chongqing Livan Automobile Manufacturing Co., Ltd. Beibei Branch (formerly Chongqing Lifan Passenger Vehicle Co., Ltd. Beibei Branch)")</f>
        <v>Chongqing Livan Automobile Manufacturing Co., Ltd. Beibei Branch (formerly Chongqing Lifan Passenger Vehicle Co., Ltd. Beibei Branch)</v>
      </c>
      <c r="E583" s="8" t="s">
        <v>955</v>
      </c>
      <c r="F583" s="8" t="s">
        <v>25</v>
      </c>
      <c r="G583" s="8" t="s">
        <v>71</v>
      </c>
      <c r="H583" s="8" t="s">
        <v>81</v>
      </c>
      <c r="I583" s="10">
        <v>44869</v>
      </c>
      <c r="J583" s="8" t="s">
        <v>1036</v>
      </c>
    </row>
    <row r="584" spans="1:10" x14ac:dyDescent="0.15">
      <c r="A584" s="7">
        <v>44880</v>
      </c>
      <c r="B584" s="8" t="s">
        <v>11</v>
      </c>
      <c r="C584" s="8" t="s">
        <v>26</v>
      </c>
      <c r="D584" s="9" t="str">
        <f>HYPERLINK("https://www.marklines.com/en/global/10548","CARIAD SE (Wolfsburg)")</f>
        <v>CARIAD SE (Wolfsburg)</v>
      </c>
      <c r="E584" s="8" t="s">
        <v>1024</v>
      </c>
      <c r="F584" s="8" t="s">
        <v>20</v>
      </c>
      <c r="G584" s="8" t="s">
        <v>29</v>
      </c>
      <c r="H584" s="8"/>
      <c r="I584" s="10">
        <v>44860</v>
      </c>
      <c r="J584" s="8" t="s">
        <v>1037</v>
      </c>
    </row>
    <row r="585" spans="1:10" x14ac:dyDescent="0.15">
      <c r="A585" s="7">
        <v>44880</v>
      </c>
      <c r="B585" s="8" t="s">
        <v>11</v>
      </c>
      <c r="C585" s="8" t="s">
        <v>26</v>
      </c>
      <c r="D585" s="9" t="str">
        <f>HYPERLINK("https://www.marklines.com/en/global/10548","CARIAD SE (Wolfsburg)")</f>
        <v>CARIAD SE (Wolfsburg)</v>
      </c>
      <c r="E585" s="8" t="s">
        <v>1024</v>
      </c>
      <c r="F585" s="8" t="s">
        <v>20</v>
      </c>
      <c r="G585" s="8" t="s">
        <v>29</v>
      </c>
      <c r="H585" s="8"/>
      <c r="I585" s="10">
        <v>44847</v>
      </c>
      <c r="J585" s="8" t="s">
        <v>1038</v>
      </c>
    </row>
    <row r="586" spans="1:10" x14ac:dyDescent="0.15">
      <c r="A586" s="7">
        <v>44879</v>
      </c>
      <c r="B586" s="8" t="s">
        <v>15</v>
      </c>
      <c r="C586" s="8" t="s">
        <v>1039</v>
      </c>
      <c r="D586" s="9" t="str">
        <f>HYPERLINK("https://www.marklines.com/en/global/1436","Otokar Otobus Karoseri Sanayi A.S., Sakarya Plant")</f>
        <v>Otokar Otobus Karoseri Sanayi A.S., Sakarya Plant</v>
      </c>
      <c r="E586" s="8" t="s">
        <v>1040</v>
      </c>
      <c r="F586" s="8" t="s">
        <v>295</v>
      </c>
      <c r="G586" s="8" t="s">
        <v>296</v>
      </c>
      <c r="H586" s="8"/>
      <c r="I586" s="10">
        <v>44879</v>
      </c>
      <c r="J586" s="8" t="s">
        <v>1041</v>
      </c>
    </row>
    <row r="587" spans="1:10" x14ac:dyDescent="0.15">
      <c r="A587" s="7">
        <v>44879</v>
      </c>
      <c r="B587" s="8" t="s">
        <v>57</v>
      </c>
      <c r="C587" s="8" t="s">
        <v>57</v>
      </c>
      <c r="D587" s="9" t="str">
        <f>HYPERLINK("https://www.marklines.com/en/global/2437","Hyundai Motor, Asan Plant")</f>
        <v>Hyundai Motor, Asan Plant</v>
      </c>
      <c r="E587" s="8" t="s">
        <v>1042</v>
      </c>
      <c r="F587" s="8" t="s">
        <v>25</v>
      </c>
      <c r="G587" s="8" t="s">
        <v>411</v>
      </c>
      <c r="H587" s="8"/>
      <c r="I587" s="10">
        <v>44879</v>
      </c>
      <c r="J587" s="8" t="s">
        <v>1043</v>
      </c>
    </row>
    <row r="588" spans="1:10" x14ac:dyDescent="0.15">
      <c r="A588" s="7">
        <v>44879</v>
      </c>
      <c r="B588" s="8" t="s">
        <v>1044</v>
      </c>
      <c r="C588" s="8" t="s">
        <v>1045</v>
      </c>
      <c r="D588" s="9" t="str">
        <f>HYPERLINK("https://www.marklines.com/en/global/1209","Mahindra, Zaheerabad Plant")</f>
        <v>Mahindra, Zaheerabad Plant</v>
      </c>
      <c r="E588" s="8" t="s">
        <v>1046</v>
      </c>
      <c r="F588" s="8" t="s">
        <v>69</v>
      </c>
      <c r="G588" s="8" t="s">
        <v>70</v>
      </c>
      <c r="H588" s="8" t="s">
        <v>1047</v>
      </c>
      <c r="I588" s="10">
        <v>44876</v>
      </c>
      <c r="J588" s="8" t="s">
        <v>1048</v>
      </c>
    </row>
    <row r="589" spans="1:10" x14ac:dyDescent="0.15">
      <c r="A589" s="7">
        <v>44879</v>
      </c>
      <c r="B589" s="8" t="s">
        <v>1044</v>
      </c>
      <c r="C589" s="8" t="s">
        <v>1045</v>
      </c>
      <c r="D589" s="9" t="str">
        <f>HYPERLINK("https://www.marklines.com/en/global/1203","Mahindra, Kandivali Plant")</f>
        <v>Mahindra, Kandivali Plant</v>
      </c>
      <c r="E589" s="8" t="s">
        <v>1049</v>
      </c>
      <c r="F589" s="8" t="s">
        <v>69</v>
      </c>
      <c r="G589" s="8" t="s">
        <v>70</v>
      </c>
      <c r="H589" s="8" t="s">
        <v>99</v>
      </c>
      <c r="I589" s="10">
        <v>44876</v>
      </c>
      <c r="J589" s="8" t="s">
        <v>1048</v>
      </c>
    </row>
    <row r="590" spans="1:10" x14ac:dyDescent="0.15">
      <c r="A590" s="7">
        <v>44879</v>
      </c>
      <c r="B590" s="8" t="s">
        <v>1044</v>
      </c>
      <c r="C590" s="8" t="s">
        <v>1045</v>
      </c>
      <c r="D590" s="9" t="str">
        <f>HYPERLINK("https://www.marklines.com/en/global/1201","Mahindra, Chakan Plant")</f>
        <v>Mahindra, Chakan Plant</v>
      </c>
      <c r="E590" s="8" t="s">
        <v>1050</v>
      </c>
      <c r="F590" s="8" t="s">
        <v>69</v>
      </c>
      <c r="G590" s="8" t="s">
        <v>70</v>
      </c>
      <c r="H590" s="8" t="s">
        <v>99</v>
      </c>
      <c r="I590" s="10">
        <v>44876</v>
      </c>
      <c r="J590" s="8" t="s">
        <v>1048</v>
      </c>
    </row>
    <row r="591" spans="1:10" x14ac:dyDescent="0.15">
      <c r="A591" s="7">
        <v>44879</v>
      </c>
      <c r="B591" s="8" t="s">
        <v>1044</v>
      </c>
      <c r="C591" s="8" t="s">
        <v>1045</v>
      </c>
      <c r="D591" s="9" t="str">
        <f>HYPERLINK("https://www.marklines.com/en/global/1211","Mahindra, Haridwar Plant")</f>
        <v>Mahindra, Haridwar Plant</v>
      </c>
      <c r="E591" s="8" t="s">
        <v>1051</v>
      </c>
      <c r="F591" s="8" t="s">
        <v>69</v>
      </c>
      <c r="G591" s="8" t="s">
        <v>70</v>
      </c>
      <c r="H591" s="8" t="s">
        <v>362</v>
      </c>
      <c r="I591" s="10">
        <v>44876</v>
      </c>
      <c r="J591" s="8" t="s">
        <v>1048</v>
      </c>
    </row>
    <row r="592" spans="1:10" x14ac:dyDescent="0.15">
      <c r="A592" s="7">
        <v>44879</v>
      </c>
      <c r="B592" s="8" t="s">
        <v>1044</v>
      </c>
      <c r="C592" s="8" t="s">
        <v>1045</v>
      </c>
      <c r="D592" s="9" t="str">
        <f>HYPERLINK("https://www.marklines.com/en/global/1205","Mahindra, Nashik (Satpur) Plant")</f>
        <v>Mahindra, Nashik (Satpur) Plant</v>
      </c>
      <c r="E592" s="8" t="s">
        <v>1052</v>
      </c>
      <c r="F592" s="8" t="s">
        <v>69</v>
      </c>
      <c r="G592" s="8" t="s">
        <v>70</v>
      </c>
      <c r="H592" s="8" t="s">
        <v>99</v>
      </c>
      <c r="I592" s="10">
        <v>44876</v>
      </c>
      <c r="J592" s="8" t="s">
        <v>1048</v>
      </c>
    </row>
    <row r="593" spans="1:10" x14ac:dyDescent="0.15">
      <c r="A593" s="7">
        <v>44879</v>
      </c>
      <c r="B593" s="8" t="s">
        <v>30</v>
      </c>
      <c r="C593" s="8" t="s">
        <v>30</v>
      </c>
      <c r="D593" s="9" t="str">
        <f>HYPERLINK("https://www.marklines.com/en/global/795","Limited Liability Company ""TOYOTA MOTOR"" in Saint-Petersburg (TMR-SP), St.Petersburg Plant")</f>
        <v>Limited Liability Company "TOYOTA MOTOR" in Saint-Petersburg (TMR-SP), St.Petersburg Plant</v>
      </c>
      <c r="E593" s="8" t="s">
        <v>723</v>
      </c>
      <c r="F593" s="8" t="s">
        <v>21</v>
      </c>
      <c r="G593" s="8" t="s">
        <v>16</v>
      </c>
      <c r="H593" s="8"/>
      <c r="I593" s="10">
        <v>44876</v>
      </c>
      <c r="J593" s="8" t="s">
        <v>1053</v>
      </c>
    </row>
    <row r="594" spans="1:10" x14ac:dyDescent="0.15">
      <c r="A594" s="7">
        <v>44879</v>
      </c>
      <c r="B594" s="8" t="s">
        <v>76</v>
      </c>
      <c r="C594" s="8" t="s">
        <v>1054</v>
      </c>
      <c r="D594" s="9" t="str">
        <f>HYPERLINK("https://www.marklines.com/en/global/3681","Shandong TKing Ouling Automobile Manufacture Co., Ltd.")</f>
        <v>Shandong TKing Ouling Automobile Manufacture Co., Ltd.</v>
      </c>
      <c r="E594" s="8" t="s">
        <v>1055</v>
      </c>
      <c r="F594" s="8" t="s">
        <v>25</v>
      </c>
      <c r="G594" s="8" t="s">
        <v>71</v>
      </c>
      <c r="H594" s="8" t="s">
        <v>104</v>
      </c>
      <c r="I594" s="10">
        <v>44874</v>
      </c>
      <c r="J594" s="8" t="s">
        <v>1056</v>
      </c>
    </row>
    <row r="595" spans="1:10" x14ac:dyDescent="0.15">
      <c r="A595" s="7">
        <v>44879</v>
      </c>
      <c r="B595" s="8" t="s">
        <v>683</v>
      </c>
      <c r="C595" s="8" t="s">
        <v>683</v>
      </c>
      <c r="D595" s="9" t="str">
        <f>HYPERLINK("https://www.marklines.com/en/global/9485","Guangzhou Xiaopeng Motors Technology Co., Ltd. ")</f>
        <v xml:space="preserve">Guangzhou Xiaopeng Motors Technology Co., Ltd. </v>
      </c>
      <c r="E595" s="8" t="s">
        <v>848</v>
      </c>
      <c r="F595" s="8" t="s">
        <v>25</v>
      </c>
      <c r="G595" s="8" t="s">
        <v>71</v>
      </c>
      <c r="H595" s="8" t="s">
        <v>83</v>
      </c>
      <c r="I595" s="10">
        <v>44873</v>
      </c>
      <c r="J595" s="8" t="s">
        <v>1057</v>
      </c>
    </row>
    <row r="596" spans="1:10" x14ac:dyDescent="0.15">
      <c r="A596" s="7">
        <v>44879</v>
      </c>
      <c r="B596" s="8" t="s">
        <v>76</v>
      </c>
      <c r="C596" s="8" t="s">
        <v>887</v>
      </c>
      <c r="D596" s="9" t="str">
        <f>HYPERLINK("https://www.marklines.com/en/global/9594","Shanxi New Energy Automobile Industry Co., Ltd.")</f>
        <v>Shanxi New Energy Automobile Industry Co., Ltd.</v>
      </c>
      <c r="E596" s="8" t="s">
        <v>835</v>
      </c>
      <c r="F596" s="8" t="s">
        <v>25</v>
      </c>
      <c r="G596" s="8" t="s">
        <v>71</v>
      </c>
      <c r="H596" s="8" t="s">
        <v>836</v>
      </c>
      <c r="I596" s="10">
        <v>44872</v>
      </c>
      <c r="J596" s="8" t="s">
        <v>1058</v>
      </c>
    </row>
    <row r="597" spans="1:10" x14ac:dyDescent="0.15">
      <c r="A597" s="7">
        <v>44879</v>
      </c>
      <c r="B597" s="8" t="s">
        <v>76</v>
      </c>
      <c r="C597" s="8" t="s">
        <v>620</v>
      </c>
      <c r="D597" s="9" t="str">
        <f>HYPERLINK("https://www.marklines.com/en/global/9345","Geely Sichuan Commercial Vehicle Co., Ltd.")</f>
        <v>Geely Sichuan Commercial Vehicle Co., Ltd.</v>
      </c>
      <c r="E597" s="8" t="s">
        <v>621</v>
      </c>
      <c r="F597" s="8" t="s">
        <v>25</v>
      </c>
      <c r="G597" s="8" t="s">
        <v>71</v>
      </c>
      <c r="H597" s="8" t="s">
        <v>367</v>
      </c>
      <c r="I597" s="10">
        <v>44872</v>
      </c>
      <c r="J597" s="8" t="s">
        <v>1059</v>
      </c>
    </row>
    <row r="598" spans="1:10" x14ac:dyDescent="0.15">
      <c r="A598" s="7">
        <v>44877</v>
      </c>
      <c r="B598" s="8" t="s">
        <v>11</v>
      </c>
      <c r="C598" s="8" t="s">
        <v>26</v>
      </c>
      <c r="D598" s="9" t="str">
        <f>HYPERLINK("https://www.marklines.com/en/global/2935","Volkswagen Brazil, Taubate Plant")</f>
        <v>Volkswagen Brazil, Taubate Plant</v>
      </c>
      <c r="E598" s="8" t="s">
        <v>1060</v>
      </c>
      <c r="F598" s="8" t="s">
        <v>24</v>
      </c>
      <c r="G598" s="8" t="s">
        <v>68</v>
      </c>
      <c r="H598" s="8"/>
      <c r="I598" s="10">
        <v>44876</v>
      </c>
      <c r="J598" s="8" t="s">
        <v>1061</v>
      </c>
    </row>
    <row r="599" spans="1:10" x14ac:dyDescent="0.15">
      <c r="A599" s="7">
        <v>44876</v>
      </c>
      <c r="B599" s="8" t="s">
        <v>27</v>
      </c>
      <c r="C599" s="8" t="s">
        <v>27</v>
      </c>
      <c r="D599" s="9" t="str">
        <f>HYPERLINK("https://www.marklines.com/en/global/2209","BMW AG, Regensburg Plant")</f>
        <v>BMW AG, Regensburg Plant</v>
      </c>
      <c r="E599" s="8" t="s">
        <v>863</v>
      </c>
      <c r="F599" s="8" t="s">
        <v>20</v>
      </c>
      <c r="G599" s="8" t="s">
        <v>29</v>
      </c>
      <c r="H599" s="8"/>
      <c r="I599" s="10">
        <v>44876</v>
      </c>
      <c r="J599" s="8" t="s">
        <v>864</v>
      </c>
    </row>
    <row r="600" spans="1:10" x14ac:dyDescent="0.15">
      <c r="A600" s="7">
        <v>44876</v>
      </c>
      <c r="B600" s="8" t="s">
        <v>11</v>
      </c>
      <c r="C600" s="8" t="s">
        <v>176</v>
      </c>
      <c r="D600" s="9" t="str">
        <f>HYPERLINK("https://www.marklines.com/en/global/10394","Jizzakh Automotive Plant LLC (VW)")</f>
        <v>Jizzakh Automotive Plant LLC (VW)</v>
      </c>
      <c r="E600" s="8" t="s">
        <v>865</v>
      </c>
      <c r="F600" s="8" t="s">
        <v>21</v>
      </c>
      <c r="G600" s="8" t="s">
        <v>634</v>
      </c>
      <c r="H600" s="8"/>
      <c r="I600" s="10">
        <v>44875</v>
      </c>
      <c r="J600" s="8" t="s">
        <v>866</v>
      </c>
    </row>
    <row r="601" spans="1:10" x14ac:dyDescent="0.15">
      <c r="A601" s="7">
        <v>44876</v>
      </c>
      <c r="B601" s="8" t="s">
        <v>11</v>
      </c>
      <c r="C601" s="8" t="s">
        <v>176</v>
      </c>
      <c r="D601" s="9" t="str">
        <f>HYPERLINK("https://www.marklines.com/en/global/1837","Eurocar PrJSC, Solomonovo Plant")</f>
        <v>Eurocar PrJSC, Solomonovo Plant</v>
      </c>
      <c r="E601" s="8" t="s">
        <v>867</v>
      </c>
      <c r="F601" s="8" t="s">
        <v>21</v>
      </c>
      <c r="G601" s="8" t="s">
        <v>868</v>
      </c>
      <c r="H601" s="8"/>
      <c r="I601" s="10">
        <v>44875</v>
      </c>
      <c r="J601" s="8" t="s">
        <v>866</v>
      </c>
    </row>
    <row r="602" spans="1:10" x14ac:dyDescent="0.15">
      <c r="A602" s="7">
        <v>44876</v>
      </c>
      <c r="B602" s="8" t="s">
        <v>11</v>
      </c>
      <c r="C602" s="8" t="s">
        <v>176</v>
      </c>
      <c r="D602" s="9" t="str">
        <f>HYPERLINK("https://www.marklines.com/en/global/9096","SAIC Volkswagen Automotive Co., Ltd. Changsha Branch")</f>
        <v>SAIC Volkswagen Automotive Co., Ltd. Changsha Branch</v>
      </c>
      <c r="E602" s="8" t="s">
        <v>869</v>
      </c>
      <c r="F602" s="8" t="s">
        <v>25</v>
      </c>
      <c r="G602" s="8" t="s">
        <v>71</v>
      </c>
      <c r="H602" s="8" t="s">
        <v>482</v>
      </c>
      <c r="I602" s="10">
        <v>44875</v>
      </c>
      <c r="J602" s="8" t="s">
        <v>866</v>
      </c>
    </row>
    <row r="603" spans="1:10" x14ac:dyDescent="0.15">
      <c r="A603" s="7">
        <v>44876</v>
      </c>
      <c r="B603" s="8" t="s">
        <v>11</v>
      </c>
      <c r="C603" s="8" t="s">
        <v>176</v>
      </c>
      <c r="D603" s="9" t="str">
        <f>HYPERLINK("https://www.marklines.com/en/global/1306","ŠKODA AUTO Volkswagen India Pvt. Ltd. (SAVWIPL), Aurangabad Plant (formerly Skoda Auto India, Aurangabad Plant)")</f>
        <v>ŠKODA AUTO Volkswagen India Pvt. Ltd. (SAVWIPL), Aurangabad Plant (formerly Skoda Auto India, Aurangabad Plant)</v>
      </c>
      <c r="E603" s="8" t="s">
        <v>870</v>
      </c>
      <c r="F603" s="8" t="s">
        <v>69</v>
      </c>
      <c r="G603" s="8" t="s">
        <v>70</v>
      </c>
      <c r="H603" s="8" t="s">
        <v>99</v>
      </c>
      <c r="I603" s="10">
        <v>44875</v>
      </c>
      <c r="J603" s="8" t="s">
        <v>866</v>
      </c>
    </row>
    <row r="604" spans="1:10" x14ac:dyDescent="0.15">
      <c r="A604" s="7">
        <v>44876</v>
      </c>
      <c r="B604" s="8" t="s">
        <v>11</v>
      </c>
      <c r="C604" s="8" t="s">
        <v>176</v>
      </c>
      <c r="D604" s="9" t="str">
        <f>HYPERLINK("https://www.marklines.com/en/global/1739","Škoda Auto, Mladá Boleslav Plant")</f>
        <v>Škoda Auto, Mladá Boleslav Plant</v>
      </c>
      <c r="E604" s="8" t="s">
        <v>871</v>
      </c>
      <c r="F604" s="8" t="s">
        <v>21</v>
      </c>
      <c r="G604" s="8" t="s">
        <v>872</v>
      </c>
      <c r="H604" s="8"/>
      <c r="I604" s="10">
        <v>44875</v>
      </c>
      <c r="J604" s="8" t="s">
        <v>866</v>
      </c>
    </row>
    <row r="605" spans="1:10" x14ac:dyDescent="0.15">
      <c r="A605" s="7">
        <v>44876</v>
      </c>
      <c r="B605" s="8" t="s">
        <v>11</v>
      </c>
      <c r="C605" s="8" t="s">
        <v>176</v>
      </c>
      <c r="D605" s="9" t="str">
        <f>HYPERLINK("https://www.marklines.com/en/global/1741","Škoda Auto, Kvasiny Plant")</f>
        <v>Škoda Auto, Kvasiny Plant</v>
      </c>
      <c r="E605" s="8" t="s">
        <v>873</v>
      </c>
      <c r="F605" s="8" t="s">
        <v>21</v>
      </c>
      <c r="G605" s="8" t="s">
        <v>872</v>
      </c>
      <c r="H605" s="8"/>
      <c r="I605" s="10">
        <v>44875</v>
      </c>
      <c r="J605" s="8" t="s">
        <v>866</v>
      </c>
    </row>
    <row r="606" spans="1:10" x14ac:dyDescent="0.15">
      <c r="A606" s="7">
        <v>44876</v>
      </c>
      <c r="B606" s="8" t="s">
        <v>15</v>
      </c>
      <c r="C606" s="8" t="s">
        <v>791</v>
      </c>
      <c r="D606" s="9" t="str">
        <f>HYPERLINK("https://www.marklines.com/en/global/1533","Alexander Dennis Ltd. Bus Body Group, Falkirk Plant")</f>
        <v>Alexander Dennis Ltd. Bus Body Group, Falkirk Plant</v>
      </c>
      <c r="E606" s="8" t="s">
        <v>794</v>
      </c>
      <c r="F606" s="8" t="s">
        <v>20</v>
      </c>
      <c r="G606" s="8" t="s">
        <v>98</v>
      </c>
      <c r="H606" s="8"/>
      <c r="I606" s="10">
        <v>44875</v>
      </c>
      <c r="J606" s="8" t="s">
        <v>874</v>
      </c>
    </row>
    <row r="607" spans="1:10" x14ac:dyDescent="0.15">
      <c r="A607" s="7">
        <v>44876</v>
      </c>
      <c r="B607" s="8" t="s">
        <v>15</v>
      </c>
      <c r="C607" s="8" t="s">
        <v>791</v>
      </c>
      <c r="D607" s="9" t="str">
        <f>HYPERLINK("https://www.marklines.com/en/global/10472","Alexander Dennis Ltd., Plaxton – Scarborough Plant")</f>
        <v>Alexander Dennis Ltd., Plaxton – Scarborough Plant</v>
      </c>
      <c r="E607" s="8" t="s">
        <v>792</v>
      </c>
      <c r="F607" s="8" t="s">
        <v>20</v>
      </c>
      <c r="G607" s="8" t="s">
        <v>98</v>
      </c>
      <c r="H607" s="8"/>
      <c r="I607" s="10">
        <v>44875</v>
      </c>
      <c r="J607" s="8" t="s">
        <v>874</v>
      </c>
    </row>
    <row r="608" spans="1:10" x14ac:dyDescent="0.15">
      <c r="A608" s="7">
        <v>44876</v>
      </c>
      <c r="B608" s="8" t="s">
        <v>97</v>
      </c>
      <c r="C608" s="8" t="s">
        <v>97</v>
      </c>
      <c r="D608" s="9" t="str">
        <f>HYPERLINK("https://www.marklines.com/en/global/3187","Nissan North America, Canton Plant")</f>
        <v>Nissan North America, Canton Plant</v>
      </c>
      <c r="E608" s="8" t="s">
        <v>208</v>
      </c>
      <c r="F608" s="8" t="s">
        <v>19</v>
      </c>
      <c r="G608" s="8" t="s">
        <v>12</v>
      </c>
      <c r="H608" s="8" t="s">
        <v>209</v>
      </c>
      <c r="I608" s="10">
        <v>44875</v>
      </c>
      <c r="J608" s="8" t="s">
        <v>875</v>
      </c>
    </row>
    <row r="609" spans="1:10" x14ac:dyDescent="0.15">
      <c r="A609" s="7">
        <v>44876</v>
      </c>
      <c r="B609" s="8" t="s">
        <v>30</v>
      </c>
      <c r="C609" s="8" t="s">
        <v>30</v>
      </c>
      <c r="D609" s="9" t="str">
        <f>HYPERLINK("https://www.marklines.com/en/global/9563","Mazda Toyota Manufacturing, USA, Inc. (MTMUS), Huntsville Plant")</f>
        <v>Mazda Toyota Manufacturing, USA, Inc. (MTMUS), Huntsville Plant</v>
      </c>
      <c r="E609" s="8" t="s">
        <v>876</v>
      </c>
      <c r="F609" s="8" t="s">
        <v>19</v>
      </c>
      <c r="G609" s="8" t="s">
        <v>12</v>
      </c>
      <c r="H609" s="8" t="s">
        <v>273</v>
      </c>
      <c r="I609" s="10">
        <v>44875</v>
      </c>
      <c r="J609" s="8" t="s">
        <v>877</v>
      </c>
    </row>
    <row r="610" spans="1:10" x14ac:dyDescent="0.15">
      <c r="A610" s="7">
        <v>44876</v>
      </c>
      <c r="B610" s="8" t="s">
        <v>38</v>
      </c>
      <c r="C610" s="8" t="s">
        <v>38</v>
      </c>
      <c r="D610" s="9" t="str">
        <f>HYPERLINK("https://www.marklines.com/en/global/9563","Mazda Toyota Manufacturing, USA, Inc. (MTMUS), Huntsville Plant")</f>
        <v>Mazda Toyota Manufacturing, USA, Inc. (MTMUS), Huntsville Plant</v>
      </c>
      <c r="E610" s="8" t="s">
        <v>876</v>
      </c>
      <c r="F610" s="8" t="s">
        <v>19</v>
      </c>
      <c r="G610" s="8" t="s">
        <v>12</v>
      </c>
      <c r="H610" s="8" t="s">
        <v>273</v>
      </c>
      <c r="I610" s="10">
        <v>44875</v>
      </c>
      <c r="J610" s="8" t="s">
        <v>877</v>
      </c>
    </row>
    <row r="611" spans="1:10" x14ac:dyDescent="0.15">
      <c r="A611" s="7">
        <v>44876</v>
      </c>
      <c r="B611" s="8" t="s">
        <v>57</v>
      </c>
      <c r="C611" s="8" t="s">
        <v>812</v>
      </c>
      <c r="D611" s="9" t="str">
        <f>HYPERLINK("https://www.marklines.com/en/global/4311","Jiangsu Yueda Kia Motors Co., Ltd. (Third Plant) (formerly Kia Motors Co., Ltd. (Third Plant))")</f>
        <v>Jiangsu Yueda Kia Motors Co., Ltd. (Third Plant) (formerly Kia Motors Co., Ltd. (Third Plant))</v>
      </c>
      <c r="E611" s="8" t="s">
        <v>878</v>
      </c>
      <c r="F611" s="8" t="s">
        <v>25</v>
      </c>
      <c r="G611" s="8" t="s">
        <v>71</v>
      </c>
      <c r="H611" s="8" t="s">
        <v>351</v>
      </c>
      <c r="I611" s="10">
        <v>44874</v>
      </c>
      <c r="J611" s="8" t="s">
        <v>879</v>
      </c>
    </row>
    <row r="612" spans="1:10" x14ac:dyDescent="0.15">
      <c r="A612" s="7">
        <v>44876</v>
      </c>
      <c r="B612" s="8" t="s">
        <v>57</v>
      </c>
      <c r="C612" s="8" t="s">
        <v>812</v>
      </c>
      <c r="D612" s="9" t="str">
        <f>HYPERLINK("https://www.marklines.com/en/global/3765","Jiangsu Yueda Kia Motors Co., Ltd. (formerly Kia Motors Co., Ltd.)")</f>
        <v>Jiangsu Yueda Kia Motors Co., Ltd. (formerly Kia Motors Co., Ltd.)</v>
      </c>
      <c r="E612" s="8" t="s">
        <v>880</v>
      </c>
      <c r="F612" s="8" t="s">
        <v>25</v>
      </c>
      <c r="G612" s="8" t="s">
        <v>71</v>
      </c>
      <c r="H612" s="8" t="s">
        <v>351</v>
      </c>
      <c r="I612" s="10">
        <v>44874</v>
      </c>
      <c r="J612" s="8" t="s">
        <v>879</v>
      </c>
    </row>
    <row r="613" spans="1:10" x14ac:dyDescent="0.15">
      <c r="A613" s="7">
        <v>44876</v>
      </c>
      <c r="B613" s="8" t="s">
        <v>65</v>
      </c>
      <c r="C613" s="8" t="s">
        <v>65</v>
      </c>
      <c r="D613" s="9" t="str">
        <f>HYPERLINK("https://www.marklines.com/en/global/3153","Rivian Automotive LLC, Normal Plant (former Mitsubishi Motors North America, Normal Plant)")</f>
        <v>Rivian Automotive LLC, Normal Plant (former Mitsubishi Motors North America, Normal Plant)</v>
      </c>
      <c r="E613" s="8" t="s">
        <v>66</v>
      </c>
      <c r="F613" s="8" t="s">
        <v>19</v>
      </c>
      <c r="G613" s="8" t="s">
        <v>12</v>
      </c>
      <c r="H613" s="8" t="s">
        <v>67</v>
      </c>
      <c r="I613" s="10">
        <v>44874</v>
      </c>
      <c r="J613" s="8" t="s">
        <v>881</v>
      </c>
    </row>
    <row r="614" spans="1:10" x14ac:dyDescent="0.15">
      <c r="A614" s="7">
        <v>44876</v>
      </c>
      <c r="B614" s="8" t="s">
        <v>478</v>
      </c>
      <c r="C614" s="8" t="s">
        <v>478</v>
      </c>
      <c r="D614" s="9" t="str">
        <f>HYPERLINK("https://www.marklines.com/en/global/9500","BYD Co., Ltd.")</f>
        <v>BYD Co., Ltd.</v>
      </c>
      <c r="E614" s="8" t="s">
        <v>528</v>
      </c>
      <c r="F614" s="8" t="s">
        <v>25</v>
      </c>
      <c r="G614" s="8" t="s">
        <v>71</v>
      </c>
      <c r="H614" s="8" t="s">
        <v>83</v>
      </c>
      <c r="I614" s="10">
        <v>44873</v>
      </c>
      <c r="J614" s="8" t="s">
        <v>882</v>
      </c>
    </row>
    <row r="615" spans="1:10" x14ac:dyDescent="0.15">
      <c r="A615" s="7">
        <v>44876</v>
      </c>
      <c r="B615" s="8" t="s">
        <v>57</v>
      </c>
      <c r="C615" s="8" t="s">
        <v>57</v>
      </c>
      <c r="D615" s="9" t="str">
        <f>HYPERLINK("https://www.marklines.com/en/global/10358","Hyundai Motor Hydrogen Fuel Cell System (Guangzhou) Co., Ltd. (HTWO Guangzhou)")</f>
        <v>Hyundai Motor Hydrogen Fuel Cell System (Guangzhou) Co., Ltd. (HTWO Guangzhou)</v>
      </c>
      <c r="E615" s="8" t="s">
        <v>845</v>
      </c>
      <c r="F615" s="8" t="s">
        <v>25</v>
      </c>
      <c r="G615" s="8" t="s">
        <v>71</v>
      </c>
      <c r="H615" s="8" t="s">
        <v>83</v>
      </c>
      <c r="I615" s="10">
        <v>44873</v>
      </c>
      <c r="J615" s="8" t="s">
        <v>883</v>
      </c>
    </row>
    <row r="616" spans="1:10" x14ac:dyDescent="0.15">
      <c r="A616" s="7">
        <v>44876</v>
      </c>
      <c r="B616" s="8" t="s">
        <v>57</v>
      </c>
      <c r="C616" s="8" t="s">
        <v>57</v>
      </c>
      <c r="D616" s="9" t="str">
        <f>HYPERLINK("https://www.marklines.com/en/global/4239","Hyundai Truck &amp; Bus (China) Co., Ltd.  (formerly Sichuan Hyundai Motor Co., Ltd.)")</f>
        <v>Hyundai Truck &amp; Bus (China) Co., Ltd.  (formerly Sichuan Hyundai Motor Co., Ltd.)</v>
      </c>
      <c r="E616" s="8" t="s">
        <v>884</v>
      </c>
      <c r="F616" s="8" t="s">
        <v>25</v>
      </c>
      <c r="G616" s="8" t="s">
        <v>71</v>
      </c>
      <c r="H616" s="8" t="s">
        <v>367</v>
      </c>
      <c r="I616" s="10">
        <v>44873</v>
      </c>
      <c r="J616" s="8" t="s">
        <v>883</v>
      </c>
    </row>
    <row r="617" spans="1:10" x14ac:dyDescent="0.15">
      <c r="A617" s="7">
        <v>44876</v>
      </c>
      <c r="B617" s="8" t="s">
        <v>82</v>
      </c>
      <c r="C617" s="8" t="s">
        <v>82</v>
      </c>
      <c r="D617" s="9" t="str">
        <f>HYPERLINK("https://www.marklines.com/en/global/4073","Guangzhou Automobile Group Co., Ltd. (GAC)")</f>
        <v>Guangzhou Automobile Group Co., Ltd. (GAC)</v>
      </c>
      <c r="E617" s="8" t="s">
        <v>827</v>
      </c>
      <c r="F617" s="8" t="s">
        <v>25</v>
      </c>
      <c r="G617" s="8" t="s">
        <v>71</v>
      </c>
      <c r="H617" s="8" t="s">
        <v>83</v>
      </c>
      <c r="I617" s="10">
        <v>44872</v>
      </c>
      <c r="J617" s="8" t="s">
        <v>885</v>
      </c>
    </row>
    <row r="618" spans="1:10" x14ac:dyDescent="0.15">
      <c r="A618" s="7">
        <v>44876</v>
      </c>
      <c r="B618" s="8" t="s">
        <v>76</v>
      </c>
      <c r="C618" s="8" t="s">
        <v>76</v>
      </c>
      <c r="D618" s="9" t="str">
        <f>HYPERLINK("https://www.marklines.com/en/global/3807","Zhejiang Geely Holding Group Co., Ltd.")</f>
        <v>Zhejiang Geely Holding Group Co., Ltd.</v>
      </c>
      <c r="E618" s="8" t="s">
        <v>719</v>
      </c>
      <c r="F618" s="8" t="s">
        <v>25</v>
      </c>
      <c r="G618" s="8" t="s">
        <v>71</v>
      </c>
      <c r="H618" s="8" t="s">
        <v>78</v>
      </c>
      <c r="I618" s="10">
        <v>44869</v>
      </c>
      <c r="J618" s="8" t="s">
        <v>886</v>
      </c>
    </row>
    <row r="619" spans="1:10" x14ac:dyDescent="0.15">
      <c r="A619" s="7">
        <v>44876</v>
      </c>
      <c r="B619" s="8" t="s">
        <v>76</v>
      </c>
      <c r="C619" s="8" t="s">
        <v>887</v>
      </c>
      <c r="D619" s="9" t="str">
        <f>HYPERLINK("https://www.marklines.com/en/global/9594","Shanxi New Energy Automobile Industry Co., Ltd.")</f>
        <v>Shanxi New Energy Automobile Industry Co., Ltd.</v>
      </c>
      <c r="E619" s="8" t="s">
        <v>835</v>
      </c>
      <c r="F619" s="8" t="s">
        <v>25</v>
      </c>
      <c r="G619" s="8" t="s">
        <v>71</v>
      </c>
      <c r="H619" s="8" t="s">
        <v>836</v>
      </c>
      <c r="I619" s="10">
        <v>44869</v>
      </c>
      <c r="J619" s="8" t="s">
        <v>886</v>
      </c>
    </row>
    <row r="620" spans="1:10" x14ac:dyDescent="0.15">
      <c r="A620" s="7">
        <v>44875</v>
      </c>
      <c r="B620" s="8" t="s">
        <v>85</v>
      </c>
      <c r="C620" s="8" t="s">
        <v>85</v>
      </c>
      <c r="D620" s="9" t="str">
        <f>HYPERLINK("https://www.marklines.com/en/global/2709","Volvo Trucks, Tuve (Göteborg) Plant")</f>
        <v>Volvo Trucks, Tuve (Göteborg) Plant</v>
      </c>
      <c r="E620" s="8" t="s">
        <v>888</v>
      </c>
      <c r="F620" s="8" t="s">
        <v>20</v>
      </c>
      <c r="G620" s="8" t="s">
        <v>34</v>
      </c>
      <c r="H620" s="8"/>
      <c r="I620" s="10">
        <v>44875</v>
      </c>
      <c r="J620" s="8" t="s">
        <v>889</v>
      </c>
    </row>
    <row r="621" spans="1:10" x14ac:dyDescent="0.15">
      <c r="A621" s="7">
        <v>44875</v>
      </c>
      <c r="B621" s="8" t="s">
        <v>11</v>
      </c>
      <c r="C621" s="8" t="s">
        <v>26</v>
      </c>
      <c r="D621" s="9" t="str">
        <f>HYPERLINK("https://www.marklines.com/en/global/1965","Volkswagen Navarra, S.A., Pamplona Plant")</f>
        <v>Volkswagen Navarra, S.A., Pamplona Plant</v>
      </c>
      <c r="E621" s="8" t="s">
        <v>890</v>
      </c>
      <c r="F621" s="8" t="s">
        <v>20</v>
      </c>
      <c r="G621" s="8" t="s">
        <v>277</v>
      </c>
      <c r="H621" s="8"/>
      <c r="I621" s="10">
        <v>44874</v>
      </c>
      <c r="J621" s="8" t="s">
        <v>891</v>
      </c>
    </row>
    <row r="622" spans="1:10" x14ac:dyDescent="0.15">
      <c r="A622" s="7">
        <v>44875</v>
      </c>
      <c r="B622" s="8" t="s">
        <v>11</v>
      </c>
      <c r="C622" s="8" t="s">
        <v>892</v>
      </c>
      <c r="D622" s="9" t="str">
        <f>HYPERLINK("https://www.marklines.com/en/global/1955","SEAT S.A., Martorell Plant")</f>
        <v>SEAT S.A., Martorell Plant</v>
      </c>
      <c r="E622" s="8" t="s">
        <v>893</v>
      </c>
      <c r="F622" s="8" t="s">
        <v>20</v>
      </c>
      <c r="G622" s="8" t="s">
        <v>277</v>
      </c>
      <c r="H622" s="8"/>
      <c r="I622" s="10">
        <v>44874</v>
      </c>
      <c r="J622" s="8" t="s">
        <v>891</v>
      </c>
    </row>
    <row r="623" spans="1:10" x14ac:dyDescent="0.15">
      <c r="A623" s="7">
        <v>44875</v>
      </c>
      <c r="B623" s="8" t="s">
        <v>59</v>
      </c>
      <c r="C623" s="8" t="s">
        <v>265</v>
      </c>
      <c r="D623" s="9" t="str">
        <f>HYPERLINK("https://www.marklines.com/en/global/9519","Stellantis, PSA, Morocco Kenitra Plant")</f>
        <v>Stellantis, PSA, Morocco Kenitra Plant</v>
      </c>
      <c r="E623" s="8" t="s">
        <v>894</v>
      </c>
      <c r="F623" s="8" t="s">
        <v>129</v>
      </c>
      <c r="G623" s="8" t="s">
        <v>895</v>
      </c>
      <c r="H623" s="8"/>
      <c r="I623" s="10">
        <v>44874</v>
      </c>
      <c r="J623" s="8" t="s">
        <v>896</v>
      </c>
    </row>
    <row r="624" spans="1:10" x14ac:dyDescent="0.15">
      <c r="A624" s="7">
        <v>44875</v>
      </c>
      <c r="B624" s="8" t="s">
        <v>59</v>
      </c>
      <c r="C624" s="8" t="s">
        <v>60</v>
      </c>
      <c r="D624" s="9" t="str">
        <f>HYPERLINK("https://www.marklines.com/en/global/9519","Stellantis, PSA, Morocco Kenitra Plant")</f>
        <v>Stellantis, PSA, Morocco Kenitra Plant</v>
      </c>
      <c r="E624" s="8" t="s">
        <v>894</v>
      </c>
      <c r="F624" s="8" t="s">
        <v>129</v>
      </c>
      <c r="G624" s="8" t="s">
        <v>895</v>
      </c>
      <c r="H624" s="8"/>
      <c r="I624" s="10">
        <v>44874</v>
      </c>
      <c r="J624" s="8" t="s">
        <v>896</v>
      </c>
    </row>
    <row r="625" spans="1:10" x14ac:dyDescent="0.15">
      <c r="A625" s="7">
        <v>44875</v>
      </c>
      <c r="B625" s="8" t="s">
        <v>59</v>
      </c>
      <c r="C625" s="8" t="s">
        <v>62</v>
      </c>
      <c r="D625" s="9" t="str">
        <f>HYPERLINK("https://www.marklines.com/en/global/9519","Stellantis, PSA, Morocco Kenitra Plant")</f>
        <v>Stellantis, PSA, Morocco Kenitra Plant</v>
      </c>
      <c r="E625" s="8" t="s">
        <v>894</v>
      </c>
      <c r="F625" s="8" t="s">
        <v>129</v>
      </c>
      <c r="G625" s="8" t="s">
        <v>895</v>
      </c>
      <c r="H625" s="8"/>
      <c r="I625" s="10">
        <v>44874</v>
      </c>
      <c r="J625" s="8" t="s">
        <v>896</v>
      </c>
    </row>
    <row r="626" spans="1:10" x14ac:dyDescent="0.15">
      <c r="A626" s="7">
        <v>44875</v>
      </c>
      <c r="B626" s="8" t="s">
        <v>15</v>
      </c>
      <c r="C626" s="8" t="s">
        <v>163</v>
      </c>
      <c r="D626" s="9" t="str">
        <f>HYPERLINK("https://www.marklines.com/en/global/10552","Arrival Ltd., Bicester Plant")</f>
        <v>Arrival Ltd., Bicester Plant</v>
      </c>
      <c r="E626" s="8" t="s">
        <v>164</v>
      </c>
      <c r="F626" s="8" t="s">
        <v>20</v>
      </c>
      <c r="G626" s="8" t="s">
        <v>98</v>
      </c>
      <c r="H626" s="8"/>
      <c r="I626" s="10">
        <v>44873</v>
      </c>
      <c r="J626" s="8" t="s">
        <v>897</v>
      </c>
    </row>
    <row r="627" spans="1:10" x14ac:dyDescent="0.15">
      <c r="A627" s="7">
        <v>44875</v>
      </c>
      <c r="B627" s="8" t="s">
        <v>76</v>
      </c>
      <c r="C627" s="8" t="s">
        <v>76</v>
      </c>
      <c r="D627" s="9" t="str">
        <f>HYPERLINK("https://www.marklines.com/en/global/3807","Zhejiang Geely Holding Group Co., Ltd.")</f>
        <v>Zhejiang Geely Holding Group Co., Ltd.</v>
      </c>
      <c r="E627" s="8" t="s">
        <v>719</v>
      </c>
      <c r="F627" s="8" t="s">
        <v>25</v>
      </c>
      <c r="G627" s="8" t="s">
        <v>71</v>
      </c>
      <c r="H627" s="8" t="s">
        <v>78</v>
      </c>
      <c r="I627" s="10">
        <v>44873</v>
      </c>
      <c r="J627" s="8" t="s">
        <v>898</v>
      </c>
    </row>
    <row r="628" spans="1:10" x14ac:dyDescent="0.15">
      <c r="A628" s="7">
        <v>44875</v>
      </c>
      <c r="B628" s="8" t="s">
        <v>486</v>
      </c>
      <c r="C628" s="8" t="s">
        <v>486</v>
      </c>
      <c r="D628" s="9" t="str">
        <f>HYPERLINK("https://www.marklines.com/en/global/9873","Lucid Motors (Lucid Group, Inc.), Casa Grande plant")</f>
        <v>Lucid Motors (Lucid Group, Inc.), Casa Grande plant</v>
      </c>
      <c r="E628" s="8" t="s">
        <v>487</v>
      </c>
      <c r="F628" s="8" t="s">
        <v>19</v>
      </c>
      <c r="G628" s="8" t="s">
        <v>12</v>
      </c>
      <c r="H628" s="8" t="s">
        <v>469</v>
      </c>
      <c r="I628" s="10">
        <v>44873</v>
      </c>
      <c r="J628" s="8" t="s">
        <v>899</v>
      </c>
    </row>
    <row r="629" spans="1:10" x14ac:dyDescent="0.15">
      <c r="A629" s="7">
        <v>44875</v>
      </c>
      <c r="B629" s="8" t="s">
        <v>535</v>
      </c>
      <c r="C629" s="8" t="s">
        <v>535</v>
      </c>
      <c r="D629" s="9" t="str">
        <f>HYPERLINK("https://www.marklines.com/en/global/10328","Human Horizons Investment Co., Ltd. (formerly Human Horizons Holdings Co., Ltd.)")</f>
        <v>Human Horizons Investment Co., Ltd. (formerly Human Horizons Holdings Co., Ltd.)</v>
      </c>
      <c r="E629" s="8" t="s">
        <v>536</v>
      </c>
      <c r="F629" s="8" t="s">
        <v>25</v>
      </c>
      <c r="G629" s="8" t="s">
        <v>71</v>
      </c>
      <c r="H629" s="8" t="s">
        <v>72</v>
      </c>
      <c r="I629" s="10">
        <v>44871</v>
      </c>
      <c r="J629" s="8" t="s">
        <v>900</v>
      </c>
    </row>
    <row r="630" spans="1:10" x14ac:dyDescent="0.15">
      <c r="A630" s="7">
        <v>44875</v>
      </c>
      <c r="B630" s="8" t="s">
        <v>535</v>
      </c>
      <c r="C630" s="8" t="s">
        <v>538</v>
      </c>
      <c r="D630" s="9" t="str">
        <f>HYPERLINK("https://www.marklines.com/en/global/3767","Jiangsu Yueda Kia Motors Co., Ltd. (First Plant) (formerly Kia Motors Co., Ltd. (First Plant))")</f>
        <v>Jiangsu Yueda Kia Motors Co., Ltd. (First Plant) (formerly Kia Motors Co., Ltd. (First Plant))</v>
      </c>
      <c r="E630" s="8" t="s">
        <v>539</v>
      </c>
      <c r="F630" s="8" t="s">
        <v>25</v>
      </c>
      <c r="G630" s="8" t="s">
        <v>71</v>
      </c>
      <c r="H630" s="8" t="s">
        <v>351</v>
      </c>
      <c r="I630" s="10">
        <v>44871</v>
      </c>
      <c r="J630" s="8" t="s">
        <v>900</v>
      </c>
    </row>
    <row r="631" spans="1:10" x14ac:dyDescent="0.15">
      <c r="A631" s="7">
        <v>44875</v>
      </c>
      <c r="B631" s="8" t="s">
        <v>100</v>
      </c>
      <c r="C631" s="8" t="s">
        <v>100</v>
      </c>
      <c r="D631" s="9" t="str">
        <f>HYPERLINK("https://www.marklines.com/en/global/3609","SAIC Motor Corporation Limited")</f>
        <v>SAIC Motor Corporation Limited</v>
      </c>
      <c r="E631" s="8" t="s">
        <v>384</v>
      </c>
      <c r="F631" s="8" t="s">
        <v>25</v>
      </c>
      <c r="G631" s="8" t="s">
        <v>71</v>
      </c>
      <c r="H631" s="8" t="s">
        <v>72</v>
      </c>
      <c r="I631" s="10">
        <v>44870</v>
      </c>
      <c r="J631" s="8" t="s">
        <v>901</v>
      </c>
    </row>
    <row r="632" spans="1:10" x14ac:dyDescent="0.15">
      <c r="A632" s="7">
        <v>44875</v>
      </c>
      <c r="B632" s="8" t="s">
        <v>100</v>
      </c>
      <c r="C632" s="8" t="s">
        <v>902</v>
      </c>
      <c r="D632" s="9" t="str">
        <f>HYPERLINK("https://www.marklines.com/en/global/9598","SAIC MAXUS Automotive Co., Ltd. Nanjing Branch")</f>
        <v>SAIC MAXUS Automotive Co., Ltd. Nanjing Branch</v>
      </c>
      <c r="E632" s="8" t="s">
        <v>903</v>
      </c>
      <c r="F632" s="8" t="s">
        <v>25</v>
      </c>
      <c r="G632" s="8" t="s">
        <v>71</v>
      </c>
      <c r="H632" s="8" t="s">
        <v>351</v>
      </c>
      <c r="I632" s="10">
        <v>44870</v>
      </c>
      <c r="J632" s="8" t="s">
        <v>901</v>
      </c>
    </row>
    <row r="633" spans="1:10" x14ac:dyDescent="0.15">
      <c r="A633" s="7">
        <v>44875</v>
      </c>
      <c r="B633" s="8" t="s">
        <v>52</v>
      </c>
      <c r="C633" s="8" t="s">
        <v>312</v>
      </c>
      <c r="D633" s="9" t="str">
        <f>HYPERLINK("https://www.marklines.com/en/global/2834","Stellantis, FCA Brazil, Pernambuco (Goiana) Plant")</f>
        <v>Stellantis, FCA Brazil, Pernambuco (Goiana) Plant</v>
      </c>
      <c r="E633" s="8" t="s">
        <v>442</v>
      </c>
      <c r="F633" s="8" t="s">
        <v>24</v>
      </c>
      <c r="G633" s="8" t="s">
        <v>68</v>
      </c>
      <c r="H633" s="8"/>
      <c r="I633" s="10">
        <v>44868</v>
      </c>
      <c r="J633" s="8" t="s">
        <v>904</v>
      </c>
    </row>
    <row r="634" spans="1:10" x14ac:dyDescent="0.15">
      <c r="A634" s="7">
        <v>44875</v>
      </c>
      <c r="B634" s="8" t="s">
        <v>52</v>
      </c>
      <c r="C634" s="8" t="s">
        <v>312</v>
      </c>
      <c r="D634" s="9" t="str">
        <f>HYPERLINK("https://www.marklines.com/en/global/2833","Stellantis, FCA Brazil, Betim Plant")</f>
        <v>Stellantis, FCA Brazil, Betim Plant</v>
      </c>
      <c r="E634" s="8" t="s">
        <v>905</v>
      </c>
      <c r="F634" s="8" t="s">
        <v>24</v>
      </c>
      <c r="G634" s="8" t="s">
        <v>68</v>
      </c>
      <c r="H634" s="8"/>
      <c r="I634" s="10">
        <v>44868</v>
      </c>
      <c r="J634" s="8" t="s">
        <v>904</v>
      </c>
    </row>
    <row r="635" spans="1:10" x14ac:dyDescent="0.15">
      <c r="A635" s="7">
        <v>44874</v>
      </c>
      <c r="B635" s="8" t="s">
        <v>11</v>
      </c>
      <c r="C635" s="8" t="s">
        <v>553</v>
      </c>
      <c r="D635" s="9" t="str">
        <f>HYPERLINK("https://www.marklines.com/en/global/10225","Porsche Innovation Office Israel (Tel Aviv)")</f>
        <v>Porsche Innovation Office Israel (Tel Aviv)</v>
      </c>
      <c r="E635" s="8" t="s">
        <v>906</v>
      </c>
      <c r="F635" s="8" t="s">
        <v>295</v>
      </c>
      <c r="G635" s="8" t="s">
        <v>907</v>
      </c>
      <c r="H635" s="8"/>
      <c r="I635" s="10">
        <v>44874</v>
      </c>
      <c r="J635" s="8" t="s">
        <v>908</v>
      </c>
    </row>
    <row r="636" spans="1:10" x14ac:dyDescent="0.15">
      <c r="A636" s="7">
        <v>44874</v>
      </c>
      <c r="B636" s="8" t="s">
        <v>59</v>
      </c>
      <c r="C636" s="8" t="s">
        <v>265</v>
      </c>
      <c r="D636" s="9" t="str">
        <f>HYPERLINK("https://www.marklines.com/en/global/2253","Stellantis, Opel Automobile GmbH, Eisenach Plant (Former Adam Opel AG, Eisenach Plant)")</f>
        <v>Stellantis, Opel Automobile GmbH, Eisenach Plant (Former Adam Opel AG, Eisenach Plant)</v>
      </c>
      <c r="E636" s="8" t="s">
        <v>909</v>
      </c>
      <c r="F636" s="8" t="s">
        <v>20</v>
      </c>
      <c r="G636" s="8" t="s">
        <v>29</v>
      </c>
      <c r="H636" s="8"/>
      <c r="I636" s="10">
        <v>44873</v>
      </c>
      <c r="J636" s="8" t="s">
        <v>910</v>
      </c>
    </row>
    <row r="637" spans="1:10" x14ac:dyDescent="0.15">
      <c r="A637" s="7">
        <v>44874</v>
      </c>
      <c r="B637" s="8" t="s">
        <v>52</v>
      </c>
      <c r="C637" s="8" t="s">
        <v>91</v>
      </c>
      <c r="D637" s="9" t="str">
        <f>HYPERLINK("https://www.marklines.com/en/global/1325","Stellantis, FCA Italy, Melfi Plant")</f>
        <v>Stellantis, FCA Italy, Melfi Plant</v>
      </c>
      <c r="E637" s="8" t="s">
        <v>141</v>
      </c>
      <c r="F637" s="8" t="s">
        <v>20</v>
      </c>
      <c r="G637" s="8" t="s">
        <v>110</v>
      </c>
      <c r="H637" s="8"/>
      <c r="I637" s="10">
        <v>44873</v>
      </c>
      <c r="J637" s="8" t="s">
        <v>911</v>
      </c>
    </row>
    <row r="638" spans="1:10" x14ac:dyDescent="0.15">
      <c r="A638" s="7">
        <v>44874</v>
      </c>
      <c r="B638" s="8" t="s">
        <v>59</v>
      </c>
      <c r="C638" s="8" t="s">
        <v>63</v>
      </c>
      <c r="D638" s="9" t="str">
        <f>HYPERLINK("https://www.marklines.com/en/global/1325","Stellantis, FCA Italy, Melfi Plant")</f>
        <v>Stellantis, FCA Italy, Melfi Plant</v>
      </c>
      <c r="E638" s="8" t="s">
        <v>141</v>
      </c>
      <c r="F638" s="8" t="s">
        <v>20</v>
      </c>
      <c r="G638" s="8" t="s">
        <v>110</v>
      </c>
      <c r="H638" s="8"/>
      <c r="I638" s="10">
        <v>44873</v>
      </c>
      <c r="J638" s="8" t="s">
        <v>911</v>
      </c>
    </row>
    <row r="639" spans="1:10" x14ac:dyDescent="0.15">
      <c r="A639" s="7">
        <v>44874</v>
      </c>
      <c r="B639" s="8" t="s">
        <v>15</v>
      </c>
      <c r="C639" s="8" t="s">
        <v>15</v>
      </c>
      <c r="D639" s="9" t="str">
        <f>HYPERLINK("https://www.marklines.com/en/global/757","JSC Moscow Automobile Plant Moskvich (former CJSC Renault Russia), Moscow Plant")</f>
        <v>JSC Moscow Automobile Plant Moskvich (former CJSC Renault Russia), Moscow Plant</v>
      </c>
      <c r="E639" s="8" t="s">
        <v>456</v>
      </c>
      <c r="F639" s="8" t="s">
        <v>21</v>
      </c>
      <c r="G639" s="8" t="s">
        <v>16</v>
      </c>
      <c r="H639" s="8"/>
      <c r="I639" s="10">
        <v>44873</v>
      </c>
      <c r="J639" s="8" t="s">
        <v>912</v>
      </c>
    </row>
    <row r="640" spans="1:10" x14ac:dyDescent="0.15">
      <c r="A640" s="7">
        <v>44874</v>
      </c>
      <c r="B640" s="8" t="s">
        <v>11</v>
      </c>
      <c r="C640" s="8" t="s">
        <v>759</v>
      </c>
      <c r="D640" s="9" t="str">
        <f>HYPERLINK("https://www.marklines.com/en/global/2695","Scania AB, Södertälje Plant")</f>
        <v>Scania AB, Södertälje Plant</v>
      </c>
      <c r="E640" s="8" t="s">
        <v>760</v>
      </c>
      <c r="F640" s="8" t="s">
        <v>20</v>
      </c>
      <c r="G640" s="8" t="s">
        <v>34</v>
      </c>
      <c r="H640" s="8"/>
      <c r="I640" s="10">
        <v>44873</v>
      </c>
      <c r="J640" s="8" t="s">
        <v>913</v>
      </c>
    </row>
    <row r="641" spans="1:10" x14ac:dyDescent="0.15">
      <c r="A641" s="7">
        <v>44874</v>
      </c>
      <c r="B641" s="8" t="s">
        <v>27</v>
      </c>
      <c r="C641" s="8" t="s">
        <v>27</v>
      </c>
      <c r="D641" s="9" t="str">
        <f>HYPERLINK("https://www.marklines.com/en/global/10215","Designworks (Los Angeles)")</f>
        <v>Designworks (Los Angeles)</v>
      </c>
      <c r="E641" s="8" t="s">
        <v>914</v>
      </c>
      <c r="F641" s="8" t="s">
        <v>19</v>
      </c>
      <c r="G641" s="8" t="s">
        <v>12</v>
      </c>
      <c r="H641" s="8" t="s">
        <v>915</v>
      </c>
      <c r="I641" s="10">
        <v>44872</v>
      </c>
      <c r="J641" s="8" t="s">
        <v>916</v>
      </c>
    </row>
    <row r="642" spans="1:10" x14ac:dyDescent="0.15">
      <c r="A642" s="7">
        <v>44874</v>
      </c>
      <c r="B642" s="8" t="s">
        <v>148</v>
      </c>
      <c r="C642" s="8" t="s">
        <v>148</v>
      </c>
      <c r="D642" s="9" t="str">
        <f>HYPERLINK("https://www.marklines.com/en/global/2495","Foxconn EV Ohio plant (former GM Lordstown plant)")</f>
        <v>Foxconn EV Ohio plant (former GM Lordstown plant)</v>
      </c>
      <c r="E642" s="8" t="s">
        <v>149</v>
      </c>
      <c r="F642" s="8" t="s">
        <v>19</v>
      </c>
      <c r="G642" s="8" t="s">
        <v>12</v>
      </c>
      <c r="H642" s="8" t="s">
        <v>48</v>
      </c>
      <c r="I642" s="10">
        <v>44872</v>
      </c>
      <c r="J642" s="8" t="s">
        <v>917</v>
      </c>
    </row>
    <row r="643" spans="1:10" x14ac:dyDescent="0.15">
      <c r="A643" s="7">
        <v>44874</v>
      </c>
      <c r="B643" s="8" t="s">
        <v>57</v>
      </c>
      <c r="C643" s="8" t="s">
        <v>57</v>
      </c>
      <c r="D643" s="9" t="str">
        <f>HYPERLINK("https://www.marklines.com/en/global/10587","Hyundai Motor Group Metaplant America (HMGMA) LLC")</f>
        <v>Hyundai Motor Group Metaplant America (HMGMA) LLC</v>
      </c>
      <c r="E643" s="8" t="s">
        <v>788</v>
      </c>
      <c r="F643" s="8" t="s">
        <v>19</v>
      </c>
      <c r="G643" s="8" t="s">
        <v>12</v>
      </c>
      <c r="H643" s="8" t="s">
        <v>814</v>
      </c>
      <c r="I643" s="10">
        <v>44872</v>
      </c>
      <c r="J643" s="8" t="s">
        <v>918</v>
      </c>
    </row>
    <row r="644" spans="1:10" x14ac:dyDescent="0.15">
      <c r="A644" s="7">
        <v>44874</v>
      </c>
      <c r="B644" s="8" t="s">
        <v>57</v>
      </c>
      <c r="C644" s="8" t="s">
        <v>812</v>
      </c>
      <c r="D644" s="9" t="str">
        <f>HYPERLINK("https://www.marklines.com/en/global/10587","Hyundai Motor Group Metaplant America (HMGMA) LLC")</f>
        <v>Hyundai Motor Group Metaplant America (HMGMA) LLC</v>
      </c>
      <c r="E644" s="8" t="s">
        <v>788</v>
      </c>
      <c r="F644" s="8" t="s">
        <v>19</v>
      </c>
      <c r="G644" s="8" t="s">
        <v>12</v>
      </c>
      <c r="H644" s="8" t="s">
        <v>814</v>
      </c>
      <c r="I644" s="10">
        <v>44872</v>
      </c>
      <c r="J644" s="8" t="s">
        <v>918</v>
      </c>
    </row>
    <row r="645" spans="1:10" x14ac:dyDescent="0.15">
      <c r="A645" s="7">
        <v>44874</v>
      </c>
      <c r="B645" s="8" t="s">
        <v>97</v>
      </c>
      <c r="C645" s="8" t="s">
        <v>97</v>
      </c>
      <c r="D645" s="9" t="str">
        <f>HYPERLINK("https://www.marklines.com/en/global/3475","Nissan (China) Investment Co., Ltd. ")</f>
        <v xml:space="preserve">Nissan (China) Investment Co., Ltd. </v>
      </c>
      <c r="E645" s="8" t="s">
        <v>919</v>
      </c>
      <c r="F645" s="8" t="s">
        <v>25</v>
      </c>
      <c r="G645" s="8" t="s">
        <v>71</v>
      </c>
      <c r="H645" s="8" t="s">
        <v>437</v>
      </c>
      <c r="I645" s="10">
        <v>44871</v>
      </c>
      <c r="J645" s="8" t="s">
        <v>920</v>
      </c>
    </row>
    <row r="646" spans="1:10" x14ac:dyDescent="0.15">
      <c r="A646" s="7">
        <v>44874</v>
      </c>
      <c r="B646" s="8" t="s">
        <v>57</v>
      </c>
      <c r="C646" s="8" t="s">
        <v>57</v>
      </c>
      <c r="D646" s="9" t="str">
        <f>HYPERLINK("https://www.marklines.com/en/global/3431","Beijing Hyundai Motor Co., Ltd.")</f>
        <v>Beijing Hyundai Motor Co., Ltd.</v>
      </c>
      <c r="E646" s="8" t="s">
        <v>436</v>
      </c>
      <c r="F646" s="8" t="s">
        <v>25</v>
      </c>
      <c r="G646" s="8" t="s">
        <v>71</v>
      </c>
      <c r="H646" s="8" t="s">
        <v>437</v>
      </c>
      <c r="I646" s="10">
        <v>44870</v>
      </c>
      <c r="J646" s="8" t="s">
        <v>921</v>
      </c>
    </row>
    <row r="647" spans="1:10" x14ac:dyDescent="0.15">
      <c r="A647" s="7">
        <v>44874</v>
      </c>
      <c r="B647" s="8" t="s">
        <v>439</v>
      </c>
      <c r="C647" s="8" t="s">
        <v>439</v>
      </c>
      <c r="D647" s="9" t="str">
        <f>HYPERLINK("https://www.marklines.com/en/global/3431","Beijing Hyundai Motor Co., Ltd.")</f>
        <v>Beijing Hyundai Motor Co., Ltd.</v>
      </c>
      <c r="E647" s="8" t="s">
        <v>436</v>
      </c>
      <c r="F647" s="8" t="s">
        <v>25</v>
      </c>
      <c r="G647" s="8" t="s">
        <v>71</v>
      </c>
      <c r="H647" s="8" t="s">
        <v>437</v>
      </c>
      <c r="I647" s="10">
        <v>44870</v>
      </c>
      <c r="J647" s="8" t="s">
        <v>921</v>
      </c>
    </row>
    <row r="648" spans="1:10" x14ac:dyDescent="0.15">
      <c r="A648" s="7">
        <v>44873</v>
      </c>
      <c r="B648" s="8" t="s">
        <v>76</v>
      </c>
      <c r="C648" s="8" t="s">
        <v>77</v>
      </c>
      <c r="D648" s="9" t="str">
        <f>HYPERLINK("https://www.marklines.com/en/global/10539","Northvolt-Volvo Cars Torslanda (tentative name)")</f>
        <v>Northvolt-Volvo Cars Torslanda (tentative name)</v>
      </c>
      <c r="E648" s="8" t="s">
        <v>922</v>
      </c>
      <c r="F648" s="8" t="s">
        <v>20</v>
      </c>
      <c r="G648" s="8" t="s">
        <v>34</v>
      </c>
      <c r="H648" s="8"/>
      <c r="I648" s="10">
        <v>44873</v>
      </c>
      <c r="J648" s="8" t="s">
        <v>923</v>
      </c>
    </row>
    <row r="649" spans="1:10" x14ac:dyDescent="0.15">
      <c r="A649" s="7">
        <v>44873</v>
      </c>
      <c r="B649" s="8" t="s">
        <v>76</v>
      </c>
      <c r="C649" s="8" t="s">
        <v>77</v>
      </c>
      <c r="D649" s="9" t="str">
        <f>HYPERLINK("https://www.marklines.com/en/global/9084","Volvo Cars Engine Skövde (VCES), Skövde Plant")</f>
        <v>Volvo Cars Engine Skövde (VCES), Skövde Plant</v>
      </c>
      <c r="E649" s="8" t="s">
        <v>424</v>
      </c>
      <c r="F649" s="8" t="s">
        <v>20</v>
      </c>
      <c r="G649" s="8" t="s">
        <v>34</v>
      </c>
      <c r="H649" s="8"/>
      <c r="I649" s="10">
        <v>44873</v>
      </c>
      <c r="J649" s="8" t="s">
        <v>924</v>
      </c>
    </row>
    <row r="650" spans="1:10" x14ac:dyDescent="0.15">
      <c r="A650" s="7">
        <v>44873</v>
      </c>
      <c r="B650" s="8" t="s">
        <v>76</v>
      </c>
      <c r="C650" s="8" t="s">
        <v>77</v>
      </c>
      <c r="D650" s="9" t="str">
        <f>HYPERLINK("https://www.marklines.com/en/global/10535","Aurobay (Powertrain Engineering Sweden AB)")</f>
        <v>Aurobay (Powertrain Engineering Sweden AB)</v>
      </c>
      <c r="E650" s="8" t="s">
        <v>248</v>
      </c>
      <c r="F650" s="8" t="s">
        <v>20</v>
      </c>
      <c r="G650" s="8" t="s">
        <v>34</v>
      </c>
      <c r="H650" s="8"/>
      <c r="I650" s="10">
        <v>44873</v>
      </c>
      <c r="J650" s="8" t="s">
        <v>924</v>
      </c>
    </row>
    <row r="651" spans="1:10" x14ac:dyDescent="0.15">
      <c r="A651" s="7">
        <v>44873</v>
      </c>
      <c r="B651" s="8" t="s">
        <v>289</v>
      </c>
      <c r="C651" s="8" t="s">
        <v>925</v>
      </c>
      <c r="D651" s="9" t="str">
        <f>HYPERLINK("https://www.marklines.com/en/global/1849","SC Automobile Dacia SA, Mioveni Plant - Vehicle Assembly ")</f>
        <v xml:space="preserve">SC Automobile Dacia SA, Mioveni Plant - Vehicle Assembly </v>
      </c>
      <c r="E651" s="8" t="s">
        <v>926</v>
      </c>
      <c r="F651" s="8" t="s">
        <v>21</v>
      </c>
      <c r="G651" s="8" t="s">
        <v>641</v>
      </c>
      <c r="H651" s="8"/>
      <c r="I651" s="10">
        <v>44873</v>
      </c>
      <c r="J651" s="8" t="s">
        <v>927</v>
      </c>
    </row>
    <row r="652" spans="1:10" x14ac:dyDescent="0.15">
      <c r="A652" s="7">
        <v>44873</v>
      </c>
      <c r="B652" s="8" t="s">
        <v>359</v>
      </c>
      <c r="C652" s="8" t="s">
        <v>360</v>
      </c>
      <c r="D652" s="9" t="str">
        <f>HYPERLINK("https://www.marklines.com/en/global/1263","Tata Motors, Pune Plant")</f>
        <v>Tata Motors, Pune Plant</v>
      </c>
      <c r="E652" s="8" t="s">
        <v>928</v>
      </c>
      <c r="F652" s="8" t="s">
        <v>69</v>
      </c>
      <c r="G652" s="8" t="s">
        <v>70</v>
      </c>
      <c r="H652" s="8" t="s">
        <v>99</v>
      </c>
      <c r="I652" s="10">
        <v>44872</v>
      </c>
      <c r="J652" s="8" t="s">
        <v>929</v>
      </c>
    </row>
    <row r="653" spans="1:10" x14ac:dyDescent="0.15">
      <c r="A653" s="7">
        <v>44873</v>
      </c>
      <c r="B653" s="8" t="s">
        <v>17</v>
      </c>
      <c r="C653" s="8" t="s">
        <v>17</v>
      </c>
      <c r="D653" s="9" t="str">
        <f>HYPERLINK("https://www.marklines.com/en/global/1169","Honda Cars India Limited (HCIL)")</f>
        <v>Honda Cars India Limited (HCIL)</v>
      </c>
      <c r="E653" s="8" t="s">
        <v>930</v>
      </c>
      <c r="F653" s="8" t="s">
        <v>69</v>
      </c>
      <c r="G653" s="8" t="s">
        <v>70</v>
      </c>
      <c r="H653" s="8" t="s">
        <v>931</v>
      </c>
      <c r="I653" s="10">
        <v>44872</v>
      </c>
      <c r="J653" s="8" t="s">
        <v>932</v>
      </c>
    </row>
    <row r="654" spans="1:10" x14ac:dyDescent="0.15">
      <c r="A654" s="7">
        <v>44873</v>
      </c>
      <c r="B654" s="8" t="s">
        <v>17</v>
      </c>
      <c r="C654" s="8" t="s">
        <v>17</v>
      </c>
      <c r="D654" s="9" t="str">
        <f>HYPERLINK("https://www.marklines.com/en/global/1173","Honda Cars India (HCIL), Tapukara Plant")</f>
        <v>Honda Cars India (HCIL), Tapukara Plant</v>
      </c>
      <c r="E654" s="8" t="s">
        <v>933</v>
      </c>
      <c r="F654" s="8" t="s">
        <v>69</v>
      </c>
      <c r="G654" s="8" t="s">
        <v>70</v>
      </c>
      <c r="H654" s="8" t="s">
        <v>934</v>
      </c>
      <c r="I654" s="10">
        <v>44872</v>
      </c>
      <c r="J654" s="8" t="s">
        <v>932</v>
      </c>
    </row>
    <row r="655" spans="1:10" x14ac:dyDescent="0.15">
      <c r="A655" s="7">
        <v>44873</v>
      </c>
      <c r="B655" s="8" t="s">
        <v>52</v>
      </c>
      <c r="C655" s="8" t="s">
        <v>91</v>
      </c>
      <c r="D655" s="9" t="str">
        <f>HYPERLINK("https://www.marklines.com/en/global/1279","Fiat India Automobiles Limited, Ranjangaon Plant")</f>
        <v>Fiat India Automobiles Limited, Ranjangaon Plant</v>
      </c>
      <c r="E655" s="8" t="s">
        <v>935</v>
      </c>
      <c r="F655" s="8" t="s">
        <v>69</v>
      </c>
      <c r="G655" s="8" t="s">
        <v>70</v>
      </c>
      <c r="H655" s="8" t="s">
        <v>99</v>
      </c>
      <c r="I655" s="10">
        <v>44872</v>
      </c>
      <c r="J655" s="8" t="s">
        <v>936</v>
      </c>
    </row>
    <row r="656" spans="1:10" x14ac:dyDescent="0.15">
      <c r="A656" s="7">
        <v>44873</v>
      </c>
      <c r="B656" s="8" t="s">
        <v>17</v>
      </c>
      <c r="C656" s="8" t="s">
        <v>17</v>
      </c>
      <c r="D656" s="9" t="str">
        <f>HYPERLINK("https://www.marklines.com/en/global/3121","Honda Manufacturing of Alabama, LLC (HMA), Lincoln Plant")</f>
        <v>Honda Manufacturing of Alabama, LLC (HMA), Lincoln Plant</v>
      </c>
      <c r="E656" s="8" t="s">
        <v>937</v>
      </c>
      <c r="F656" s="8" t="s">
        <v>19</v>
      </c>
      <c r="G656" s="8" t="s">
        <v>12</v>
      </c>
      <c r="H656" s="8" t="s">
        <v>273</v>
      </c>
      <c r="I656" s="10">
        <v>44872</v>
      </c>
      <c r="J656" s="8" t="s">
        <v>938</v>
      </c>
    </row>
    <row r="657" spans="1:10" x14ac:dyDescent="0.15">
      <c r="A657" s="7">
        <v>44873</v>
      </c>
      <c r="B657" s="8" t="s">
        <v>97</v>
      </c>
      <c r="C657" s="8" t="s">
        <v>97</v>
      </c>
      <c r="D657" s="9" t="str">
        <f>HYPERLINK("https://www.marklines.com/en/global/2045","Nissan Motor (Thailand) Co., Ltd. (NMT), Samutprakan Plant")</f>
        <v>Nissan Motor (Thailand) Co., Ltd. (NMT), Samutprakan Plant</v>
      </c>
      <c r="E657" s="8" t="s">
        <v>939</v>
      </c>
      <c r="F657" s="8" t="s">
        <v>22</v>
      </c>
      <c r="G657" s="8" t="s">
        <v>514</v>
      </c>
      <c r="H657" s="8" t="s">
        <v>851</v>
      </c>
      <c r="I657" s="10">
        <v>44868</v>
      </c>
      <c r="J657" s="8" t="s">
        <v>940</v>
      </c>
    </row>
    <row r="658" spans="1:10" x14ac:dyDescent="0.15">
      <c r="A658" s="7">
        <v>44873</v>
      </c>
      <c r="B658" s="8" t="s">
        <v>57</v>
      </c>
      <c r="C658" s="8" t="s">
        <v>812</v>
      </c>
      <c r="D658" s="9" t="str">
        <f>HYPERLINK("https://www.marklines.com/en/global/4311","Jiangsu Yueda Kia Motors Co., Ltd. (Third Plant) (formerly Kia Motors Co., Ltd. (Third Plant))")</f>
        <v>Jiangsu Yueda Kia Motors Co., Ltd. (Third Plant) (formerly Kia Motors Co., Ltd. (Third Plant))</v>
      </c>
      <c r="E658" s="8" t="s">
        <v>878</v>
      </c>
      <c r="F658" s="8" t="s">
        <v>25</v>
      </c>
      <c r="G658" s="8" t="s">
        <v>71</v>
      </c>
      <c r="H658" s="8" t="s">
        <v>351</v>
      </c>
      <c r="I658" s="10">
        <v>44868</v>
      </c>
      <c r="J658" s="8" t="s">
        <v>941</v>
      </c>
    </row>
    <row r="659" spans="1:10" x14ac:dyDescent="0.15">
      <c r="A659" s="7">
        <v>44873</v>
      </c>
      <c r="B659" s="8" t="s">
        <v>82</v>
      </c>
      <c r="C659" s="8" t="s">
        <v>133</v>
      </c>
      <c r="D659" s="9" t="str">
        <f>HYPERLINK("https://www.marklines.com/en/global/9824","GAC Aion New Energy Automobile Co., Ltd.")</f>
        <v>GAC Aion New Energy Automobile Co., Ltd.</v>
      </c>
      <c r="E659" s="8" t="s">
        <v>134</v>
      </c>
      <c r="F659" s="8" t="s">
        <v>25</v>
      </c>
      <c r="G659" s="8" t="s">
        <v>71</v>
      </c>
      <c r="H659" s="8" t="s">
        <v>83</v>
      </c>
      <c r="I659" s="10">
        <v>44868</v>
      </c>
      <c r="J659" s="8" t="s">
        <v>942</v>
      </c>
    </row>
    <row r="660" spans="1:10" x14ac:dyDescent="0.15">
      <c r="A660" s="7">
        <v>44873</v>
      </c>
      <c r="B660" s="8" t="s">
        <v>14</v>
      </c>
      <c r="C660" s="8" t="s">
        <v>811</v>
      </c>
      <c r="D660" s="9" t="str">
        <f>HYPERLINK("https://www.marklines.com/en/global/3621","SAIC General Motors Co., Ltd. (SAIC-GM)")</f>
        <v>SAIC General Motors Co., Ltd. (SAIC-GM)</v>
      </c>
      <c r="E660" s="8" t="s">
        <v>943</v>
      </c>
      <c r="F660" s="8" t="s">
        <v>25</v>
      </c>
      <c r="G660" s="8" t="s">
        <v>71</v>
      </c>
      <c r="H660" s="8" t="s">
        <v>72</v>
      </c>
      <c r="I660" s="10">
        <v>44868</v>
      </c>
      <c r="J660" s="8" t="s">
        <v>944</v>
      </c>
    </row>
    <row r="661" spans="1:10" x14ac:dyDescent="0.15">
      <c r="A661" s="7">
        <v>44872</v>
      </c>
      <c r="B661" s="8" t="s">
        <v>11</v>
      </c>
      <c r="C661" s="8" t="s">
        <v>945</v>
      </c>
      <c r="D661" s="9" t="str">
        <f>HYPERLINK("https://www.marklines.com/en/global/1357","Automobili Lamborghini S.p.A., Sant'Agata Bolognese Plant")</f>
        <v>Automobili Lamborghini S.p.A., Sant'Agata Bolognese Plant</v>
      </c>
      <c r="E661" s="8" t="s">
        <v>946</v>
      </c>
      <c r="F661" s="8" t="s">
        <v>20</v>
      </c>
      <c r="G661" s="8" t="s">
        <v>110</v>
      </c>
      <c r="H661" s="8"/>
      <c r="I661" s="10">
        <v>44872</v>
      </c>
      <c r="J661" s="8" t="s">
        <v>947</v>
      </c>
    </row>
    <row r="662" spans="1:10" x14ac:dyDescent="0.15">
      <c r="A662" s="7">
        <v>44872</v>
      </c>
      <c r="B662" s="8" t="s">
        <v>14</v>
      </c>
      <c r="C662" s="8" t="s">
        <v>23</v>
      </c>
      <c r="D662" s="9" t="str">
        <f>HYPERLINK("https://www.marklines.com/en/global/9012","UzAuto Motors, Asaka Plant (formerly UzDaewooAuto, GM Uzbekistan)")</f>
        <v>UzAuto Motors, Asaka Plant (formerly UzDaewooAuto, GM Uzbekistan)</v>
      </c>
      <c r="E662" s="8" t="s">
        <v>633</v>
      </c>
      <c r="F662" s="8" t="s">
        <v>21</v>
      </c>
      <c r="G662" s="8" t="s">
        <v>634</v>
      </c>
      <c r="H662" s="8"/>
      <c r="I662" s="10">
        <v>44870</v>
      </c>
      <c r="J662" s="8" t="s">
        <v>948</v>
      </c>
    </row>
    <row r="663" spans="1:10" x14ac:dyDescent="0.15">
      <c r="A663" s="7">
        <v>44872</v>
      </c>
      <c r="B663" s="8" t="s">
        <v>100</v>
      </c>
      <c r="C663" s="8" t="s">
        <v>113</v>
      </c>
      <c r="D663" s="9" t="str">
        <f>HYPERLINK("https://www.marklines.com/en/global/285","PT SGMW Motor Indonesia")</f>
        <v>PT SGMW Motor Indonesia</v>
      </c>
      <c r="E663" s="8" t="s">
        <v>949</v>
      </c>
      <c r="F663" s="8" t="s">
        <v>22</v>
      </c>
      <c r="G663" s="8" t="s">
        <v>53</v>
      </c>
      <c r="H663" s="8"/>
      <c r="I663" s="10">
        <v>44868</v>
      </c>
      <c r="J663" s="8" t="s">
        <v>950</v>
      </c>
    </row>
    <row r="664" spans="1:10" x14ac:dyDescent="0.15">
      <c r="A664" s="7">
        <v>44872</v>
      </c>
      <c r="B664" s="8" t="s">
        <v>753</v>
      </c>
      <c r="C664" s="8" t="s">
        <v>753</v>
      </c>
      <c r="D664" s="9" t="str">
        <f>HYPERLINK("https://www.marklines.com/en/global/10357","Jianglai Advanced Manufacturing Technology (Anhui) Co., Ltd. (fomerly Anhui Jianghuai Automobile Group Corp., Ltd. New Energy Passenger Vehicle Branch First Plant)")</f>
        <v>Jianglai Advanced Manufacturing Technology (Anhui) Co., Ltd. (fomerly Anhui Jianghuai Automobile Group Corp., Ltd. New Energy Passenger Vehicle Branch First Plant)</v>
      </c>
      <c r="E664" s="8" t="s">
        <v>951</v>
      </c>
      <c r="F664" s="8" t="s">
        <v>25</v>
      </c>
      <c r="G664" s="8" t="s">
        <v>71</v>
      </c>
      <c r="H664" s="8" t="s">
        <v>120</v>
      </c>
      <c r="I664" s="10">
        <v>44868</v>
      </c>
      <c r="J664" s="8" t="s">
        <v>952</v>
      </c>
    </row>
    <row r="665" spans="1:10" x14ac:dyDescent="0.15">
      <c r="A665" s="7">
        <v>44872</v>
      </c>
      <c r="B665" s="8" t="s">
        <v>753</v>
      </c>
      <c r="C665" s="8" t="s">
        <v>753</v>
      </c>
      <c r="D665" s="9" t="str">
        <f>HYPERLINK("https://www.marklines.com/en/global/10444","Anhui Jianghuai Automobile Group Corp., Ltd. New Energy Passenger Vehicle Branch Second Plant")</f>
        <v>Anhui Jianghuai Automobile Group Corp., Ltd. New Energy Passenger Vehicle Branch Second Plant</v>
      </c>
      <c r="E665" s="8" t="s">
        <v>953</v>
      </c>
      <c r="F665" s="8" t="s">
        <v>25</v>
      </c>
      <c r="G665" s="8" t="s">
        <v>71</v>
      </c>
      <c r="H665" s="8" t="s">
        <v>120</v>
      </c>
      <c r="I665" s="10">
        <v>44868</v>
      </c>
      <c r="J665" s="8" t="s">
        <v>952</v>
      </c>
    </row>
    <row r="666" spans="1:10" x14ac:dyDescent="0.15">
      <c r="A666" s="7">
        <v>44872</v>
      </c>
      <c r="B666" s="8" t="s">
        <v>76</v>
      </c>
      <c r="C666" s="8" t="s">
        <v>954</v>
      </c>
      <c r="D666" s="9" t="str">
        <f>HYPERLINK("https://www.marklines.com/en/global/10480","Chongqing Livan Automobile Manufacturing Co., Ltd. Beibei Branch (formerly Chongqing Lifan Passenger Vehicle Co., Ltd. Beibei Branch)")</f>
        <v>Chongqing Livan Automobile Manufacturing Co., Ltd. Beibei Branch (formerly Chongqing Lifan Passenger Vehicle Co., Ltd. Beibei Branch)</v>
      </c>
      <c r="E666" s="8" t="s">
        <v>955</v>
      </c>
      <c r="F666" s="8" t="s">
        <v>25</v>
      </c>
      <c r="G666" s="8" t="s">
        <v>71</v>
      </c>
      <c r="H666" s="8" t="s">
        <v>81</v>
      </c>
      <c r="I666" s="10">
        <v>44867</v>
      </c>
      <c r="J666" s="8" t="s">
        <v>956</v>
      </c>
    </row>
    <row r="667" spans="1:10" x14ac:dyDescent="0.15">
      <c r="A667" s="7">
        <v>44872</v>
      </c>
      <c r="B667" s="8" t="s">
        <v>15</v>
      </c>
      <c r="C667" s="8" t="s">
        <v>286</v>
      </c>
      <c r="D667" s="9" t="str">
        <f>HYPERLINK("https://www.marklines.com/en/global/10434","Irizar e-mobility, Aduna Plant")</f>
        <v>Irizar e-mobility, Aduna Plant</v>
      </c>
      <c r="E667" s="8" t="s">
        <v>287</v>
      </c>
      <c r="F667" s="8" t="s">
        <v>20</v>
      </c>
      <c r="G667" s="8" t="s">
        <v>277</v>
      </c>
      <c r="H667" s="8"/>
      <c r="I667" s="10">
        <v>44866</v>
      </c>
      <c r="J667" s="8" t="s">
        <v>957</v>
      </c>
    </row>
    <row r="668" spans="1:10" x14ac:dyDescent="0.15">
      <c r="A668" s="7">
        <v>44872</v>
      </c>
      <c r="B668" s="8" t="s">
        <v>76</v>
      </c>
      <c r="C668" s="8" t="s">
        <v>781</v>
      </c>
      <c r="D668" s="9" t="str">
        <f>HYPERLINK("https://www.marklines.com/en/global/10387","Zeekr Automobile (Ningbo Hangzhou Bay New Zone) Co., Ltd. (formerly Ningbo Zeekr Intelligent Technology Co., Ltd.")</f>
        <v>Zeekr Automobile (Ningbo Hangzhou Bay New Zone) Co., Ltd. (formerly Ningbo Zeekr Intelligent Technology Co., Ltd.</v>
      </c>
      <c r="E668" s="8" t="s">
        <v>782</v>
      </c>
      <c r="F668" s="8" t="s">
        <v>25</v>
      </c>
      <c r="G668" s="8" t="s">
        <v>71</v>
      </c>
      <c r="H668" s="8" t="s">
        <v>78</v>
      </c>
      <c r="I668" s="10">
        <v>44866</v>
      </c>
      <c r="J668" s="8" t="s">
        <v>958</v>
      </c>
    </row>
    <row r="669" spans="1:10" x14ac:dyDescent="0.15">
      <c r="A669" s="7">
        <v>44872</v>
      </c>
      <c r="B669" s="8" t="s">
        <v>94</v>
      </c>
      <c r="C669" s="8" t="s">
        <v>94</v>
      </c>
      <c r="D669" s="9" t="str">
        <f>HYPERLINK("https://www.marklines.com/en/global/10449","Maruti Suzuki India Ltd. (MSIL), IMT Kharkhoda plant")</f>
        <v>Maruti Suzuki India Ltd. (MSIL), IMT Kharkhoda plant</v>
      </c>
      <c r="E669" s="8" t="s">
        <v>959</v>
      </c>
      <c r="F669" s="8" t="s">
        <v>69</v>
      </c>
      <c r="G669" s="8" t="s">
        <v>70</v>
      </c>
      <c r="H669" s="8" t="s">
        <v>769</v>
      </c>
      <c r="I669" s="10">
        <v>44862</v>
      </c>
      <c r="J669" s="8" t="s">
        <v>960</v>
      </c>
    </row>
    <row r="670" spans="1:10" x14ac:dyDescent="0.15">
      <c r="A670" s="7">
        <v>44872</v>
      </c>
      <c r="B670" s="8" t="s">
        <v>94</v>
      </c>
      <c r="C670" s="8" t="s">
        <v>94</v>
      </c>
      <c r="D670" s="9" t="str">
        <f>HYPERLINK("https://www.marklines.com/en/global/1255","Maruti Suzuki India Ltd. (MSIL), Manesar Plant")</f>
        <v>Maruti Suzuki India Ltd. (MSIL), Manesar Plant</v>
      </c>
      <c r="E670" s="8" t="s">
        <v>768</v>
      </c>
      <c r="F670" s="8" t="s">
        <v>69</v>
      </c>
      <c r="G670" s="8" t="s">
        <v>70</v>
      </c>
      <c r="H670" s="8" t="s">
        <v>769</v>
      </c>
      <c r="I670" s="10">
        <v>44862</v>
      </c>
      <c r="J670" s="8" t="s">
        <v>960</v>
      </c>
    </row>
    <row r="671" spans="1:10" x14ac:dyDescent="0.15">
      <c r="A671" s="7">
        <v>44872</v>
      </c>
      <c r="B671" s="8" t="s">
        <v>94</v>
      </c>
      <c r="C671" s="8" t="s">
        <v>94</v>
      </c>
      <c r="D671" s="9" t="str">
        <f>HYPERLINK("https://www.marklines.com/en/global/1287","Toyota Kirloskar Motor India (TKM), Bangalore Plant")</f>
        <v>Toyota Kirloskar Motor India (TKM), Bangalore Plant</v>
      </c>
      <c r="E671" s="8" t="s">
        <v>961</v>
      </c>
      <c r="F671" s="8" t="s">
        <v>69</v>
      </c>
      <c r="G671" s="8" t="s">
        <v>70</v>
      </c>
      <c r="H671" s="8" t="s">
        <v>549</v>
      </c>
      <c r="I671" s="10">
        <v>44862</v>
      </c>
      <c r="J671" s="8" t="s">
        <v>960</v>
      </c>
    </row>
    <row r="672" spans="1:10" x14ac:dyDescent="0.15">
      <c r="A672" s="7">
        <v>44872</v>
      </c>
      <c r="B672" s="8" t="s">
        <v>94</v>
      </c>
      <c r="C672" s="8" t="s">
        <v>94</v>
      </c>
      <c r="D672" s="9" t="str">
        <f>HYPERLINK("https://www.marklines.com/en/global/1253","Maruti Suzuki India Ltd. (MSIL), Gurgaon Plant")</f>
        <v>Maruti Suzuki India Ltd. (MSIL), Gurgaon Plant</v>
      </c>
      <c r="E672" s="8" t="s">
        <v>770</v>
      </c>
      <c r="F672" s="8" t="s">
        <v>69</v>
      </c>
      <c r="G672" s="8" t="s">
        <v>70</v>
      </c>
      <c r="H672" s="8" t="s">
        <v>769</v>
      </c>
      <c r="I672" s="10">
        <v>44862</v>
      </c>
      <c r="J672" s="8" t="s">
        <v>960</v>
      </c>
    </row>
    <row r="673" spans="1:10" x14ac:dyDescent="0.15">
      <c r="A673" s="7">
        <v>44872</v>
      </c>
      <c r="B673" s="8" t="s">
        <v>585</v>
      </c>
      <c r="C673" s="8" t="s">
        <v>586</v>
      </c>
      <c r="D673" s="9" t="str">
        <f>HYPERLINK("https://www.marklines.com/en/global/9538","Hozon New Energy Automobile Co., Ltd. (formerly Zhejiang Hozon New Energy Automobile Co., Ltd.)")</f>
        <v>Hozon New Energy Automobile Co., Ltd. (formerly Zhejiang Hozon New Energy Automobile Co., Ltd.)</v>
      </c>
      <c r="E673" s="8" t="s">
        <v>587</v>
      </c>
      <c r="F673" s="8" t="s">
        <v>25</v>
      </c>
      <c r="G673" s="8" t="s">
        <v>71</v>
      </c>
      <c r="H673" s="8" t="s">
        <v>78</v>
      </c>
      <c r="I673" s="10">
        <v>44861</v>
      </c>
      <c r="J673" s="8" t="s">
        <v>962</v>
      </c>
    </row>
    <row r="674" spans="1:10" x14ac:dyDescent="0.15">
      <c r="A674" s="7">
        <v>44870</v>
      </c>
      <c r="B674" s="8" t="s">
        <v>57</v>
      </c>
      <c r="C674" s="8" t="s">
        <v>57</v>
      </c>
      <c r="D674" s="9" t="str">
        <f>HYPERLINK("https://www.marklines.com/en/global/3141","Hyundai Motor Manufacturing Alabama, LLC, Montgomery Plant")</f>
        <v>Hyundai Motor Manufacturing Alabama, LLC, Montgomery Plant</v>
      </c>
      <c r="E674" s="8" t="s">
        <v>963</v>
      </c>
      <c r="F674" s="8" t="s">
        <v>19</v>
      </c>
      <c r="G674" s="8" t="s">
        <v>12</v>
      </c>
      <c r="H674" s="8" t="s">
        <v>273</v>
      </c>
      <c r="I674" s="10">
        <v>44869</v>
      </c>
      <c r="J674" s="8" t="s">
        <v>964</v>
      </c>
    </row>
    <row r="675" spans="1:10" x14ac:dyDescent="0.15">
      <c r="A675" s="7">
        <v>44870</v>
      </c>
      <c r="B675" s="8" t="s">
        <v>14</v>
      </c>
      <c r="C675" s="8" t="s">
        <v>23</v>
      </c>
      <c r="D675" s="9" t="str">
        <f>HYPERLINK("https://www.marklines.com/en/global/2517","General Motors, Wentzville Assembly Plant")</f>
        <v>General Motors, Wentzville Assembly Plant</v>
      </c>
      <c r="E675" s="8" t="s">
        <v>965</v>
      </c>
      <c r="F675" s="8" t="s">
        <v>19</v>
      </c>
      <c r="G675" s="8" t="s">
        <v>12</v>
      </c>
      <c r="H675" s="8" t="s">
        <v>966</v>
      </c>
      <c r="I675" s="10">
        <v>44869</v>
      </c>
      <c r="J675" s="8" t="s">
        <v>967</v>
      </c>
    </row>
    <row r="676" spans="1:10" x14ac:dyDescent="0.15">
      <c r="A676" s="7">
        <v>44870</v>
      </c>
      <c r="B676" s="8" t="s">
        <v>14</v>
      </c>
      <c r="C676" s="8" t="s">
        <v>40</v>
      </c>
      <c r="D676" s="9" t="str">
        <f>HYPERLINK("https://www.marklines.com/en/global/2517","General Motors, Wentzville Assembly Plant")</f>
        <v>General Motors, Wentzville Assembly Plant</v>
      </c>
      <c r="E676" s="8" t="s">
        <v>965</v>
      </c>
      <c r="F676" s="8" t="s">
        <v>19</v>
      </c>
      <c r="G676" s="8" t="s">
        <v>12</v>
      </c>
      <c r="H676" s="8" t="s">
        <v>966</v>
      </c>
      <c r="I676" s="10">
        <v>44869</v>
      </c>
      <c r="J676" s="8" t="s">
        <v>967</v>
      </c>
    </row>
    <row r="677" spans="1:10" x14ac:dyDescent="0.15">
      <c r="A677" s="7">
        <v>44870</v>
      </c>
      <c r="B677" s="8" t="s">
        <v>467</v>
      </c>
      <c r="C677" s="8" t="s">
        <v>467</v>
      </c>
      <c r="D677" s="9" t="str">
        <f>HYPERLINK("https://www.marklines.com/en/global/10448","Nikola Coolidge Manufacturing Facility")</f>
        <v>Nikola Coolidge Manufacturing Facility</v>
      </c>
      <c r="E677" s="8" t="s">
        <v>468</v>
      </c>
      <c r="F677" s="8" t="s">
        <v>19</v>
      </c>
      <c r="G677" s="8" t="s">
        <v>12</v>
      </c>
      <c r="H677" s="8" t="s">
        <v>469</v>
      </c>
      <c r="I677" s="10">
        <v>44868</v>
      </c>
      <c r="J677" s="8" t="s">
        <v>968</v>
      </c>
    </row>
    <row r="678" spans="1:10" x14ac:dyDescent="0.15">
      <c r="A678" s="7">
        <v>44870</v>
      </c>
      <c r="B678" s="8" t="s">
        <v>14</v>
      </c>
      <c r="C678" s="8" t="s">
        <v>14</v>
      </c>
      <c r="D678" s="9" t="str">
        <f>HYPERLINK("https://www.marklines.com/en/global/9976","Ultium Cells LLC, Warren Plant ")</f>
        <v xml:space="preserve">Ultium Cells LLC, Warren Plant </v>
      </c>
      <c r="E678" s="8" t="s">
        <v>733</v>
      </c>
      <c r="F678" s="8" t="s">
        <v>19</v>
      </c>
      <c r="G678" s="8" t="s">
        <v>12</v>
      </c>
      <c r="H678" s="8" t="s">
        <v>48</v>
      </c>
      <c r="I678" s="10">
        <v>44865</v>
      </c>
      <c r="J678" s="8" t="s">
        <v>969</v>
      </c>
    </row>
    <row r="679" spans="1:10" x14ac:dyDescent="0.15">
      <c r="A679" s="7">
        <v>44870</v>
      </c>
      <c r="B679" s="8" t="s">
        <v>14</v>
      </c>
      <c r="C679" s="8" t="s">
        <v>14</v>
      </c>
      <c r="D679" s="9" t="str">
        <f>HYPERLINK("https://www.marklines.com/en/global/10564","Ultium Cells LLC- Lansing Plant")</f>
        <v>Ultium Cells LLC- Lansing Plant</v>
      </c>
      <c r="E679" s="8" t="s">
        <v>858</v>
      </c>
      <c r="F679" s="8" t="s">
        <v>19</v>
      </c>
      <c r="G679" s="8" t="s">
        <v>12</v>
      </c>
      <c r="H679" s="8" t="s">
        <v>13</v>
      </c>
      <c r="I679" s="10">
        <v>44865</v>
      </c>
      <c r="J679" s="8" t="s">
        <v>969</v>
      </c>
    </row>
    <row r="680" spans="1:10" x14ac:dyDescent="0.15">
      <c r="A680" s="7">
        <v>44870</v>
      </c>
      <c r="B680" s="8" t="s">
        <v>14</v>
      </c>
      <c r="C680" s="8" t="s">
        <v>14</v>
      </c>
      <c r="D680" s="9" t="str">
        <f>HYPERLINK("https://www.marklines.com/en/global/10475","Ultium Cells LLC- Spring Hill, Tennessee ")</f>
        <v xml:space="preserve">Ultium Cells LLC- Spring Hill, Tennessee </v>
      </c>
      <c r="E680" s="8" t="s">
        <v>859</v>
      </c>
      <c r="F680" s="8" t="s">
        <v>19</v>
      </c>
      <c r="G680" s="8" t="s">
        <v>12</v>
      </c>
      <c r="H680" s="8" t="s">
        <v>107</v>
      </c>
      <c r="I680" s="10">
        <v>44865</v>
      </c>
      <c r="J680" s="8" t="s">
        <v>969</v>
      </c>
    </row>
    <row r="681" spans="1:10" x14ac:dyDescent="0.15">
      <c r="A681" s="7">
        <v>44869</v>
      </c>
      <c r="B681" s="8" t="s">
        <v>289</v>
      </c>
      <c r="C681" s="8" t="s">
        <v>289</v>
      </c>
      <c r="D681" s="9" t="str">
        <f>HYPERLINK("https://www.marklines.com/en/global/169","Renault S.A., Douai (Georges Besse) Plant")</f>
        <v>Renault S.A., Douai (Georges Besse) Plant</v>
      </c>
      <c r="E681" s="8" t="s">
        <v>734</v>
      </c>
      <c r="F681" s="8" t="s">
        <v>20</v>
      </c>
      <c r="G681" s="8" t="s">
        <v>86</v>
      </c>
      <c r="H681" s="8"/>
      <c r="I681" s="10">
        <v>44868</v>
      </c>
      <c r="J681" s="8" t="s">
        <v>735</v>
      </c>
    </row>
    <row r="682" spans="1:10" x14ac:dyDescent="0.15">
      <c r="A682" s="7">
        <v>44869</v>
      </c>
      <c r="B682" s="8" t="s">
        <v>73</v>
      </c>
      <c r="C682" s="8" t="s">
        <v>560</v>
      </c>
      <c r="D682" s="9" t="str">
        <f>HYPERLINK("https://www.marklines.com/en/global/2137","EvoBus, Mannheim Plant")</f>
        <v>EvoBus, Mannheim Plant</v>
      </c>
      <c r="E682" s="8" t="s">
        <v>564</v>
      </c>
      <c r="F682" s="8" t="s">
        <v>20</v>
      </c>
      <c r="G682" s="8" t="s">
        <v>29</v>
      </c>
      <c r="H682" s="8"/>
      <c r="I682" s="10">
        <v>44868</v>
      </c>
      <c r="J682" s="8" t="s">
        <v>736</v>
      </c>
    </row>
    <row r="683" spans="1:10" x14ac:dyDescent="0.15">
      <c r="A683" s="7">
        <v>44869</v>
      </c>
      <c r="B683" s="8" t="s">
        <v>27</v>
      </c>
      <c r="C683" s="8" t="s">
        <v>27</v>
      </c>
      <c r="D683" s="9" t="str">
        <f>HYPERLINK("https://www.marklines.com/en/global/2205","BMW AG, Munich Plant")</f>
        <v>BMW AG, Munich Plant</v>
      </c>
      <c r="E683" s="8" t="s">
        <v>737</v>
      </c>
      <c r="F683" s="8" t="s">
        <v>20</v>
      </c>
      <c r="G683" s="8" t="s">
        <v>29</v>
      </c>
      <c r="H683" s="8"/>
      <c r="I683" s="10">
        <v>44868</v>
      </c>
      <c r="J683" s="8" t="s">
        <v>738</v>
      </c>
    </row>
    <row r="684" spans="1:10" x14ac:dyDescent="0.15">
      <c r="A684" s="7">
        <v>44869</v>
      </c>
      <c r="B684" s="8" t="s">
        <v>27</v>
      </c>
      <c r="C684" s="8" t="s">
        <v>27</v>
      </c>
      <c r="D684" s="9" t="str">
        <f>HYPERLINK("https://www.marklines.com/en/global/9879","BMW Manufacturing Hungary Kft., Debrecen Gyar plant")</f>
        <v>BMW Manufacturing Hungary Kft., Debrecen Gyar plant</v>
      </c>
      <c r="E684" s="8" t="s">
        <v>739</v>
      </c>
      <c r="F684" s="8" t="s">
        <v>21</v>
      </c>
      <c r="G684" s="8" t="s">
        <v>495</v>
      </c>
      <c r="H684" s="8"/>
      <c r="I684" s="10">
        <v>44868</v>
      </c>
      <c r="J684" s="8" t="s">
        <v>738</v>
      </c>
    </row>
    <row r="685" spans="1:10" x14ac:dyDescent="0.15">
      <c r="A685" s="7">
        <v>44869</v>
      </c>
      <c r="B685" s="8" t="s">
        <v>27</v>
      </c>
      <c r="C685" s="8" t="s">
        <v>27</v>
      </c>
      <c r="D685" s="9" t="str">
        <f>HYPERLINK("https://www.marklines.com/en/global/10203","BMW Group Battery Cell Competence Centre (BCCC) (Munich)")</f>
        <v>BMW Group Battery Cell Competence Centre (BCCC) (Munich)</v>
      </c>
      <c r="E685" s="8" t="s">
        <v>740</v>
      </c>
      <c r="F685" s="8" t="s">
        <v>20</v>
      </c>
      <c r="G685" s="8" t="s">
        <v>29</v>
      </c>
      <c r="H685" s="8"/>
      <c r="I685" s="10">
        <v>44868</v>
      </c>
      <c r="J685" s="8" t="s">
        <v>738</v>
      </c>
    </row>
    <row r="686" spans="1:10" x14ac:dyDescent="0.15">
      <c r="A686" s="7">
        <v>44869</v>
      </c>
      <c r="B686" s="8" t="s">
        <v>27</v>
      </c>
      <c r="C686" s="8" t="s">
        <v>27</v>
      </c>
      <c r="D686" s="9" t="str">
        <f>HYPERLINK("https://www.marklines.com/en/global/10316","BMW Cell Manufacturing Competence Center (CMCC), Parsdorf")</f>
        <v>BMW Cell Manufacturing Competence Center (CMCC), Parsdorf</v>
      </c>
      <c r="E686" s="8" t="s">
        <v>741</v>
      </c>
      <c r="F686" s="8" t="s">
        <v>20</v>
      </c>
      <c r="G686" s="8" t="s">
        <v>29</v>
      </c>
      <c r="H686" s="8"/>
      <c r="I686" s="10">
        <v>44868</v>
      </c>
      <c r="J686" s="8" t="s">
        <v>738</v>
      </c>
    </row>
    <row r="687" spans="1:10" x14ac:dyDescent="0.15">
      <c r="A687" s="7">
        <v>44869</v>
      </c>
      <c r="B687" s="8" t="s">
        <v>17</v>
      </c>
      <c r="C687" s="8" t="s">
        <v>17</v>
      </c>
      <c r="D687" s="9" t="str">
        <f>HYPERLINK("https://www.marklines.com/en/global/293","PT. Honda Prospect Motor (HPM), Karawang Plant")</f>
        <v>PT. Honda Prospect Motor (HPM), Karawang Plant</v>
      </c>
      <c r="E687" s="8" t="s">
        <v>742</v>
      </c>
      <c r="F687" s="8" t="s">
        <v>22</v>
      </c>
      <c r="G687" s="8" t="s">
        <v>53</v>
      </c>
      <c r="H687" s="8"/>
      <c r="I687" s="10">
        <v>44868</v>
      </c>
      <c r="J687" s="8" t="s">
        <v>743</v>
      </c>
    </row>
    <row r="688" spans="1:10" x14ac:dyDescent="0.15">
      <c r="A688" s="7">
        <v>44869</v>
      </c>
      <c r="B688" s="8" t="s">
        <v>100</v>
      </c>
      <c r="C688" s="8" t="s">
        <v>113</v>
      </c>
      <c r="D688" s="9" t="str">
        <f>HYPERLINK("https://www.marklines.com/en/global/4153"," SAIC-GM-Wuling Automobile Co., Ltd. (SGMW)　")</f>
        <v xml:space="preserve"> SAIC-GM-Wuling Automobile Co., Ltd. (SGMW)　</v>
      </c>
      <c r="E688" s="8" t="s">
        <v>121</v>
      </c>
      <c r="F688" s="8" t="s">
        <v>25</v>
      </c>
      <c r="G688" s="8" t="s">
        <v>71</v>
      </c>
      <c r="H688" s="8" t="s">
        <v>122</v>
      </c>
      <c r="I688" s="10">
        <v>44867</v>
      </c>
      <c r="J688" s="8" t="s">
        <v>744</v>
      </c>
    </row>
    <row r="689" spans="1:10" x14ac:dyDescent="0.15">
      <c r="A689" s="7">
        <v>44869</v>
      </c>
      <c r="B689" s="8" t="s">
        <v>101</v>
      </c>
      <c r="C689" s="8" t="s">
        <v>101</v>
      </c>
      <c r="D689" s="9" t="str">
        <f>HYPERLINK("https://www.marklines.com/en/global/10589","Sunwoda Dongfeng Yichang Power Battery Plant")</f>
        <v>Sunwoda Dongfeng Yichang Power Battery Plant</v>
      </c>
      <c r="E689" s="8" t="s">
        <v>745</v>
      </c>
      <c r="F689" s="8" t="s">
        <v>25</v>
      </c>
      <c r="G689" s="8" t="s">
        <v>71</v>
      </c>
      <c r="H689" s="8" t="s">
        <v>746</v>
      </c>
      <c r="I689" s="10">
        <v>44866</v>
      </c>
      <c r="J689" s="8" t="s">
        <v>747</v>
      </c>
    </row>
    <row r="690" spans="1:10" x14ac:dyDescent="0.15">
      <c r="A690" s="7">
        <v>44869</v>
      </c>
      <c r="B690" s="8" t="s">
        <v>94</v>
      </c>
      <c r="C690" s="8" t="s">
        <v>94</v>
      </c>
      <c r="D690" s="9" t="str">
        <f>HYPERLINK("https://www.marklines.com/en/global/499","Suzuki Motor, Sagara Plant")</f>
        <v>Suzuki Motor, Sagara Plant</v>
      </c>
      <c r="E690" s="8" t="s">
        <v>748</v>
      </c>
      <c r="F690" s="8" t="s">
        <v>25</v>
      </c>
      <c r="G690" s="8" t="s">
        <v>31</v>
      </c>
      <c r="H690" s="8" t="s">
        <v>161</v>
      </c>
      <c r="I690" s="10">
        <v>44862</v>
      </c>
      <c r="J690" s="8" t="s">
        <v>749</v>
      </c>
    </row>
    <row r="691" spans="1:10" x14ac:dyDescent="0.15">
      <c r="A691" s="7">
        <v>44869</v>
      </c>
      <c r="B691" s="8" t="s">
        <v>17</v>
      </c>
      <c r="C691" s="8" t="s">
        <v>17</v>
      </c>
      <c r="D691" s="9" t="str">
        <f>HYPERLINK("https://www.marklines.com/en/global/443","Honda Motor, Suzuka Factory")</f>
        <v>Honda Motor, Suzuka Factory</v>
      </c>
      <c r="E691" s="8" t="s">
        <v>43</v>
      </c>
      <c r="F691" s="8" t="s">
        <v>25</v>
      </c>
      <c r="G691" s="8" t="s">
        <v>31</v>
      </c>
      <c r="H691" s="8" t="s">
        <v>44</v>
      </c>
      <c r="I691" s="10">
        <v>44861</v>
      </c>
      <c r="J691" s="8" t="s">
        <v>750</v>
      </c>
    </row>
    <row r="692" spans="1:10" x14ac:dyDescent="0.15">
      <c r="A692" s="7">
        <v>44869</v>
      </c>
      <c r="B692" s="8" t="s">
        <v>17</v>
      </c>
      <c r="C692" s="8" t="s">
        <v>17</v>
      </c>
      <c r="D692" s="9" t="str">
        <f>HYPERLINK("https://www.marklines.com/en/global/439","Honda Motor, Saitama Factory Automobile Plant")</f>
        <v>Honda Motor, Saitama Factory Automobile Plant</v>
      </c>
      <c r="E692" s="8" t="s">
        <v>45</v>
      </c>
      <c r="F692" s="8" t="s">
        <v>25</v>
      </c>
      <c r="G692" s="8" t="s">
        <v>31</v>
      </c>
      <c r="H692" s="8" t="s">
        <v>46</v>
      </c>
      <c r="I692" s="10">
        <v>44861</v>
      </c>
      <c r="J692" s="8" t="s">
        <v>750</v>
      </c>
    </row>
    <row r="693" spans="1:10" x14ac:dyDescent="0.15">
      <c r="A693" s="7">
        <v>44869</v>
      </c>
      <c r="B693" s="8" t="s">
        <v>30</v>
      </c>
      <c r="C693" s="8" t="s">
        <v>30</v>
      </c>
      <c r="D693" s="9" t="str">
        <f>HYPERLINK("https://www.marklines.com/en/global/33","Kuozui Motors, Kuanyin Plant")</f>
        <v>Kuozui Motors, Kuanyin Plant</v>
      </c>
      <c r="E693" s="8" t="s">
        <v>751</v>
      </c>
      <c r="F693" s="8" t="s">
        <v>25</v>
      </c>
      <c r="G693" s="8" t="s">
        <v>318</v>
      </c>
      <c r="H693" s="8"/>
      <c r="I693" s="10">
        <v>44860</v>
      </c>
      <c r="J693" s="8" t="s">
        <v>752</v>
      </c>
    </row>
    <row r="694" spans="1:10" x14ac:dyDescent="0.15">
      <c r="A694" s="7">
        <v>44869</v>
      </c>
      <c r="B694" s="8" t="s">
        <v>753</v>
      </c>
      <c r="C694" s="8" t="s">
        <v>753</v>
      </c>
      <c r="D694" s="9" t="str">
        <f>HYPERLINK("https://www.marklines.com/en/global/9503","Shanghai NIO Automobile Co., Ltd.")</f>
        <v>Shanghai NIO Automobile Co., Ltd.</v>
      </c>
      <c r="E694" s="8" t="s">
        <v>754</v>
      </c>
      <c r="F694" s="8" t="s">
        <v>25</v>
      </c>
      <c r="G694" s="8" t="s">
        <v>71</v>
      </c>
      <c r="H694" s="8" t="s">
        <v>72</v>
      </c>
      <c r="I694" s="10">
        <v>44859</v>
      </c>
      <c r="J694" s="8" t="s">
        <v>755</v>
      </c>
    </row>
    <row r="695" spans="1:10" x14ac:dyDescent="0.15">
      <c r="A695" s="7">
        <v>44869</v>
      </c>
      <c r="B695" s="8" t="s">
        <v>101</v>
      </c>
      <c r="C695" s="8" t="s">
        <v>101</v>
      </c>
      <c r="D695" s="9" t="str">
        <f>HYPERLINK("https://www.marklines.com/en/global/10589","Sunwoda Dongfeng Yichang Power Battery Plant")</f>
        <v>Sunwoda Dongfeng Yichang Power Battery Plant</v>
      </c>
      <c r="E695" s="8" t="s">
        <v>745</v>
      </c>
      <c r="F695" s="8" t="s">
        <v>25</v>
      </c>
      <c r="G695" s="8" t="s">
        <v>71</v>
      </c>
      <c r="H695" s="8" t="s">
        <v>746</v>
      </c>
      <c r="I695" s="10">
        <v>44820</v>
      </c>
      <c r="J695" s="8" t="s">
        <v>756</v>
      </c>
    </row>
    <row r="696" spans="1:10" x14ac:dyDescent="0.15">
      <c r="A696" s="7">
        <v>44868</v>
      </c>
      <c r="B696" s="8" t="s">
        <v>289</v>
      </c>
      <c r="C696" s="8" t="s">
        <v>289</v>
      </c>
      <c r="D696" s="9" t="str">
        <f>HYPERLINK("https://www.marklines.com/en/global/10414","Verkor SA")</f>
        <v>Verkor SA</v>
      </c>
      <c r="E696" s="8" t="s">
        <v>757</v>
      </c>
      <c r="F696" s="8" t="s">
        <v>20</v>
      </c>
      <c r="G696" s="8" t="s">
        <v>86</v>
      </c>
      <c r="H696" s="8"/>
      <c r="I696" s="10">
        <v>44867</v>
      </c>
      <c r="J696" s="8" t="s">
        <v>758</v>
      </c>
    </row>
    <row r="697" spans="1:10" x14ac:dyDescent="0.15">
      <c r="A697" s="7">
        <v>44868</v>
      </c>
      <c r="B697" s="8" t="s">
        <v>11</v>
      </c>
      <c r="C697" s="8" t="s">
        <v>759</v>
      </c>
      <c r="D697" s="9" t="str">
        <f>HYPERLINK("https://www.marklines.com/en/global/2695","Scania AB, Södertälje Plant")</f>
        <v>Scania AB, Södertälje Plant</v>
      </c>
      <c r="E697" s="8" t="s">
        <v>760</v>
      </c>
      <c r="F697" s="8" t="s">
        <v>20</v>
      </c>
      <c r="G697" s="8" t="s">
        <v>34</v>
      </c>
      <c r="H697" s="8"/>
      <c r="I697" s="10">
        <v>44867</v>
      </c>
      <c r="J697" s="8" t="s">
        <v>761</v>
      </c>
    </row>
    <row r="698" spans="1:10" x14ac:dyDescent="0.15">
      <c r="A698" s="7">
        <v>44868</v>
      </c>
      <c r="B698" s="8" t="s">
        <v>762</v>
      </c>
      <c r="C698" s="8" t="s">
        <v>762</v>
      </c>
      <c r="D698" s="9" t="str">
        <f>HYPERLINK("https://www.marklines.com/en/global/1315","Ferrari N.V., Maranello Plant")</f>
        <v>Ferrari N.V., Maranello Plant</v>
      </c>
      <c r="E698" s="8" t="s">
        <v>763</v>
      </c>
      <c r="F698" s="8" t="s">
        <v>20</v>
      </c>
      <c r="G698" s="8" t="s">
        <v>110</v>
      </c>
      <c r="H698" s="8"/>
      <c r="I698" s="10">
        <v>44867</v>
      </c>
      <c r="J698" s="8" t="s">
        <v>764</v>
      </c>
    </row>
    <row r="699" spans="1:10" x14ac:dyDescent="0.15">
      <c r="A699" s="7">
        <v>44868</v>
      </c>
      <c r="B699" s="8" t="s">
        <v>15</v>
      </c>
      <c r="C699" s="8" t="s">
        <v>15</v>
      </c>
      <c r="D699" s="9" t="str">
        <f>HYPERLINK("https://www.marklines.com/en/global/1809","Magna Steyr Fahrzeugtechnik AG &amp; Co KG, Graz Plant")</f>
        <v>Magna Steyr Fahrzeugtechnik AG &amp; Co KG, Graz Plant</v>
      </c>
      <c r="E699" s="8" t="s">
        <v>152</v>
      </c>
      <c r="F699" s="8" t="s">
        <v>20</v>
      </c>
      <c r="G699" s="8" t="s">
        <v>106</v>
      </c>
      <c r="H699" s="8"/>
      <c r="I699" s="10">
        <v>44867</v>
      </c>
      <c r="J699" s="8" t="s">
        <v>765</v>
      </c>
    </row>
    <row r="700" spans="1:10" x14ac:dyDescent="0.15">
      <c r="A700" s="7">
        <v>44868</v>
      </c>
      <c r="B700" s="8" t="s">
        <v>94</v>
      </c>
      <c r="C700" s="8" t="s">
        <v>94</v>
      </c>
      <c r="D700" s="9" t="str">
        <f>HYPERLINK("https://www.marklines.com/en/global/1256","Suzuki Motor Gujarat Private Limited (SMG), Hansalpur plant")</f>
        <v>Suzuki Motor Gujarat Private Limited (SMG), Hansalpur plant</v>
      </c>
      <c r="E700" s="8" t="s">
        <v>766</v>
      </c>
      <c r="F700" s="8" t="s">
        <v>69</v>
      </c>
      <c r="G700" s="8" t="s">
        <v>70</v>
      </c>
      <c r="H700" s="8" t="s">
        <v>498</v>
      </c>
      <c r="I700" s="10">
        <v>44867</v>
      </c>
      <c r="J700" s="8" t="s">
        <v>767</v>
      </c>
    </row>
    <row r="701" spans="1:10" x14ac:dyDescent="0.15">
      <c r="A701" s="7">
        <v>44868</v>
      </c>
      <c r="B701" s="8" t="s">
        <v>94</v>
      </c>
      <c r="C701" s="8" t="s">
        <v>94</v>
      </c>
      <c r="D701" s="9" t="str">
        <f>HYPERLINK("https://www.marklines.com/en/global/1255","Maruti Suzuki India Ltd. (MSIL), Manesar Plant")</f>
        <v>Maruti Suzuki India Ltd. (MSIL), Manesar Plant</v>
      </c>
      <c r="E701" s="8" t="s">
        <v>768</v>
      </c>
      <c r="F701" s="8" t="s">
        <v>69</v>
      </c>
      <c r="G701" s="8" t="s">
        <v>70</v>
      </c>
      <c r="H701" s="8" t="s">
        <v>769</v>
      </c>
      <c r="I701" s="10">
        <v>44867</v>
      </c>
      <c r="J701" s="8" t="s">
        <v>767</v>
      </c>
    </row>
    <row r="702" spans="1:10" x14ac:dyDescent="0.15">
      <c r="A702" s="7">
        <v>44868</v>
      </c>
      <c r="B702" s="8" t="s">
        <v>94</v>
      </c>
      <c r="C702" s="8" t="s">
        <v>94</v>
      </c>
      <c r="D702" s="9" t="str">
        <f>HYPERLINK("https://www.marklines.com/en/global/1253","Maruti Suzuki India Ltd. (MSIL), Gurgaon Plant")</f>
        <v>Maruti Suzuki India Ltd. (MSIL), Gurgaon Plant</v>
      </c>
      <c r="E702" s="8" t="s">
        <v>770</v>
      </c>
      <c r="F702" s="8" t="s">
        <v>69</v>
      </c>
      <c r="G702" s="8" t="s">
        <v>70</v>
      </c>
      <c r="H702" s="8" t="s">
        <v>769</v>
      </c>
      <c r="I702" s="10">
        <v>44867</v>
      </c>
      <c r="J702" s="8" t="s">
        <v>767</v>
      </c>
    </row>
    <row r="703" spans="1:10" x14ac:dyDescent="0.15">
      <c r="A703" s="7">
        <v>44868</v>
      </c>
      <c r="B703" s="8" t="s">
        <v>771</v>
      </c>
      <c r="C703" s="8" t="s">
        <v>771</v>
      </c>
      <c r="D703" s="9" t="str">
        <f>HYPERLINK("https://www.marklines.com/en/global/10491","Canoo, Pryor Assembly Plant")</f>
        <v>Canoo, Pryor Assembly Plant</v>
      </c>
      <c r="E703" s="8" t="s">
        <v>772</v>
      </c>
      <c r="F703" s="8" t="s">
        <v>19</v>
      </c>
      <c r="G703" s="8" t="s">
        <v>12</v>
      </c>
      <c r="H703" s="8" t="s">
        <v>773</v>
      </c>
      <c r="I703" s="10">
        <v>44867</v>
      </c>
      <c r="J703" s="8" t="s">
        <v>774</v>
      </c>
    </row>
    <row r="704" spans="1:10" x14ac:dyDescent="0.15">
      <c r="A704" s="7">
        <v>44868</v>
      </c>
      <c r="B704" s="8" t="s">
        <v>467</v>
      </c>
      <c r="C704" s="8" t="s">
        <v>467</v>
      </c>
      <c r="D704" s="9" t="str">
        <f>HYPERLINK("https://www.marklines.com/en/global/10448","Nikola Coolidge Manufacturing Facility")</f>
        <v>Nikola Coolidge Manufacturing Facility</v>
      </c>
      <c r="E704" s="8" t="s">
        <v>468</v>
      </c>
      <c r="F704" s="8" t="s">
        <v>19</v>
      </c>
      <c r="G704" s="8" t="s">
        <v>12</v>
      </c>
      <c r="H704" s="8" t="s">
        <v>469</v>
      </c>
      <c r="I704" s="10">
        <v>44867</v>
      </c>
      <c r="J704" s="8" t="s">
        <v>775</v>
      </c>
    </row>
    <row r="705" spans="1:10" x14ac:dyDescent="0.15">
      <c r="A705" s="7">
        <v>44868</v>
      </c>
      <c r="B705" s="8" t="s">
        <v>56</v>
      </c>
      <c r="C705" s="8" t="s">
        <v>56</v>
      </c>
      <c r="D705" s="9" t="str">
        <f>HYPERLINK("https://www.marklines.com/en/global/2615","Ford Motor Canada, Essex Engine Plant")</f>
        <v>Ford Motor Canada, Essex Engine Plant</v>
      </c>
      <c r="E705" s="8" t="s">
        <v>776</v>
      </c>
      <c r="F705" s="8" t="s">
        <v>19</v>
      </c>
      <c r="G705" s="8" t="s">
        <v>630</v>
      </c>
      <c r="H705" s="8"/>
      <c r="I705" s="10">
        <v>44866</v>
      </c>
      <c r="J705" s="8" t="s">
        <v>777</v>
      </c>
    </row>
    <row r="706" spans="1:10" x14ac:dyDescent="0.15">
      <c r="A706" s="7">
        <v>44868</v>
      </c>
      <c r="B706" s="8" t="s">
        <v>59</v>
      </c>
      <c r="C706" s="8" t="s">
        <v>63</v>
      </c>
      <c r="D706" s="9" t="str">
        <f>HYPERLINK("https://www.marklines.com/en/global/8835","Stellantis, Fiat Powertrain Technologies, Betim Plant")</f>
        <v>Stellantis, Fiat Powertrain Technologies, Betim Plant</v>
      </c>
      <c r="E706" s="8" t="s">
        <v>778</v>
      </c>
      <c r="F706" s="8" t="s">
        <v>24</v>
      </c>
      <c r="G706" s="8" t="s">
        <v>68</v>
      </c>
      <c r="H706" s="8"/>
      <c r="I706" s="10">
        <v>44866</v>
      </c>
      <c r="J706" s="8" t="s">
        <v>779</v>
      </c>
    </row>
    <row r="707" spans="1:10" x14ac:dyDescent="0.15">
      <c r="A707" s="7">
        <v>44868</v>
      </c>
      <c r="B707" s="8" t="s">
        <v>59</v>
      </c>
      <c r="C707" s="8" t="s">
        <v>63</v>
      </c>
      <c r="D707" s="9" t="str">
        <f>HYPERLINK("https://www.marklines.com/en/global/2923","Stellantis, Fiat Powertrain Technologies, Campo Largo Plant")</f>
        <v>Stellantis, Fiat Powertrain Technologies, Campo Largo Plant</v>
      </c>
      <c r="E707" s="8" t="s">
        <v>780</v>
      </c>
      <c r="F707" s="8" t="s">
        <v>24</v>
      </c>
      <c r="G707" s="8" t="s">
        <v>68</v>
      </c>
      <c r="H707" s="8"/>
      <c r="I707" s="10">
        <v>44866</v>
      </c>
      <c r="J707" s="8" t="s">
        <v>779</v>
      </c>
    </row>
    <row r="708" spans="1:10" x14ac:dyDescent="0.15">
      <c r="A708" s="7">
        <v>44868</v>
      </c>
      <c r="B708" s="8" t="s">
        <v>76</v>
      </c>
      <c r="C708" s="8" t="s">
        <v>781</v>
      </c>
      <c r="D708" s="9" t="str">
        <f>HYPERLINK("https://www.marklines.com/en/global/10387","Zeekr Automobile (Ningbo Hangzhou Bay New Zone) Co., Ltd. (formerly Ningbo Zeekr Intelligent Technology Co., Ltd.")</f>
        <v>Zeekr Automobile (Ningbo Hangzhou Bay New Zone) Co., Ltd. (formerly Ningbo Zeekr Intelligent Technology Co., Ltd.</v>
      </c>
      <c r="E708" s="8" t="s">
        <v>782</v>
      </c>
      <c r="F708" s="8" t="s">
        <v>25</v>
      </c>
      <c r="G708" s="8" t="s">
        <v>71</v>
      </c>
      <c r="H708" s="8" t="s">
        <v>78</v>
      </c>
      <c r="I708" s="10">
        <v>44865</v>
      </c>
      <c r="J708" s="8" t="s">
        <v>783</v>
      </c>
    </row>
    <row r="709" spans="1:10" x14ac:dyDescent="0.15">
      <c r="A709" s="7">
        <v>44868</v>
      </c>
      <c r="B709" s="8" t="s">
        <v>89</v>
      </c>
      <c r="C709" s="8" t="s">
        <v>523</v>
      </c>
      <c r="D709" s="9" t="str">
        <f>HYPERLINK("https://www.marklines.com/en/global/9837","Great Wall Automobile Co., Ltd. Taizhou Branch")</f>
        <v>Great Wall Automobile Co., Ltd. Taizhou Branch</v>
      </c>
      <c r="E709" s="8" t="s">
        <v>524</v>
      </c>
      <c r="F709" s="8" t="s">
        <v>25</v>
      </c>
      <c r="G709" s="8" t="s">
        <v>71</v>
      </c>
      <c r="H709" s="8" t="s">
        <v>351</v>
      </c>
      <c r="I709" s="10">
        <v>44865</v>
      </c>
      <c r="J709" s="8" t="s">
        <v>784</v>
      </c>
    </row>
    <row r="710" spans="1:10" x14ac:dyDescent="0.15">
      <c r="A710" s="7">
        <v>44868</v>
      </c>
      <c r="B710" s="8" t="s">
        <v>439</v>
      </c>
      <c r="C710" s="8" t="s">
        <v>704</v>
      </c>
      <c r="D710" s="9" t="str">
        <f>HYPERLINK("https://www.marklines.com/en/global/9246","Beiqi Foton Motor Co., Ltd. Foshan Automobile Plant")</f>
        <v>Beiqi Foton Motor Co., Ltd. Foshan Automobile Plant</v>
      </c>
      <c r="E710" s="8" t="s">
        <v>785</v>
      </c>
      <c r="F710" s="8" t="s">
        <v>25</v>
      </c>
      <c r="G710" s="8" t="s">
        <v>71</v>
      </c>
      <c r="H710" s="8" t="s">
        <v>83</v>
      </c>
      <c r="I710" s="10">
        <v>44862</v>
      </c>
      <c r="J710" s="8" t="s">
        <v>786</v>
      </c>
    </row>
    <row r="711" spans="1:10" x14ac:dyDescent="0.15">
      <c r="A711" s="7">
        <v>44868</v>
      </c>
      <c r="B711" s="8" t="s">
        <v>101</v>
      </c>
      <c r="C711" s="8" t="s">
        <v>101</v>
      </c>
      <c r="D711" s="9" t="str">
        <f>HYPERLINK("https://www.marklines.com/en/global/3977","Dongfeng Passenger Vehicle Company")</f>
        <v>Dongfeng Passenger Vehicle Company</v>
      </c>
      <c r="E711" s="8" t="s">
        <v>624</v>
      </c>
      <c r="F711" s="8" t="s">
        <v>25</v>
      </c>
      <c r="G711" s="8" t="s">
        <v>71</v>
      </c>
      <c r="H711" s="8" t="s">
        <v>90</v>
      </c>
      <c r="I711" s="10">
        <v>44862</v>
      </c>
      <c r="J711" s="8" t="s">
        <v>787</v>
      </c>
    </row>
    <row r="712" spans="1:10" x14ac:dyDescent="0.15">
      <c r="A712" s="7">
        <v>44868</v>
      </c>
      <c r="B712" s="8" t="s">
        <v>57</v>
      </c>
      <c r="C712" s="8" t="s">
        <v>57</v>
      </c>
      <c r="D712" s="9" t="str">
        <f>HYPERLINK("https://www.marklines.com/en/global/10587","Hyundai Motor Group Metaplant America (HMGMA) LLC")</f>
        <v>Hyundai Motor Group Metaplant America (HMGMA) LLC</v>
      </c>
      <c r="E712" s="8" t="s">
        <v>788</v>
      </c>
      <c r="F712" s="8" t="s">
        <v>19</v>
      </c>
      <c r="G712" s="8" t="s">
        <v>12</v>
      </c>
      <c r="H712" s="8" t="s">
        <v>789</v>
      </c>
      <c r="I712" s="10">
        <v>44859</v>
      </c>
      <c r="J712" s="8" t="s">
        <v>790</v>
      </c>
    </row>
    <row r="713" spans="1:10" x14ac:dyDescent="0.15">
      <c r="A713" s="7">
        <v>44867</v>
      </c>
      <c r="B713" s="8" t="s">
        <v>15</v>
      </c>
      <c r="C713" s="8" t="s">
        <v>791</v>
      </c>
      <c r="D713" s="9" t="str">
        <f>HYPERLINK("https://www.marklines.com/en/global/10472","Alexander Dennis Ltd., Plaxton – Scarborough Plant")</f>
        <v>Alexander Dennis Ltd., Plaxton – Scarborough Plant</v>
      </c>
      <c r="E713" s="8" t="s">
        <v>792</v>
      </c>
      <c r="F713" s="8" t="s">
        <v>20</v>
      </c>
      <c r="G713" s="8" t="s">
        <v>98</v>
      </c>
      <c r="H713" s="8"/>
      <c r="I713" s="10">
        <v>44866</v>
      </c>
      <c r="J713" s="8" t="s">
        <v>793</v>
      </c>
    </row>
    <row r="714" spans="1:10" x14ac:dyDescent="0.15">
      <c r="A714" s="7">
        <v>44867</v>
      </c>
      <c r="B714" s="8" t="s">
        <v>15</v>
      </c>
      <c r="C714" s="8" t="s">
        <v>791</v>
      </c>
      <c r="D714" s="9" t="str">
        <f>HYPERLINK("https://www.marklines.com/en/global/1533","Alexander Dennis Ltd. Bus Body Group, Falkirk Plant")</f>
        <v>Alexander Dennis Ltd. Bus Body Group, Falkirk Plant</v>
      </c>
      <c r="E714" s="8" t="s">
        <v>794</v>
      </c>
      <c r="F714" s="8" t="s">
        <v>20</v>
      </c>
      <c r="G714" s="8" t="s">
        <v>98</v>
      </c>
      <c r="H714" s="8"/>
      <c r="I714" s="10">
        <v>44866</v>
      </c>
      <c r="J714" s="8" t="s">
        <v>793</v>
      </c>
    </row>
    <row r="715" spans="1:10" x14ac:dyDescent="0.15">
      <c r="A715" s="7">
        <v>44867</v>
      </c>
      <c r="B715" s="8" t="s">
        <v>327</v>
      </c>
      <c r="C715" s="8" t="s">
        <v>327</v>
      </c>
      <c r="D715" s="9" t="str">
        <f>HYPERLINK("https://www.marklines.com/en/global/9812","Tesla (Shanghai) Co., Ltd.")</f>
        <v>Tesla (Shanghai) Co., Ltd.</v>
      </c>
      <c r="E715" s="8" t="s">
        <v>795</v>
      </c>
      <c r="F715" s="8" t="s">
        <v>25</v>
      </c>
      <c r="G715" s="8" t="s">
        <v>71</v>
      </c>
      <c r="H715" s="8" t="s">
        <v>72</v>
      </c>
      <c r="I715" s="10">
        <v>44866</v>
      </c>
      <c r="J715" s="8" t="s">
        <v>796</v>
      </c>
    </row>
    <row r="716" spans="1:10" x14ac:dyDescent="0.15">
      <c r="A716" s="7">
        <v>44867</v>
      </c>
      <c r="B716" s="8" t="s">
        <v>327</v>
      </c>
      <c r="C716" s="8" t="s">
        <v>327</v>
      </c>
      <c r="D716" s="9" t="str">
        <f>HYPERLINK("https://www.marklines.com/en/global/3283","Tesla, Fremont Plant")</f>
        <v>Tesla, Fremont Plant</v>
      </c>
      <c r="E716" s="8" t="s">
        <v>607</v>
      </c>
      <c r="F716" s="8" t="s">
        <v>19</v>
      </c>
      <c r="G716" s="8" t="s">
        <v>12</v>
      </c>
      <c r="H716" s="8" t="s">
        <v>608</v>
      </c>
      <c r="I716" s="10">
        <v>44866</v>
      </c>
      <c r="J716" s="8" t="s">
        <v>796</v>
      </c>
    </row>
    <row r="717" spans="1:10" x14ac:dyDescent="0.15">
      <c r="A717" s="7">
        <v>44867</v>
      </c>
      <c r="B717" s="8" t="s">
        <v>52</v>
      </c>
      <c r="C717" s="8" t="s">
        <v>91</v>
      </c>
      <c r="D717" s="9" t="str">
        <f>HYPERLINK("https://www.marklines.com/en/global/9243","GAC Fiat Chrysler Automobiles Co., Ltd. Guangzhou Branch")</f>
        <v>GAC Fiat Chrysler Automobiles Co., Ltd. Guangzhou Branch</v>
      </c>
      <c r="E717" s="8" t="s">
        <v>797</v>
      </c>
      <c r="F717" s="8" t="s">
        <v>25</v>
      </c>
      <c r="G717" s="8" t="s">
        <v>71</v>
      </c>
      <c r="H717" s="8" t="s">
        <v>83</v>
      </c>
      <c r="I717" s="10">
        <v>44865</v>
      </c>
      <c r="J717" s="8" t="s">
        <v>798</v>
      </c>
    </row>
    <row r="718" spans="1:10" x14ac:dyDescent="0.15">
      <c r="A718" s="7">
        <v>44867</v>
      </c>
      <c r="B718" s="8" t="s">
        <v>52</v>
      </c>
      <c r="C718" s="8" t="s">
        <v>91</v>
      </c>
      <c r="D718" s="9" t="str">
        <f>HYPERLINK("https://www.marklines.com/en/global/4035","GAC Fiat Chrysler Automobiles Co., Ltd. (GAC FCA)")</f>
        <v>GAC Fiat Chrysler Automobiles Co., Ltd. (GAC FCA)</v>
      </c>
      <c r="E718" s="8" t="s">
        <v>799</v>
      </c>
      <c r="F718" s="8" t="s">
        <v>25</v>
      </c>
      <c r="G718" s="8" t="s">
        <v>71</v>
      </c>
      <c r="H718" s="8" t="s">
        <v>482</v>
      </c>
      <c r="I718" s="10">
        <v>44865</v>
      </c>
      <c r="J718" s="8" t="s">
        <v>798</v>
      </c>
    </row>
    <row r="719" spans="1:10" x14ac:dyDescent="0.15">
      <c r="A719" s="7">
        <v>44867</v>
      </c>
      <c r="B719" s="8" t="s">
        <v>327</v>
      </c>
      <c r="C719" s="8" t="s">
        <v>327</v>
      </c>
      <c r="D719" s="9" t="str">
        <f>HYPERLINK("https://www.marklines.com/en/global/10321","Tesla Gigafactory Texas")</f>
        <v>Tesla Gigafactory Texas</v>
      </c>
      <c r="E719" s="8" t="s">
        <v>331</v>
      </c>
      <c r="F719" s="8" t="s">
        <v>19</v>
      </c>
      <c r="G719" s="8" t="s">
        <v>12</v>
      </c>
      <c r="H719" s="8" t="s">
        <v>332</v>
      </c>
      <c r="I719" s="10">
        <v>44864</v>
      </c>
      <c r="J719" s="8" t="s">
        <v>800</v>
      </c>
    </row>
    <row r="720" spans="1:10" x14ac:dyDescent="0.15">
      <c r="A720" s="7">
        <v>44867</v>
      </c>
      <c r="B720" s="8" t="s">
        <v>56</v>
      </c>
      <c r="C720" s="8" t="s">
        <v>56</v>
      </c>
      <c r="D720" s="9" t="str">
        <f>HYPERLINK("https://www.marklines.com/en/global/2777","Ford Motor Argentina, Pacheco Plant")</f>
        <v>Ford Motor Argentina, Pacheco Plant</v>
      </c>
      <c r="E720" s="8" t="s">
        <v>801</v>
      </c>
      <c r="F720" s="8" t="s">
        <v>24</v>
      </c>
      <c r="G720" s="8" t="s">
        <v>18</v>
      </c>
      <c r="H720" s="8"/>
      <c r="I720" s="10">
        <v>44860</v>
      </c>
      <c r="J720" s="8" t="s">
        <v>802</v>
      </c>
    </row>
    <row r="721" spans="1:10" x14ac:dyDescent="0.15">
      <c r="A721" s="7">
        <v>44867</v>
      </c>
      <c r="B721" s="8" t="s">
        <v>535</v>
      </c>
      <c r="C721" s="8" t="s">
        <v>535</v>
      </c>
      <c r="D721" s="9" t="str">
        <f>HYPERLINK("https://www.marklines.com/en/global/10328","Human Horizons Investment Co., Ltd. (formerly Human Horizons Holdings Co., Ltd.)")</f>
        <v>Human Horizons Investment Co., Ltd. (formerly Human Horizons Holdings Co., Ltd.)</v>
      </c>
      <c r="E721" s="8" t="s">
        <v>536</v>
      </c>
      <c r="F721" s="8" t="s">
        <v>25</v>
      </c>
      <c r="G721" s="8" t="s">
        <v>71</v>
      </c>
      <c r="H721" s="8" t="s">
        <v>72</v>
      </c>
      <c r="I721" s="10">
        <v>44859</v>
      </c>
      <c r="J721" s="8" t="s">
        <v>803</v>
      </c>
    </row>
    <row r="722" spans="1:10" x14ac:dyDescent="0.15">
      <c r="A722" s="7">
        <v>44867</v>
      </c>
      <c r="B722" s="8" t="s">
        <v>535</v>
      </c>
      <c r="C722" s="8" t="s">
        <v>538</v>
      </c>
      <c r="D722" s="9" t="str">
        <f>HYPERLINK("https://www.marklines.com/en/global/3767","Jiangsu Yueda Kia Motors Co., Ltd. (First Plant) (formerly Kia Motors Co., Ltd. (First Plant))")</f>
        <v>Jiangsu Yueda Kia Motors Co., Ltd. (First Plant) (formerly Kia Motors Co., Ltd. (First Plant))</v>
      </c>
      <c r="E722" s="8" t="s">
        <v>539</v>
      </c>
      <c r="F722" s="8" t="s">
        <v>25</v>
      </c>
      <c r="G722" s="8" t="s">
        <v>71</v>
      </c>
      <c r="H722" s="8" t="s">
        <v>351</v>
      </c>
      <c r="I722" s="10">
        <v>44859</v>
      </c>
      <c r="J722" s="8" t="s">
        <v>803</v>
      </c>
    </row>
    <row r="723" spans="1:10" x14ac:dyDescent="0.15">
      <c r="A723" s="7">
        <v>44866</v>
      </c>
      <c r="B723" s="8" t="s">
        <v>15</v>
      </c>
      <c r="C723" s="8" t="s">
        <v>791</v>
      </c>
      <c r="D723" s="9" t="str">
        <f>HYPERLINK("https://www.marklines.com/en/global/10472","Alexander Dennis Ltd., Plaxton – Scarborough Plant")</f>
        <v>Alexander Dennis Ltd., Plaxton – Scarborough Plant</v>
      </c>
      <c r="E723" s="8" t="s">
        <v>792</v>
      </c>
      <c r="F723" s="8" t="s">
        <v>20</v>
      </c>
      <c r="G723" s="8" t="s">
        <v>98</v>
      </c>
      <c r="H723" s="8"/>
      <c r="I723" s="10">
        <v>44866</v>
      </c>
      <c r="J723" s="8" t="s">
        <v>804</v>
      </c>
    </row>
    <row r="724" spans="1:10" x14ac:dyDescent="0.15">
      <c r="A724" s="7">
        <v>44866</v>
      </c>
      <c r="B724" s="8" t="s">
        <v>15</v>
      </c>
      <c r="C724" s="8" t="s">
        <v>791</v>
      </c>
      <c r="D724" s="9" t="str">
        <f>HYPERLINK("https://www.marklines.com/en/global/1533","Alexander Dennis Ltd. Bus Body Group, Falkirk Plant")</f>
        <v>Alexander Dennis Ltd. Bus Body Group, Falkirk Plant</v>
      </c>
      <c r="E724" s="8" t="s">
        <v>794</v>
      </c>
      <c r="F724" s="8" t="s">
        <v>20</v>
      </c>
      <c r="G724" s="8" t="s">
        <v>98</v>
      </c>
      <c r="H724" s="8"/>
      <c r="I724" s="10">
        <v>44866</v>
      </c>
      <c r="J724" s="8" t="s">
        <v>804</v>
      </c>
    </row>
    <row r="725" spans="1:10" x14ac:dyDescent="0.15">
      <c r="A725" s="7">
        <v>44866</v>
      </c>
      <c r="B725" s="8" t="s">
        <v>327</v>
      </c>
      <c r="C725" s="8" t="s">
        <v>327</v>
      </c>
      <c r="D725" s="9" t="str">
        <f>HYPERLINK("https://www.marklines.com/en/global/9895","Tesla Gigafactory Berlin-Brandenburg")</f>
        <v>Tesla Gigafactory Berlin-Brandenburg</v>
      </c>
      <c r="E725" s="8" t="s">
        <v>610</v>
      </c>
      <c r="F725" s="8" t="s">
        <v>20</v>
      </c>
      <c r="G725" s="8" t="s">
        <v>29</v>
      </c>
      <c r="H725" s="8"/>
      <c r="I725" s="10">
        <v>44865</v>
      </c>
      <c r="J725" s="8" t="s">
        <v>805</v>
      </c>
    </row>
    <row r="726" spans="1:10" x14ac:dyDescent="0.15">
      <c r="A726" s="7">
        <v>44866</v>
      </c>
      <c r="B726" s="8" t="s">
        <v>359</v>
      </c>
      <c r="C726" s="8" t="s">
        <v>806</v>
      </c>
      <c r="D726" s="9" t="str">
        <f>HYPERLINK("https://www.marklines.com/en/global/2337","Jaguar Land Rover, Solihull Plant")</f>
        <v>Jaguar Land Rover, Solihull Plant</v>
      </c>
      <c r="E726" s="8" t="s">
        <v>807</v>
      </c>
      <c r="F726" s="8" t="s">
        <v>20</v>
      </c>
      <c r="G726" s="8" t="s">
        <v>98</v>
      </c>
      <c r="H726" s="8"/>
      <c r="I726" s="10">
        <v>44865</v>
      </c>
      <c r="J726" s="8" t="s">
        <v>808</v>
      </c>
    </row>
    <row r="727" spans="1:10" x14ac:dyDescent="0.15">
      <c r="A727" s="7">
        <v>44866</v>
      </c>
      <c r="B727" s="8" t="s">
        <v>359</v>
      </c>
      <c r="C727" s="8" t="s">
        <v>809</v>
      </c>
      <c r="D727" s="9" t="str">
        <f>HYPERLINK("https://www.marklines.com/en/global/2337","Jaguar Land Rover, Solihull Plant")</f>
        <v>Jaguar Land Rover, Solihull Plant</v>
      </c>
      <c r="E727" s="8" t="s">
        <v>807</v>
      </c>
      <c r="F727" s="8" t="s">
        <v>20</v>
      </c>
      <c r="G727" s="8" t="s">
        <v>98</v>
      </c>
      <c r="H727" s="8"/>
      <c r="I727" s="10">
        <v>44865</v>
      </c>
      <c r="J727" s="8" t="s">
        <v>808</v>
      </c>
    </row>
    <row r="728" spans="1:10" x14ac:dyDescent="0.15">
      <c r="A728" s="7">
        <v>44866</v>
      </c>
      <c r="B728" s="8" t="s">
        <v>14</v>
      </c>
      <c r="C728" s="8" t="s">
        <v>23</v>
      </c>
      <c r="D728" s="9" t="str">
        <f>HYPERLINK("https://www.marklines.com/en/global/2407","GM Korea, Bupyeong Plant")</f>
        <v>GM Korea, Bupyeong Plant</v>
      </c>
      <c r="E728" s="8" t="s">
        <v>505</v>
      </c>
      <c r="F728" s="8" t="s">
        <v>25</v>
      </c>
      <c r="G728" s="8" t="s">
        <v>411</v>
      </c>
      <c r="H728" s="8"/>
      <c r="I728" s="10">
        <v>44865</v>
      </c>
      <c r="J728" s="8" t="s">
        <v>810</v>
      </c>
    </row>
    <row r="729" spans="1:10" x14ac:dyDescent="0.15">
      <c r="A729" s="7">
        <v>44866</v>
      </c>
      <c r="B729" s="8" t="s">
        <v>14</v>
      </c>
      <c r="C729" s="8" t="s">
        <v>811</v>
      </c>
      <c r="D729" s="9" t="str">
        <f>HYPERLINK("https://www.marklines.com/en/global/2407","GM Korea, Bupyeong Plant")</f>
        <v>GM Korea, Bupyeong Plant</v>
      </c>
      <c r="E729" s="8" t="s">
        <v>505</v>
      </c>
      <c r="F729" s="8" t="s">
        <v>25</v>
      </c>
      <c r="G729" s="8" t="s">
        <v>411</v>
      </c>
      <c r="H729" s="8"/>
      <c r="I729" s="10">
        <v>44865</v>
      </c>
      <c r="J729" s="8" t="s">
        <v>810</v>
      </c>
    </row>
    <row r="730" spans="1:10" x14ac:dyDescent="0.15">
      <c r="A730" s="7">
        <v>44866</v>
      </c>
      <c r="B730" s="8" t="s">
        <v>57</v>
      </c>
      <c r="C730" s="8" t="s">
        <v>812</v>
      </c>
      <c r="D730" s="9" t="str">
        <f>HYPERLINK("https://www.marklines.com/en/global/3145","Kia Georgia, Inc. (KMMG), West Point Plant")</f>
        <v>Kia Georgia, Inc. (KMMG), West Point Plant</v>
      </c>
      <c r="E730" s="8" t="s">
        <v>813</v>
      </c>
      <c r="F730" s="8" t="s">
        <v>19</v>
      </c>
      <c r="G730" s="8" t="s">
        <v>12</v>
      </c>
      <c r="H730" s="8" t="s">
        <v>814</v>
      </c>
      <c r="I730" s="10">
        <v>44861</v>
      </c>
      <c r="J730" s="8" t="s">
        <v>815</v>
      </c>
    </row>
    <row r="731" spans="1:10" x14ac:dyDescent="0.15">
      <c r="A731" s="7">
        <v>44866</v>
      </c>
      <c r="B731" s="8" t="s">
        <v>478</v>
      </c>
      <c r="C731" s="8" t="s">
        <v>478</v>
      </c>
      <c r="D731" s="9" t="str">
        <f>HYPERLINK("https://www.marklines.com/en/global/2837","Ford Motor Brazil, Camacari Plant")</f>
        <v>Ford Motor Brazil, Camacari Plant</v>
      </c>
      <c r="E731" s="8" t="s">
        <v>816</v>
      </c>
      <c r="F731" s="8" t="s">
        <v>24</v>
      </c>
      <c r="G731" s="8" t="s">
        <v>68</v>
      </c>
      <c r="H731" s="8"/>
      <c r="I731" s="10">
        <v>44861</v>
      </c>
      <c r="J731" s="8" t="s">
        <v>817</v>
      </c>
    </row>
    <row r="732" spans="1:10" x14ac:dyDescent="0.15">
      <c r="A732" s="7">
        <v>44866</v>
      </c>
      <c r="B732" s="8" t="s">
        <v>30</v>
      </c>
      <c r="C732" s="8" t="s">
        <v>30</v>
      </c>
      <c r="D732" s="9" t="str">
        <f>HYPERLINK("https://www.marklines.com/en/global/10455","Toyota Battery Manufacturing, North Carolina (TBMNC)")</f>
        <v>Toyota Battery Manufacturing, North Carolina (TBMNC)</v>
      </c>
      <c r="E732" s="8" t="s">
        <v>818</v>
      </c>
      <c r="F732" s="8" t="s">
        <v>19</v>
      </c>
      <c r="G732" s="8" t="s">
        <v>12</v>
      </c>
      <c r="H732" s="8" t="s">
        <v>315</v>
      </c>
      <c r="I732" s="10">
        <v>44856</v>
      </c>
      <c r="J732" s="8" t="s">
        <v>819</v>
      </c>
    </row>
    <row r="733" spans="1:10" x14ac:dyDescent="0.15">
      <c r="A733" s="7">
        <v>44865</v>
      </c>
      <c r="B733" s="8" t="s">
        <v>15</v>
      </c>
      <c r="C733" s="8" t="s">
        <v>820</v>
      </c>
      <c r="D733" s="9" t="str">
        <f>HYPERLINK("https://www.marklines.com/en/global/10416","Togg Otomobil Fabrikası, Gemlik Plant")</f>
        <v>Togg Otomobil Fabrikası, Gemlik Plant</v>
      </c>
      <c r="E733" s="8" t="s">
        <v>821</v>
      </c>
      <c r="F733" s="8" t="s">
        <v>295</v>
      </c>
      <c r="G733" s="8" t="s">
        <v>296</v>
      </c>
      <c r="H733" s="8"/>
      <c r="I733" s="10">
        <v>44863</v>
      </c>
      <c r="J733" s="8" t="s">
        <v>822</v>
      </c>
    </row>
    <row r="734" spans="1:10" x14ac:dyDescent="0.15">
      <c r="A734" s="7">
        <v>44865</v>
      </c>
      <c r="B734" s="8" t="s">
        <v>82</v>
      </c>
      <c r="C734" s="8" t="s">
        <v>82</v>
      </c>
      <c r="D734" s="9" t="str">
        <f>HYPERLINK("https://www.marklines.com/en/global/4075","GAC Motor Co., Ltd. (formerly Guangzhou Automobile Group Motor Co., Ltd.)")</f>
        <v>GAC Motor Co., Ltd. (formerly Guangzhou Automobile Group Motor Co., Ltd.)</v>
      </c>
      <c r="E734" s="8" t="s">
        <v>474</v>
      </c>
      <c r="F734" s="8" t="s">
        <v>25</v>
      </c>
      <c r="G734" s="8" t="s">
        <v>71</v>
      </c>
      <c r="H734" s="8" t="s">
        <v>83</v>
      </c>
      <c r="I734" s="10">
        <v>44861</v>
      </c>
      <c r="J734" s="8" t="s">
        <v>823</v>
      </c>
    </row>
    <row r="735" spans="1:10" x14ac:dyDescent="0.15">
      <c r="A735" s="7">
        <v>44865</v>
      </c>
      <c r="B735" s="8" t="s">
        <v>82</v>
      </c>
      <c r="C735" s="8" t="s">
        <v>133</v>
      </c>
      <c r="D735" s="9" t="str">
        <f>HYPERLINK("https://www.marklines.com/en/global/9824","GAC Aion New Energy Automobile Co., Ltd.")</f>
        <v>GAC Aion New Energy Automobile Co., Ltd.</v>
      </c>
      <c r="E735" s="8" t="s">
        <v>134</v>
      </c>
      <c r="F735" s="8" t="s">
        <v>25</v>
      </c>
      <c r="G735" s="8" t="s">
        <v>71</v>
      </c>
      <c r="H735" s="8" t="s">
        <v>83</v>
      </c>
      <c r="I735" s="10">
        <v>44861</v>
      </c>
      <c r="J735" s="8" t="s">
        <v>823</v>
      </c>
    </row>
    <row r="736" spans="1:10" x14ac:dyDescent="0.15">
      <c r="A736" s="7">
        <v>44865</v>
      </c>
      <c r="B736" s="8" t="s">
        <v>15</v>
      </c>
      <c r="C736" s="8" t="s">
        <v>824</v>
      </c>
      <c r="D736" s="9" t="str">
        <f>HYPERLINK("https://www.marklines.com/en/global/803","JSC UralAZ (Ural Avtomobilny Zavod), Chelyabinsk Plant")</f>
        <v>JSC UralAZ (Ural Avtomobilny Zavod), Chelyabinsk Plant</v>
      </c>
      <c r="E736" s="8" t="s">
        <v>825</v>
      </c>
      <c r="F736" s="8" t="s">
        <v>21</v>
      </c>
      <c r="G736" s="8" t="s">
        <v>16</v>
      </c>
      <c r="H736" s="8"/>
      <c r="I736" s="10">
        <v>44860</v>
      </c>
      <c r="J736" s="8" t="s">
        <v>826</v>
      </c>
    </row>
    <row r="737" spans="1:10" x14ac:dyDescent="0.15">
      <c r="A737" s="7">
        <v>44865</v>
      </c>
      <c r="B737" s="8" t="s">
        <v>82</v>
      </c>
      <c r="C737" s="8" t="s">
        <v>82</v>
      </c>
      <c r="D737" s="9" t="str">
        <f>HYPERLINK("https://www.marklines.com/en/global/4073","Guangzhou Automobile Group Co., Ltd. (GAC)")</f>
        <v>Guangzhou Automobile Group Co., Ltd. (GAC)</v>
      </c>
      <c r="E737" s="8" t="s">
        <v>827</v>
      </c>
      <c r="F737" s="8" t="s">
        <v>25</v>
      </c>
      <c r="G737" s="8" t="s">
        <v>71</v>
      </c>
      <c r="H737" s="8" t="s">
        <v>83</v>
      </c>
      <c r="I737" s="10">
        <v>44860</v>
      </c>
      <c r="J737" s="8" t="s">
        <v>828</v>
      </c>
    </row>
    <row r="738" spans="1:10" x14ac:dyDescent="0.15">
      <c r="A738" s="7">
        <v>44865</v>
      </c>
      <c r="B738" s="8" t="s">
        <v>478</v>
      </c>
      <c r="C738" s="8" t="s">
        <v>478</v>
      </c>
      <c r="D738" s="9" t="str">
        <f>HYPERLINK("https://www.marklines.com/en/global/9500","BYD Co., Ltd.")</f>
        <v>BYD Co., Ltd.</v>
      </c>
      <c r="E738" s="8" t="s">
        <v>528</v>
      </c>
      <c r="F738" s="8" t="s">
        <v>25</v>
      </c>
      <c r="G738" s="8" t="s">
        <v>71</v>
      </c>
      <c r="H738" s="8" t="s">
        <v>83</v>
      </c>
      <c r="I738" s="10">
        <v>44860</v>
      </c>
      <c r="J738" s="8" t="s">
        <v>829</v>
      </c>
    </row>
    <row r="739" spans="1:10" x14ac:dyDescent="0.15">
      <c r="A739" s="7">
        <v>44865</v>
      </c>
      <c r="B739" s="8" t="s">
        <v>89</v>
      </c>
      <c r="C739" s="8" t="s">
        <v>89</v>
      </c>
      <c r="D739" s="9" t="str">
        <f>HYPERLINK("https://www.marklines.com/en/global/3533","Great Wall Motor Company Limited (GWM)")</f>
        <v>Great Wall Motor Company Limited (GWM)</v>
      </c>
      <c r="E739" s="8" t="s">
        <v>615</v>
      </c>
      <c r="F739" s="8" t="s">
        <v>25</v>
      </c>
      <c r="G739" s="8" t="s">
        <v>71</v>
      </c>
      <c r="H739" s="8" t="s">
        <v>616</v>
      </c>
      <c r="I739" s="10">
        <v>44860</v>
      </c>
      <c r="J739" s="8" t="s">
        <v>830</v>
      </c>
    </row>
    <row r="740" spans="1:10" x14ac:dyDescent="0.15">
      <c r="A740" s="7">
        <v>44865</v>
      </c>
      <c r="B740" s="8" t="s">
        <v>89</v>
      </c>
      <c r="C740" s="8" t="s">
        <v>89</v>
      </c>
      <c r="D740" s="9" t="str">
        <f>HYPERLINK("https://www.marklines.com/en/global/3533","Great Wall Motor Company Limited (GWM)")</f>
        <v>Great Wall Motor Company Limited (GWM)</v>
      </c>
      <c r="E740" s="8" t="s">
        <v>615</v>
      </c>
      <c r="F740" s="8" t="s">
        <v>25</v>
      </c>
      <c r="G740" s="8" t="s">
        <v>71</v>
      </c>
      <c r="H740" s="8" t="s">
        <v>616</v>
      </c>
      <c r="I740" s="10">
        <v>44860</v>
      </c>
      <c r="J740" s="8" t="s">
        <v>831</v>
      </c>
    </row>
    <row r="741" spans="1:10" x14ac:dyDescent="0.15">
      <c r="A741" s="7">
        <v>44865</v>
      </c>
      <c r="B741" s="8" t="s">
        <v>76</v>
      </c>
      <c r="C741" s="8" t="s">
        <v>76</v>
      </c>
      <c r="D741" s="9" t="str">
        <f>HYPERLINK("https://www.marklines.com/en/global/9327","Zhejiang Geely Automobile Co., Ltd. Chunxiao Factory")</f>
        <v>Zhejiang Geely Automobile Co., Ltd. Chunxiao Factory</v>
      </c>
      <c r="E741" s="8" t="s">
        <v>832</v>
      </c>
      <c r="F741" s="8" t="s">
        <v>25</v>
      </c>
      <c r="G741" s="8" t="s">
        <v>71</v>
      </c>
      <c r="H741" s="8" t="s">
        <v>78</v>
      </c>
      <c r="I741" s="10">
        <v>44860</v>
      </c>
      <c r="J741" s="8" t="s">
        <v>833</v>
      </c>
    </row>
    <row r="742" spans="1:10" x14ac:dyDescent="0.15">
      <c r="A742" s="7">
        <v>44865</v>
      </c>
      <c r="B742" s="8" t="s">
        <v>76</v>
      </c>
      <c r="C742" s="8" t="s">
        <v>620</v>
      </c>
      <c r="D742" s="9" t="str">
        <f>HYPERLINK("https://www.marklines.com/en/global/9345","Geely Sichuan Commercial Vehicle Co., Ltd.")</f>
        <v>Geely Sichuan Commercial Vehicle Co., Ltd.</v>
      </c>
      <c r="E742" s="8" t="s">
        <v>621</v>
      </c>
      <c r="F742" s="8" t="s">
        <v>25</v>
      </c>
      <c r="G742" s="8" t="s">
        <v>71</v>
      </c>
      <c r="H742" s="8" t="s">
        <v>367</v>
      </c>
      <c r="I742" s="10">
        <v>44860</v>
      </c>
      <c r="J742" s="8" t="s">
        <v>834</v>
      </c>
    </row>
    <row r="743" spans="1:10" x14ac:dyDescent="0.15">
      <c r="A743" s="7">
        <v>44865</v>
      </c>
      <c r="B743" s="8" t="s">
        <v>76</v>
      </c>
      <c r="C743" s="8" t="s">
        <v>620</v>
      </c>
      <c r="D743" s="9" t="str">
        <f>HYPERLINK("https://www.marklines.com/en/global/3893","Anhui Hualing Automobile Co., Ltd.")</f>
        <v>Anhui Hualing Automobile Co., Ltd.</v>
      </c>
      <c r="E743" s="8" t="s">
        <v>693</v>
      </c>
      <c r="F743" s="8" t="s">
        <v>25</v>
      </c>
      <c r="G743" s="8" t="s">
        <v>71</v>
      </c>
      <c r="H743" s="8" t="s">
        <v>120</v>
      </c>
      <c r="I743" s="10">
        <v>44860</v>
      </c>
      <c r="J743" s="8" t="s">
        <v>834</v>
      </c>
    </row>
    <row r="744" spans="1:10" x14ac:dyDescent="0.15">
      <c r="A744" s="7">
        <v>44865</v>
      </c>
      <c r="B744" s="8" t="s">
        <v>76</v>
      </c>
      <c r="C744" s="8" t="s">
        <v>620</v>
      </c>
      <c r="D744" s="9" t="str">
        <f>HYPERLINK("https://www.marklines.com/en/global/10361","Jiangxi Geely New Energy Commercial Vehicles Co., Ltd.")</f>
        <v>Jiangxi Geely New Energy Commercial Vehicles Co., Ltd.</v>
      </c>
      <c r="E744" s="8" t="s">
        <v>623</v>
      </c>
      <c r="F744" s="8" t="s">
        <v>25</v>
      </c>
      <c r="G744" s="8" t="s">
        <v>71</v>
      </c>
      <c r="H744" s="8" t="s">
        <v>460</v>
      </c>
      <c r="I744" s="10">
        <v>44860</v>
      </c>
      <c r="J744" s="8" t="s">
        <v>834</v>
      </c>
    </row>
    <row r="745" spans="1:10" x14ac:dyDescent="0.15">
      <c r="A745" s="7">
        <v>44865</v>
      </c>
      <c r="B745" s="8" t="s">
        <v>76</v>
      </c>
      <c r="C745" s="8" t="s">
        <v>620</v>
      </c>
      <c r="D745" s="9" t="str">
        <f>HYPERLINK("https://www.marklines.com/en/global/9594","Shanxi New Energy Automobile Industry Co., Ltd.")</f>
        <v>Shanxi New Energy Automobile Industry Co., Ltd.</v>
      </c>
      <c r="E745" s="8" t="s">
        <v>835</v>
      </c>
      <c r="F745" s="8" t="s">
        <v>25</v>
      </c>
      <c r="G745" s="8" t="s">
        <v>71</v>
      </c>
      <c r="H745" s="8" t="s">
        <v>836</v>
      </c>
      <c r="I745" s="10">
        <v>44860</v>
      </c>
      <c r="J745" s="8" t="s">
        <v>834</v>
      </c>
    </row>
    <row r="746" spans="1:10" x14ac:dyDescent="0.15">
      <c r="A746" s="7">
        <v>44865</v>
      </c>
      <c r="B746" s="8" t="s">
        <v>753</v>
      </c>
      <c r="C746" s="8" t="s">
        <v>753</v>
      </c>
      <c r="D746" s="9" t="str">
        <f>HYPERLINK("https://www.marklines.com/en/global/9503","Shanghai NIO Automobile Co., Ltd.")</f>
        <v>Shanghai NIO Automobile Co., Ltd.</v>
      </c>
      <c r="E746" s="8" t="s">
        <v>754</v>
      </c>
      <c r="F746" s="8" t="s">
        <v>25</v>
      </c>
      <c r="G746" s="8" t="s">
        <v>71</v>
      </c>
      <c r="H746" s="8" t="s">
        <v>72</v>
      </c>
      <c r="I746" s="10">
        <v>44859</v>
      </c>
      <c r="J746" s="8" t="s">
        <v>837</v>
      </c>
    </row>
    <row r="747" spans="1:10" x14ac:dyDescent="0.15">
      <c r="A747" s="7">
        <v>44865</v>
      </c>
      <c r="B747" s="8" t="s">
        <v>30</v>
      </c>
      <c r="C747" s="8" t="s">
        <v>30</v>
      </c>
      <c r="D747" s="9" t="str">
        <f>HYPERLINK("https://www.marklines.com/en/global/10482","FAW Toyota Motor Co., Ltd. New Energy Branch (formerly Tianjin FAW Toyota Motor Co., Ltd. (TFTM) New Energy Branch)")</f>
        <v>FAW Toyota Motor Co., Ltd. New Energy Branch (formerly Tianjin FAW Toyota Motor Co., Ltd. (TFTM) New Energy Branch)</v>
      </c>
      <c r="E747" s="8" t="s">
        <v>838</v>
      </c>
      <c r="F747" s="8" t="s">
        <v>25</v>
      </c>
      <c r="G747" s="8" t="s">
        <v>71</v>
      </c>
      <c r="H747" s="8" t="s">
        <v>672</v>
      </c>
      <c r="I747" s="10">
        <v>44859</v>
      </c>
      <c r="J747" s="8" t="s">
        <v>839</v>
      </c>
    </row>
    <row r="748" spans="1:10" x14ac:dyDescent="0.15">
      <c r="A748" s="7">
        <v>44865</v>
      </c>
      <c r="B748" s="8" t="s">
        <v>82</v>
      </c>
      <c r="C748" s="8" t="s">
        <v>82</v>
      </c>
      <c r="D748" s="9" t="str">
        <f>HYPERLINK("https://www.marklines.com/en/global/3353","GAC Motor Co., Ltd. Yichang Branch")</f>
        <v>GAC Motor Co., Ltd. Yichang Branch</v>
      </c>
      <c r="E748" s="8" t="s">
        <v>840</v>
      </c>
      <c r="F748" s="8" t="s">
        <v>25</v>
      </c>
      <c r="G748" s="8" t="s">
        <v>71</v>
      </c>
      <c r="H748" s="8" t="s">
        <v>90</v>
      </c>
      <c r="I748" s="10">
        <v>44859</v>
      </c>
      <c r="J748" s="8" t="s">
        <v>841</v>
      </c>
    </row>
    <row r="749" spans="1:10" x14ac:dyDescent="0.15">
      <c r="A749" s="7">
        <v>44865</v>
      </c>
      <c r="B749" s="8" t="s">
        <v>82</v>
      </c>
      <c r="C749" s="8" t="s">
        <v>82</v>
      </c>
      <c r="D749" s="9" t="str">
        <f>HYPERLINK("https://www.marklines.com/en/global/4073","Guangzhou Automobile Group Co., Ltd. (GAC)")</f>
        <v>Guangzhou Automobile Group Co., Ltd. (GAC)</v>
      </c>
      <c r="E749" s="8" t="s">
        <v>827</v>
      </c>
      <c r="F749" s="8" t="s">
        <v>25</v>
      </c>
      <c r="G749" s="8" t="s">
        <v>71</v>
      </c>
      <c r="H749" s="8" t="s">
        <v>83</v>
      </c>
      <c r="I749" s="10">
        <v>44859</v>
      </c>
      <c r="J749" s="8" t="s">
        <v>842</v>
      </c>
    </row>
    <row r="750" spans="1:10" x14ac:dyDescent="0.15">
      <c r="A750" s="7">
        <v>44865</v>
      </c>
      <c r="B750" s="8" t="s">
        <v>82</v>
      </c>
      <c r="C750" s="8" t="s">
        <v>82</v>
      </c>
      <c r="D750" s="9" t="str">
        <f>HYPERLINK("https://www.marklines.com/en/global/4075","GAC Motor Co., Ltd. (formerly Guangzhou Automobile Group Motor Co., Ltd.)")</f>
        <v>GAC Motor Co., Ltd. (formerly Guangzhou Automobile Group Motor Co., Ltd.)</v>
      </c>
      <c r="E750" s="8" t="s">
        <v>474</v>
      </c>
      <c r="F750" s="8" t="s">
        <v>25</v>
      </c>
      <c r="G750" s="8" t="s">
        <v>71</v>
      </c>
      <c r="H750" s="8" t="s">
        <v>83</v>
      </c>
      <c r="I750" s="10">
        <v>44859</v>
      </c>
      <c r="J750" s="8" t="s">
        <v>842</v>
      </c>
    </row>
    <row r="751" spans="1:10" x14ac:dyDescent="0.15">
      <c r="A751" s="7">
        <v>44865</v>
      </c>
      <c r="B751" s="8" t="s">
        <v>82</v>
      </c>
      <c r="C751" s="8" t="s">
        <v>133</v>
      </c>
      <c r="D751" s="9" t="str">
        <f>HYPERLINK("https://www.marklines.com/en/global/9824","GAC Aion New Energy Automobile Co., Ltd.")</f>
        <v>GAC Aion New Energy Automobile Co., Ltd.</v>
      </c>
      <c r="E751" s="8" t="s">
        <v>134</v>
      </c>
      <c r="F751" s="8" t="s">
        <v>25</v>
      </c>
      <c r="G751" s="8" t="s">
        <v>71</v>
      </c>
      <c r="H751" s="8" t="s">
        <v>83</v>
      </c>
      <c r="I751" s="10">
        <v>44859</v>
      </c>
      <c r="J751" s="8" t="s">
        <v>842</v>
      </c>
    </row>
    <row r="752" spans="1:10" x14ac:dyDescent="0.15">
      <c r="A752" s="7">
        <v>44865</v>
      </c>
      <c r="B752" s="8" t="s">
        <v>58</v>
      </c>
      <c r="C752" s="8" t="s">
        <v>58</v>
      </c>
      <c r="D752" s="9" t="str">
        <f>HYPERLINK("https://www.marklines.com/en/global/9273","Yibin Kaiyi Automobile Co., Ltd. (Formerly Wuhu Cowin Automobile Co., Ltd.)")</f>
        <v>Yibin Kaiyi Automobile Co., Ltd. (Formerly Wuhu Cowin Automobile Co., Ltd.)</v>
      </c>
      <c r="E752" s="8" t="s">
        <v>843</v>
      </c>
      <c r="F752" s="8" t="s">
        <v>25</v>
      </c>
      <c r="G752" s="8" t="s">
        <v>71</v>
      </c>
      <c r="H752" s="8" t="s">
        <v>120</v>
      </c>
      <c r="I752" s="10">
        <v>44859</v>
      </c>
      <c r="J752" s="8" t="s">
        <v>844</v>
      </c>
    </row>
    <row r="753" spans="1:10" x14ac:dyDescent="0.15">
      <c r="A753" s="7">
        <v>44865</v>
      </c>
      <c r="B753" s="8" t="s">
        <v>57</v>
      </c>
      <c r="C753" s="8" t="s">
        <v>57</v>
      </c>
      <c r="D753" s="9" t="str">
        <f>HYPERLINK("https://www.marklines.com/en/global/10358","Hyundai Motor Hydrogen Fuel Cell System (Guangzhou) Co., Ltd. (HTWO Guangzhou)")</f>
        <v>Hyundai Motor Hydrogen Fuel Cell System (Guangzhou) Co., Ltd. (HTWO Guangzhou)</v>
      </c>
      <c r="E753" s="8" t="s">
        <v>845</v>
      </c>
      <c r="F753" s="8" t="s">
        <v>25</v>
      </c>
      <c r="G753" s="8" t="s">
        <v>71</v>
      </c>
      <c r="H753" s="8" t="s">
        <v>83</v>
      </c>
      <c r="I753" s="10">
        <v>44859</v>
      </c>
      <c r="J753" s="8" t="s">
        <v>846</v>
      </c>
    </row>
    <row r="754" spans="1:10" x14ac:dyDescent="0.15">
      <c r="A754" s="7">
        <v>44865</v>
      </c>
      <c r="B754" s="8" t="s">
        <v>289</v>
      </c>
      <c r="C754" s="8" t="s">
        <v>289</v>
      </c>
      <c r="D754" s="9" t="str">
        <f>HYPERLINK("https://www.marklines.com/en/global/165","SOVAB, Batilly Plant")</f>
        <v>SOVAB, Batilly Plant</v>
      </c>
      <c r="E754" s="8" t="s">
        <v>292</v>
      </c>
      <c r="F754" s="8" t="s">
        <v>20</v>
      </c>
      <c r="G754" s="8" t="s">
        <v>86</v>
      </c>
      <c r="H754" s="8"/>
      <c r="I754" s="10">
        <v>44858</v>
      </c>
      <c r="J754" s="8" t="s">
        <v>847</v>
      </c>
    </row>
    <row r="755" spans="1:10" x14ac:dyDescent="0.15">
      <c r="A755" s="7">
        <v>44865</v>
      </c>
      <c r="B755" s="8" t="s">
        <v>289</v>
      </c>
      <c r="C755" s="8" t="s">
        <v>289</v>
      </c>
      <c r="D755" s="9" t="str">
        <f>HYPERLINK("https://www.marklines.com/en/global/171","Renault S.A., Flins Plant - Refactory")</f>
        <v>Renault S.A., Flins Plant - Refactory</v>
      </c>
      <c r="E755" s="8" t="s">
        <v>293</v>
      </c>
      <c r="F755" s="8" t="s">
        <v>20</v>
      </c>
      <c r="G755" s="8" t="s">
        <v>86</v>
      </c>
      <c r="H755" s="8"/>
      <c r="I755" s="10">
        <v>44858</v>
      </c>
      <c r="J755" s="8" t="s">
        <v>847</v>
      </c>
    </row>
    <row r="756" spans="1:10" x14ac:dyDescent="0.15">
      <c r="A756" s="7">
        <v>44865</v>
      </c>
      <c r="B756" s="8" t="s">
        <v>289</v>
      </c>
      <c r="C756" s="8" t="s">
        <v>289</v>
      </c>
      <c r="D756" s="9" t="str">
        <f>HYPERLINK("https://www.marklines.com/en/global/10412","PVI- Groupe Renault (Renault vehicle Innovation) (Gretz Armainvilliers)")</f>
        <v>PVI- Groupe Renault (Renault vehicle Innovation) (Gretz Armainvilliers)</v>
      </c>
      <c r="E756" s="8" t="s">
        <v>290</v>
      </c>
      <c r="F756" s="8" t="s">
        <v>20</v>
      </c>
      <c r="G756" s="8" t="s">
        <v>86</v>
      </c>
      <c r="H756" s="8"/>
      <c r="I756" s="10">
        <v>44858</v>
      </c>
      <c r="J756" s="8" t="s">
        <v>847</v>
      </c>
    </row>
    <row r="757" spans="1:10" x14ac:dyDescent="0.15">
      <c r="A757" s="7">
        <v>44865</v>
      </c>
      <c r="B757" s="8" t="s">
        <v>683</v>
      </c>
      <c r="C757" s="8" t="s">
        <v>683</v>
      </c>
      <c r="D757" s="9" t="str">
        <f>HYPERLINK("https://www.marklines.com/en/global/9485","Guangzhou Xiaopeng Motors Technology Co., Ltd. ")</f>
        <v xml:space="preserve">Guangzhou Xiaopeng Motors Technology Co., Ltd. </v>
      </c>
      <c r="E757" s="8" t="s">
        <v>848</v>
      </c>
      <c r="F757" s="8" t="s">
        <v>25</v>
      </c>
      <c r="G757" s="8" t="s">
        <v>71</v>
      </c>
      <c r="H757" s="8" t="s">
        <v>83</v>
      </c>
      <c r="I757" s="10">
        <v>44858</v>
      </c>
      <c r="J757" s="8" t="s">
        <v>849</v>
      </c>
    </row>
    <row r="758" spans="1:10" x14ac:dyDescent="0.15">
      <c r="A758" s="7">
        <v>44865</v>
      </c>
      <c r="B758" s="8" t="s">
        <v>683</v>
      </c>
      <c r="C758" s="8" t="s">
        <v>683</v>
      </c>
      <c r="D758" s="9" t="str">
        <f>HYPERLINK("https://www.marklines.com/en/global/9486","Guangzhou Xiaopeng Motors Technology Co., Ltd.  Zhaoqing Plant")</f>
        <v>Guangzhou Xiaopeng Motors Technology Co., Ltd.  Zhaoqing Plant</v>
      </c>
      <c r="E758" s="8" t="s">
        <v>684</v>
      </c>
      <c r="F758" s="8" t="s">
        <v>25</v>
      </c>
      <c r="G758" s="8" t="s">
        <v>71</v>
      </c>
      <c r="H758" s="8" t="s">
        <v>437</v>
      </c>
      <c r="I758" s="10">
        <v>44858</v>
      </c>
      <c r="J758" s="8" t="s">
        <v>849</v>
      </c>
    </row>
    <row r="759" spans="1:10" x14ac:dyDescent="0.15">
      <c r="A759" s="7">
        <v>44865</v>
      </c>
      <c r="B759" s="8" t="s">
        <v>87</v>
      </c>
      <c r="C759" s="8" t="s">
        <v>88</v>
      </c>
      <c r="D759" s="9" t="str">
        <f>HYPERLINK("https://www.marklines.com/en/global/2075","Thonburi Automotive Assembly Plant Co., Ltd., Samutprakarn Plant 2")</f>
        <v>Thonburi Automotive Assembly Plant Co., Ltd., Samutprakarn Plant 2</v>
      </c>
      <c r="E759" s="8" t="s">
        <v>850</v>
      </c>
      <c r="F759" s="8" t="s">
        <v>22</v>
      </c>
      <c r="G759" s="8" t="s">
        <v>514</v>
      </c>
      <c r="H759" s="8" t="s">
        <v>851</v>
      </c>
      <c r="I759" s="10">
        <v>44856</v>
      </c>
      <c r="J759" s="8" t="s">
        <v>852</v>
      </c>
    </row>
    <row r="760" spans="1:10" x14ac:dyDescent="0.15">
      <c r="A760" s="7">
        <v>44863</v>
      </c>
      <c r="B760" s="8" t="s">
        <v>11</v>
      </c>
      <c r="C760" s="8" t="s">
        <v>26</v>
      </c>
      <c r="D760" s="9" t="str">
        <f>HYPERLINK("https://www.marklines.com/en/global/911","Volkswagen Mexico, Puebla Plant")</f>
        <v>Volkswagen Mexico, Puebla Plant</v>
      </c>
      <c r="E760" s="8" t="s">
        <v>853</v>
      </c>
      <c r="F760" s="8" t="s">
        <v>19</v>
      </c>
      <c r="G760" s="8" t="s">
        <v>47</v>
      </c>
      <c r="H760" s="8"/>
      <c r="I760" s="10">
        <v>44861</v>
      </c>
      <c r="J760" s="8" t="s">
        <v>854</v>
      </c>
    </row>
    <row r="761" spans="1:10" x14ac:dyDescent="0.15">
      <c r="A761" s="7">
        <v>44863</v>
      </c>
      <c r="B761" s="8" t="s">
        <v>56</v>
      </c>
      <c r="C761" s="8" t="s">
        <v>56</v>
      </c>
      <c r="D761" s="9" t="str">
        <f>HYPERLINK("https://www.marklines.com/en/global/4313","Sollers Ford OOO (Sollers Ford Holding Limited Liability Company)")</f>
        <v>Sollers Ford OOO (Sollers Ford Holding Limited Liability Company)</v>
      </c>
      <c r="E761" s="8" t="s">
        <v>855</v>
      </c>
      <c r="F761" s="8" t="s">
        <v>21</v>
      </c>
      <c r="G761" s="8" t="s">
        <v>16</v>
      </c>
      <c r="H761" s="8"/>
      <c r="I761" s="10">
        <v>44860</v>
      </c>
      <c r="J761" s="8" t="s">
        <v>856</v>
      </c>
    </row>
    <row r="762" spans="1:10" x14ac:dyDescent="0.15">
      <c r="A762" s="7">
        <v>44863</v>
      </c>
      <c r="B762" s="8" t="s">
        <v>56</v>
      </c>
      <c r="C762" s="8" t="s">
        <v>56</v>
      </c>
      <c r="D762" s="9" t="str">
        <f>HYPERLINK("https://www.marklines.com/en/global/687","Sollers-Yelabuga OOO, Yelabuga Plant")</f>
        <v>Sollers-Yelabuga OOO, Yelabuga Plant</v>
      </c>
      <c r="E762" s="8" t="s">
        <v>136</v>
      </c>
      <c r="F762" s="8" t="s">
        <v>21</v>
      </c>
      <c r="G762" s="8" t="s">
        <v>16</v>
      </c>
      <c r="H762" s="8"/>
      <c r="I762" s="10">
        <v>44860</v>
      </c>
      <c r="J762" s="8" t="s">
        <v>856</v>
      </c>
    </row>
    <row r="763" spans="1:10" x14ac:dyDescent="0.15">
      <c r="A763" s="7">
        <v>44863</v>
      </c>
      <c r="B763" s="8" t="s">
        <v>14</v>
      </c>
      <c r="C763" s="8" t="s">
        <v>23</v>
      </c>
      <c r="D763" s="9" t="str">
        <f>HYPERLINK("https://www.marklines.com/en/global/2459","General Motors, Factory ZERO (Detroit-Hamtramck Plant) ")</f>
        <v xml:space="preserve">General Motors, Factory ZERO (Detroit-Hamtramck Plant) </v>
      </c>
      <c r="E763" s="8" t="s">
        <v>54</v>
      </c>
      <c r="F763" s="8" t="s">
        <v>19</v>
      </c>
      <c r="G763" s="8" t="s">
        <v>12</v>
      </c>
      <c r="H763" s="8" t="s">
        <v>13</v>
      </c>
      <c r="I763" s="10">
        <v>44860</v>
      </c>
      <c r="J763" s="8" t="s">
        <v>857</v>
      </c>
    </row>
    <row r="764" spans="1:10" x14ac:dyDescent="0.15">
      <c r="A764" s="7">
        <v>44863</v>
      </c>
      <c r="B764" s="8" t="s">
        <v>14</v>
      </c>
      <c r="C764" s="8" t="s">
        <v>23</v>
      </c>
      <c r="D764" s="9" t="str">
        <f>HYPERLINK("https://www.marklines.com/en/global/10564","Ultium Cells LLC- Lansing Plant")</f>
        <v>Ultium Cells LLC- Lansing Plant</v>
      </c>
      <c r="E764" s="8" t="s">
        <v>858</v>
      </c>
      <c r="F764" s="8" t="s">
        <v>19</v>
      </c>
      <c r="G764" s="8" t="s">
        <v>12</v>
      </c>
      <c r="H764" s="8" t="s">
        <v>13</v>
      </c>
      <c r="I764" s="10">
        <v>44860</v>
      </c>
      <c r="J764" s="8" t="s">
        <v>857</v>
      </c>
    </row>
    <row r="765" spans="1:10" x14ac:dyDescent="0.15">
      <c r="A765" s="7">
        <v>44863</v>
      </c>
      <c r="B765" s="8" t="s">
        <v>14</v>
      </c>
      <c r="C765" s="8" t="s">
        <v>28</v>
      </c>
      <c r="D765" s="9" t="str">
        <f>HYPERLINK("https://www.marklines.com/en/global/2459","General Motors, Factory ZERO (Detroit-Hamtramck Plant) ")</f>
        <v xml:space="preserve">General Motors, Factory ZERO (Detroit-Hamtramck Plant) </v>
      </c>
      <c r="E765" s="8" t="s">
        <v>54</v>
      </c>
      <c r="F765" s="8" t="s">
        <v>19</v>
      </c>
      <c r="G765" s="8" t="s">
        <v>12</v>
      </c>
      <c r="H765" s="8" t="s">
        <v>13</v>
      </c>
      <c r="I765" s="10">
        <v>44860</v>
      </c>
      <c r="J765" s="8" t="s">
        <v>857</v>
      </c>
    </row>
    <row r="766" spans="1:10" x14ac:dyDescent="0.15">
      <c r="A766" s="7">
        <v>44863</v>
      </c>
      <c r="B766" s="8" t="s">
        <v>14</v>
      </c>
      <c r="C766" s="8" t="s">
        <v>28</v>
      </c>
      <c r="D766" s="9" t="str">
        <f>HYPERLINK("https://www.marklines.com/en/global/2523","General Motors, Spring Hill Manufacturing (formerly Spring Hill Assembly)")</f>
        <v>General Motors, Spring Hill Manufacturing (formerly Spring Hill Assembly)</v>
      </c>
      <c r="E766" s="8" t="s">
        <v>236</v>
      </c>
      <c r="F766" s="8" t="s">
        <v>19</v>
      </c>
      <c r="G766" s="8" t="s">
        <v>12</v>
      </c>
      <c r="H766" s="8" t="s">
        <v>107</v>
      </c>
      <c r="I766" s="10">
        <v>44860</v>
      </c>
      <c r="J766" s="8" t="s">
        <v>857</v>
      </c>
    </row>
    <row r="767" spans="1:10" x14ac:dyDescent="0.15">
      <c r="A767" s="7">
        <v>44863</v>
      </c>
      <c r="B767" s="8" t="s">
        <v>14</v>
      </c>
      <c r="C767" s="8" t="s">
        <v>28</v>
      </c>
      <c r="D767" s="9" t="str">
        <f>HYPERLINK("https://www.marklines.com/en/global/10564","Ultium Cells LLC- Lansing Plant")</f>
        <v>Ultium Cells LLC- Lansing Plant</v>
      </c>
      <c r="E767" s="8" t="s">
        <v>858</v>
      </c>
      <c r="F767" s="8" t="s">
        <v>19</v>
      </c>
      <c r="G767" s="8" t="s">
        <v>12</v>
      </c>
      <c r="H767" s="8" t="s">
        <v>13</v>
      </c>
      <c r="I767" s="10">
        <v>44860</v>
      </c>
      <c r="J767" s="8" t="s">
        <v>857</v>
      </c>
    </row>
    <row r="768" spans="1:10" x14ac:dyDescent="0.15">
      <c r="A768" s="7">
        <v>44863</v>
      </c>
      <c r="B768" s="8" t="s">
        <v>14</v>
      </c>
      <c r="C768" s="8" t="s">
        <v>28</v>
      </c>
      <c r="D768" s="9" t="str">
        <f>HYPERLINK("https://www.marklines.com/en/global/10475","Ultium Cells LLC- Spring Hill, Tennessee ")</f>
        <v xml:space="preserve">Ultium Cells LLC- Spring Hill, Tennessee </v>
      </c>
      <c r="E768" s="8" t="s">
        <v>859</v>
      </c>
      <c r="F768" s="8" t="s">
        <v>19</v>
      </c>
      <c r="G768" s="8" t="s">
        <v>12</v>
      </c>
      <c r="H768" s="8" t="s">
        <v>107</v>
      </c>
      <c r="I768" s="10">
        <v>44860</v>
      </c>
      <c r="J768" s="8" t="s">
        <v>857</v>
      </c>
    </row>
    <row r="769" spans="1:10" x14ac:dyDescent="0.15">
      <c r="A769" s="7">
        <v>44863</v>
      </c>
      <c r="B769" s="8" t="s">
        <v>14</v>
      </c>
      <c r="C769" s="8" t="s">
        <v>40</v>
      </c>
      <c r="D769" s="9" t="str">
        <f>HYPERLINK("https://www.marklines.com/en/global/2459","General Motors, Factory ZERO (Detroit-Hamtramck Plant) ")</f>
        <v xml:space="preserve">General Motors, Factory ZERO (Detroit-Hamtramck Plant) </v>
      </c>
      <c r="E769" s="8" t="s">
        <v>54</v>
      </c>
      <c r="F769" s="8" t="s">
        <v>19</v>
      </c>
      <c r="G769" s="8" t="s">
        <v>12</v>
      </c>
      <c r="H769" s="8" t="s">
        <v>13</v>
      </c>
      <c r="I769" s="10">
        <v>44860</v>
      </c>
      <c r="J769" s="8" t="s">
        <v>857</v>
      </c>
    </row>
    <row r="770" spans="1:10" x14ac:dyDescent="0.15">
      <c r="A770" s="7">
        <v>44863</v>
      </c>
      <c r="B770" s="8" t="s">
        <v>14</v>
      </c>
      <c r="C770" s="8" t="s">
        <v>40</v>
      </c>
      <c r="D770" s="9" t="str">
        <f>HYPERLINK("https://www.marklines.com/en/global/10564","Ultium Cells LLC- Lansing Plant")</f>
        <v>Ultium Cells LLC- Lansing Plant</v>
      </c>
      <c r="E770" s="8" t="s">
        <v>858</v>
      </c>
      <c r="F770" s="8" t="s">
        <v>19</v>
      </c>
      <c r="G770" s="8" t="s">
        <v>12</v>
      </c>
      <c r="H770" s="8" t="s">
        <v>13</v>
      </c>
      <c r="I770" s="10">
        <v>44860</v>
      </c>
      <c r="J770" s="8" t="s">
        <v>857</v>
      </c>
    </row>
    <row r="771" spans="1:10" x14ac:dyDescent="0.15">
      <c r="A771" s="7">
        <v>44863</v>
      </c>
      <c r="B771" s="8" t="s">
        <v>14</v>
      </c>
      <c r="C771" s="8" t="s">
        <v>23</v>
      </c>
      <c r="D771" s="9" t="str">
        <f>HYPERLINK("https://www.marklines.com/en/global/2845","General Motors Brazil, Sao Caetano do Sul Plant")</f>
        <v>General Motors Brazil, Sao Caetano do Sul Plant</v>
      </c>
      <c r="E771" s="8" t="s">
        <v>92</v>
      </c>
      <c r="F771" s="8" t="s">
        <v>24</v>
      </c>
      <c r="G771" s="8" t="s">
        <v>68</v>
      </c>
      <c r="H771" s="8"/>
      <c r="I771" s="10">
        <v>44860</v>
      </c>
      <c r="J771" s="8" t="s">
        <v>860</v>
      </c>
    </row>
    <row r="772" spans="1:10" x14ac:dyDescent="0.15">
      <c r="A772" s="7">
        <v>44863</v>
      </c>
      <c r="B772" s="8" t="s">
        <v>14</v>
      </c>
      <c r="C772" s="8" t="s">
        <v>23</v>
      </c>
      <c r="D772" s="9" t="str">
        <f>HYPERLINK("https://www.marklines.com/en/global/2967","General Motors Colmotores, Bogota Plant")</f>
        <v>General Motors Colmotores, Bogota Plant</v>
      </c>
      <c r="E772" s="8" t="s">
        <v>861</v>
      </c>
      <c r="F772" s="8" t="s">
        <v>24</v>
      </c>
      <c r="G772" s="8" t="s">
        <v>862</v>
      </c>
      <c r="H772" s="8"/>
      <c r="I772" s="10">
        <v>44860</v>
      </c>
      <c r="J772" s="8" t="s">
        <v>860</v>
      </c>
    </row>
    <row r="773" spans="1:10" x14ac:dyDescent="0.15">
      <c r="A773" s="7">
        <v>44862</v>
      </c>
      <c r="B773" s="8" t="s">
        <v>15</v>
      </c>
      <c r="C773" s="8" t="s">
        <v>111</v>
      </c>
      <c r="D773" s="9" t="str">
        <f>HYPERLINK("https://www.marklines.com/en/global/1695","Solaris Bus &amp; Coach sp. z o.o., Bolechowo Plant (formerly Solaris Bus &amp; Coach S.A.) ")</f>
        <v xml:space="preserve">Solaris Bus &amp; Coach sp. z o.o., Bolechowo Plant (formerly Solaris Bus &amp; Coach S.A.) </v>
      </c>
      <c r="E773" s="8" t="s">
        <v>112</v>
      </c>
      <c r="F773" s="8" t="s">
        <v>21</v>
      </c>
      <c r="G773" s="8" t="s">
        <v>93</v>
      </c>
      <c r="H773" s="8"/>
      <c r="I773" s="10">
        <v>44862</v>
      </c>
      <c r="J773" s="8" t="s">
        <v>627</v>
      </c>
    </row>
    <row r="774" spans="1:10" x14ac:dyDescent="0.15">
      <c r="A774" s="7">
        <v>44862</v>
      </c>
      <c r="B774" s="8" t="s">
        <v>52</v>
      </c>
      <c r="C774" s="8" t="s">
        <v>628</v>
      </c>
      <c r="D774" s="9" t="str">
        <f>HYPERLINK("https://www.marklines.com/en/global/2671","Stellantis, FCA Canada, Brampton Assembly Plant and Brampton Satellite Stamping Plant")</f>
        <v>Stellantis, FCA Canada, Brampton Assembly Plant and Brampton Satellite Stamping Plant</v>
      </c>
      <c r="E774" s="8" t="s">
        <v>629</v>
      </c>
      <c r="F774" s="8" t="s">
        <v>19</v>
      </c>
      <c r="G774" s="8" t="s">
        <v>630</v>
      </c>
      <c r="H774" s="8"/>
      <c r="I774" s="10">
        <v>44861</v>
      </c>
      <c r="J774" s="8" t="s">
        <v>631</v>
      </c>
    </row>
    <row r="775" spans="1:10" x14ac:dyDescent="0.15">
      <c r="A775" s="7">
        <v>44862</v>
      </c>
      <c r="B775" s="8" t="s">
        <v>279</v>
      </c>
      <c r="C775" s="8" t="s">
        <v>279</v>
      </c>
      <c r="D775" s="9" t="str">
        <f>HYPERLINK("https://www.marklines.com/en/global/671","ZAO AvtoTOR, Kaliningrad Plant")</f>
        <v>ZAO AvtoTOR, Kaliningrad Plant</v>
      </c>
      <c r="E775" s="8" t="s">
        <v>280</v>
      </c>
      <c r="F775" s="8" t="s">
        <v>21</v>
      </c>
      <c r="G775" s="8" t="s">
        <v>16</v>
      </c>
      <c r="H775" s="8"/>
      <c r="I775" s="10">
        <v>44861</v>
      </c>
      <c r="J775" s="8" t="s">
        <v>632</v>
      </c>
    </row>
    <row r="776" spans="1:10" x14ac:dyDescent="0.15">
      <c r="A776" s="7">
        <v>44862</v>
      </c>
      <c r="B776" s="8" t="s">
        <v>14</v>
      </c>
      <c r="C776" s="8" t="s">
        <v>23</v>
      </c>
      <c r="D776" s="9" t="str">
        <f>HYPERLINK("https://www.marklines.com/en/global/9012","UzAuto Motors, Asaka Plant (formerly UzDaewooAuto, GM Uzbekistan)")</f>
        <v>UzAuto Motors, Asaka Plant (formerly UzDaewooAuto, GM Uzbekistan)</v>
      </c>
      <c r="E776" s="8" t="s">
        <v>633</v>
      </c>
      <c r="F776" s="8" t="s">
        <v>21</v>
      </c>
      <c r="G776" s="8" t="s">
        <v>634</v>
      </c>
      <c r="H776" s="8"/>
      <c r="I776" s="10">
        <v>44861</v>
      </c>
      <c r="J776" s="8" t="s">
        <v>635</v>
      </c>
    </row>
    <row r="777" spans="1:10" x14ac:dyDescent="0.15">
      <c r="A777" s="7">
        <v>44862</v>
      </c>
      <c r="B777" s="8" t="s">
        <v>15</v>
      </c>
      <c r="C777" s="8" t="s">
        <v>636</v>
      </c>
      <c r="D777" s="9" t="str">
        <f>HYPERLINK("https://www.marklines.com/en/global/9012","UzAuto Motors, Asaka Plant (formerly UzDaewooAuto, GM Uzbekistan)")</f>
        <v>UzAuto Motors, Asaka Plant (formerly UzDaewooAuto, GM Uzbekistan)</v>
      </c>
      <c r="E777" s="8" t="s">
        <v>633</v>
      </c>
      <c r="F777" s="8" t="s">
        <v>21</v>
      </c>
      <c r="G777" s="8" t="s">
        <v>634</v>
      </c>
      <c r="H777" s="8"/>
      <c r="I777" s="10">
        <v>44861</v>
      </c>
      <c r="J777" s="8" t="s">
        <v>635</v>
      </c>
    </row>
    <row r="778" spans="1:10" x14ac:dyDescent="0.15">
      <c r="A778" s="7">
        <v>44862</v>
      </c>
      <c r="B778" s="8" t="s">
        <v>59</v>
      </c>
      <c r="C778" s="8" t="s">
        <v>266</v>
      </c>
      <c r="D778" s="9" t="str">
        <f>HYPERLINK("https://www.marklines.com/en/global/2251","Stellantis, Opel Automobile GmbH, Rüsselsheim Plant (Former Adam Opel AG, Russelsheim Plant)")</f>
        <v>Stellantis, Opel Automobile GmbH, Rüsselsheim Plant (Former Adam Opel AG, Russelsheim Plant)</v>
      </c>
      <c r="E778" s="8" t="s">
        <v>123</v>
      </c>
      <c r="F778" s="8" t="s">
        <v>20</v>
      </c>
      <c r="G778" s="8" t="s">
        <v>29</v>
      </c>
      <c r="H778" s="8"/>
      <c r="I778" s="10">
        <v>44861</v>
      </c>
      <c r="J778" s="8" t="s">
        <v>637</v>
      </c>
    </row>
    <row r="779" spans="1:10" x14ac:dyDescent="0.15">
      <c r="A779" s="7">
        <v>44862</v>
      </c>
      <c r="B779" s="8" t="s">
        <v>59</v>
      </c>
      <c r="C779" s="8" t="s">
        <v>266</v>
      </c>
      <c r="D779" s="9" t="str">
        <f>HYPERLINK("https://www.marklines.com/en/global/119","Stellantis Hordain (formerly Sevel Nord, Hordain Palnt)")</f>
        <v>Stellantis Hordain (formerly Sevel Nord, Hordain Palnt)</v>
      </c>
      <c r="E779" s="8" t="s">
        <v>600</v>
      </c>
      <c r="F779" s="8" t="s">
        <v>20</v>
      </c>
      <c r="G779" s="8" t="s">
        <v>86</v>
      </c>
      <c r="H779" s="8"/>
      <c r="I779" s="10">
        <v>44861</v>
      </c>
      <c r="J779" s="8" t="s">
        <v>637</v>
      </c>
    </row>
    <row r="780" spans="1:10" x14ac:dyDescent="0.15">
      <c r="A780" s="7">
        <v>44862</v>
      </c>
      <c r="B780" s="8" t="s">
        <v>59</v>
      </c>
      <c r="C780" s="8" t="s">
        <v>60</v>
      </c>
      <c r="D780" s="9" t="str">
        <f>HYPERLINK("https://www.marklines.com/en/global/2251","Stellantis, Opel Automobile GmbH, Rüsselsheim Plant (Former Adam Opel AG, Russelsheim Plant)")</f>
        <v>Stellantis, Opel Automobile GmbH, Rüsselsheim Plant (Former Adam Opel AG, Russelsheim Plant)</v>
      </c>
      <c r="E780" s="8" t="s">
        <v>123</v>
      </c>
      <c r="F780" s="8" t="s">
        <v>20</v>
      </c>
      <c r="G780" s="8" t="s">
        <v>29</v>
      </c>
      <c r="H780" s="8"/>
      <c r="I780" s="10">
        <v>44861</v>
      </c>
      <c r="J780" s="8" t="s">
        <v>637</v>
      </c>
    </row>
    <row r="781" spans="1:10" x14ac:dyDescent="0.15">
      <c r="A781" s="7">
        <v>44862</v>
      </c>
      <c r="B781" s="8" t="s">
        <v>59</v>
      </c>
      <c r="C781" s="8" t="s">
        <v>60</v>
      </c>
      <c r="D781" s="9" t="str">
        <f>HYPERLINK("https://www.marklines.com/en/global/119","Stellantis Hordain (formerly Sevel Nord, Hordain Palnt)")</f>
        <v>Stellantis Hordain (formerly Sevel Nord, Hordain Palnt)</v>
      </c>
      <c r="E781" s="8" t="s">
        <v>600</v>
      </c>
      <c r="F781" s="8" t="s">
        <v>20</v>
      </c>
      <c r="G781" s="8" t="s">
        <v>86</v>
      </c>
      <c r="H781" s="8"/>
      <c r="I781" s="10">
        <v>44861</v>
      </c>
      <c r="J781" s="8" t="s">
        <v>637</v>
      </c>
    </row>
    <row r="782" spans="1:10" x14ac:dyDescent="0.15">
      <c r="A782" s="7">
        <v>44862</v>
      </c>
      <c r="B782" s="8" t="s">
        <v>59</v>
      </c>
      <c r="C782" s="8" t="s">
        <v>62</v>
      </c>
      <c r="D782" s="9" t="str">
        <f>HYPERLINK("https://www.marklines.com/en/global/2251","Stellantis, Opel Automobile GmbH, Rüsselsheim Plant (Former Adam Opel AG, Russelsheim Plant)")</f>
        <v>Stellantis, Opel Automobile GmbH, Rüsselsheim Plant (Former Adam Opel AG, Russelsheim Plant)</v>
      </c>
      <c r="E782" s="8" t="s">
        <v>123</v>
      </c>
      <c r="F782" s="8" t="s">
        <v>20</v>
      </c>
      <c r="G782" s="8" t="s">
        <v>29</v>
      </c>
      <c r="H782" s="8"/>
      <c r="I782" s="10">
        <v>44861</v>
      </c>
      <c r="J782" s="8" t="s">
        <v>637</v>
      </c>
    </row>
    <row r="783" spans="1:10" x14ac:dyDescent="0.15">
      <c r="A783" s="7">
        <v>44862</v>
      </c>
      <c r="B783" s="8" t="s">
        <v>59</v>
      </c>
      <c r="C783" s="8" t="s">
        <v>62</v>
      </c>
      <c r="D783" s="9" t="str">
        <f>HYPERLINK("https://www.marklines.com/en/global/119","Stellantis Hordain (formerly Sevel Nord, Hordain Palnt)")</f>
        <v>Stellantis Hordain (formerly Sevel Nord, Hordain Palnt)</v>
      </c>
      <c r="E783" s="8" t="s">
        <v>600</v>
      </c>
      <c r="F783" s="8" t="s">
        <v>20</v>
      </c>
      <c r="G783" s="8" t="s">
        <v>86</v>
      </c>
      <c r="H783" s="8"/>
      <c r="I783" s="10">
        <v>44861</v>
      </c>
      <c r="J783" s="8" t="s">
        <v>637</v>
      </c>
    </row>
    <row r="784" spans="1:10" x14ac:dyDescent="0.15">
      <c r="A784" s="7">
        <v>44862</v>
      </c>
      <c r="B784" s="8" t="s">
        <v>344</v>
      </c>
      <c r="C784" s="8" t="s">
        <v>344</v>
      </c>
      <c r="D784" s="9" t="str">
        <f>HYPERLINK("https://www.marklines.com/en/global/673","OAO AvtoVAZ (Volshsky Avtomobilny Zavod)")</f>
        <v>OAO AvtoVAZ (Volshsky Avtomobilny Zavod)</v>
      </c>
      <c r="E784" s="8" t="s">
        <v>638</v>
      </c>
      <c r="F784" s="8" t="s">
        <v>21</v>
      </c>
      <c r="G784" s="8" t="s">
        <v>16</v>
      </c>
      <c r="H784" s="8"/>
      <c r="I784" s="10">
        <v>44860</v>
      </c>
      <c r="J784" s="8" t="s">
        <v>639</v>
      </c>
    </row>
    <row r="785" spans="1:10" x14ac:dyDescent="0.15">
      <c r="A785" s="7">
        <v>44862</v>
      </c>
      <c r="B785" s="8" t="s">
        <v>344</v>
      </c>
      <c r="C785" s="8" t="s">
        <v>345</v>
      </c>
      <c r="D785" s="9" t="str">
        <f>HYPERLINK("https://www.marklines.com/en/global/675","AvtoVAZ, Togliatti Plant")</f>
        <v>AvtoVAZ, Togliatti Plant</v>
      </c>
      <c r="E785" s="8" t="s">
        <v>346</v>
      </c>
      <c r="F785" s="8" t="s">
        <v>21</v>
      </c>
      <c r="G785" s="8" t="s">
        <v>16</v>
      </c>
      <c r="H785" s="8"/>
      <c r="I785" s="10">
        <v>44860</v>
      </c>
      <c r="J785" s="8" t="s">
        <v>639</v>
      </c>
    </row>
    <row r="786" spans="1:10" x14ac:dyDescent="0.15">
      <c r="A786" s="7">
        <v>44862</v>
      </c>
      <c r="B786" s="8" t="s">
        <v>56</v>
      </c>
      <c r="C786" s="8" t="s">
        <v>56</v>
      </c>
      <c r="D786" s="9" t="str">
        <f>HYPERLINK("https://www.marklines.com/en/global/1861","Ford Otomotiv Sanayi A.S., Craiova Plant (formerly Ford Romania S.A.)")</f>
        <v>Ford Otomotiv Sanayi A.S., Craiova Plant (formerly Ford Romania S.A.)</v>
      </c>
      <c r="E786" s="8" t="s">
        <v>640</v>
      </c>
      <c r="F786" s="8" t="s">
        <v>21</v>
      </c>
      <c r="G786" s="8" t="s">
        <v>641</v>
      </c>
      <c r="H786" s="8"/>
      <c r="I786" s="10">
        <v>44860</v>
      </c>
      <c r="J786" s="8" t="s">
        <v>642</v>
      </c>
    </row>
    <row r="787" spans="1:10" x14ac:dyDescent="0.15">
      <c r="A787" s="7">
        <v>44862</v>
      </c>
      <c r="B787" s="8" t="s">
        <v>56</v>
      </c>
      <c r="C787" s="8" t="s">
        <v>56</v>
      </c>
      <c r="D787" s="9" t="str">
        <f>HYPERLINK("https://www.marklines.com/en/global/2143","Ford Motor Germany, Cologne (Koln)-Niehl Plant")</f>
        <v>Ford Motor Germany, Cologne (Koln)-Niehl Plant</v>
      </c>
      <c r="E787" s="8" t="s">
        <v>491</v>
      </c>
      <c r="F787" s="8" t="s">
        <v>20</v>
      </c>
      <c r="G787" s="8" t="s">
        <v>29</v>
      </c>
      <c r="H787" s="8"/>
      <c r="I787" s="10">
        <v>44860</v>
      </c>
      <c r="J787" s="8" t="s">
        <v>642</v>
      </c>
    </row>
    <row r="788" spans="1:10" x14ac:dyDescent="0.15">
      <c r="A788" s="7">
        <v>44862</v>
      </c>
      <c r="B788" s="8" t="s">
        <v>56</v>
      </c>
      <c r="C788" s="8" t="s">
        <v>56</v>
      </c>
      <c r="D788" s="9" t="str">
        <f>HYPERLINK("https://www.marklines.com/en/global/1901","Ford Motor Spain, Valencia Plant")</f>
        <v>Ford Motor Spain, Valencia Plant</v>
      </c>
      <c r="E788" s="8" t="s">
        <v>282</v>
      </c>
      <c r="F788" s="8" t="s">
        <v>20</v>
      </c>
      <c r="G788" s="8" t="s">
        <v>277</v>
      </c>
      <c r="H788" s="8"/>
      <c r="I788" s="10">
        <v>44860</v>
      </c>
      <c r="J788" s="8" t="s">
        <v>642</v>
      </c>
    </row>
    <row r="789" spans="1:10" x14ac:dyDescent="0.15">
      <c r="A789" s="7">
        <v>44862</v>
      </c>
      <c r="B789" s="8" t="s">
        <v>76</v>
      </c>
      <c r="C789" s="8" t="s">
        <v>643</v>
      </c>
      <c r="D789" s="9" t="str">
        <f>HYPERLINK("https://www.marklines.com/en/global/9860","Zhejiang Geely Automobile Co., Ltd. Wuhan Branch")</f>
        <v>Zhejiang Geely Automobile Co., Ltd. Wuhan Branch</v>
      </c>
      <c r="E789" s="8" t="s">
        <v>644</v>
      </c>
      <c r="F789" s="8" t="s">
        <v>25</v>
      </c>
      <c r="G789" s="8" t="s">
        <v>71</v>
      </c>
      <c r="H789" s="8" t="s">
        <v>90</v>
      </c>
      <c r="I789" s="10">
        <v>44859</v>
      </c>
      <c r="J789" s="8" t="s">
        <v>645</v>
      </c>
    </row>
    <row r="790" spans="1:10" x14ac:dyDescent="0.15">
      <c r="A790" s="7">
        <v>44862</v>
      </c>
      <c r="B790" s="8" t="s">
        <v>17</v>
      </c>
      <c r="C790" s="8" t="s">
        <v>17</v>
      </c>
      <c r="D790" s="9" t="str">
        <f>HYPERLINK("https://www.marklines.com/en/global/1029","Honda Atlas Cars (Pakistan) Ltd., Lahore Plant")</f>
        <v>Honda Atlas Cars (Pakistan) Ltd., Lahore Plant</v>
      </c>
      <c r="E790" s="8" t="s">
        <v>233</v>
      </c>
      <c r="F790" s="8" t="s">
        <v>69</v>
      </c>
      <c r="G790" s="8" t="s">
        <v>96</v>
      </c>
      <c r="H790" s="8"/>
      <c r="I790" s="10">
        <v>44856</v>
      </c>
      <c r="J790" s="8" t="s">
        <v>646</v>
      </c>
    </row>
    <row r="791" spans="1:10" x14ac:dyDescent="0.15">
      <c r="A791" s="7">
        <v>44862</v>
      </c>
      <c r="B791" s="8" t="s">
        <v>398</v>
      </c>
      <c r="C791" s="8" t="s">
        <v>398</v>
      </c>
      <c r="D791" s="9" t="str">
        <f>HYPERLINK("https://www.marklines.com/en/global/799","OAO UAZ (Ulyanovsky Avtomobilny Zavod), Ulyanovsk Plant")</f>
        <v>OAO UAZ (Ulyanovsky Avtomobilny Zavod), Ulyanovsk Plant</v>
      </c>
      <c r="E791" s="8" t="s">
        <v>647</v>
      </c>
      <c r="F791" s="8" t="s">
        <v>21</v>
      </c>
      <c r="G791" s="8" t="s">
        <v>16</v>
      </c>
      <c r="H791" s="8"/>
      <c r="I791" s="10">
        <v>44853</v>
      </c>
      <c r="J791" s="8" t="s">
        <v>648</v>
      </c>
    </row>
    <row r="792" spans="1:10" x14ac:dyDescent="0.15">
      <c r="A792" s="7">
        <v>44862</v>
      </c>
      <c r="B792" s="8" t="s">
        <v>15</v>
      </c>
      <c r="C792" s="8" t="s">
        <v>135</v>
      </c>
      <c r="D792" s="9" t="str">
        <f>HYPERLINK("https://www.marklines.com/en/global/799","OAO UAZ (Ulyanovsky Avtomobilny Zavod), Ulyanovsk Plant")</f>
        <v>OAO UAZ (Ulyanovsky Avtomobilny Zavod), Ulyanovsk Plant</v>
      </c>
      <c r="E792" s="8" t="s">
        <v>647</v>
      </c>
      <c r="F792" s="8" t="s">
        <v>21</v>
      </c>
      <c r="G792" s="8" t="s">
        <v>16</v>
      </c>
      <c r="H792" s="8"/>
      <c r="I792" s="10">
        <v>44853</v>
      </c>
      <c r="J792" s="8" t="s">
        <v>648</v>
      </c>
    </row>
    <row r="793" spans="1:10" x14ac:dyDescent="0.15">
      <c r="A793" s="7">
        <v>44861</v>
      </c>
      <c r="B793" s="8" t="s">
        <v>87</v>
      </c>
      <c r="C793" s="8" t="s">
        <v>88</v>
      </c>
      <c r="D793" s="9" t="str">
        <f>HYPERLINK("https://www.marklines.com/en/global/9473","Mercedes-Benz Manufacturing RUS (MBMR), Solnechnogorsk Plant")</f>
        <v>Mercedes-Benz Manufacturing RUS (MBMR), Solnechnogorsk Plant</v>
      </c>
      <c r="E793" s="8" t="s">
        <v>649</v>
      </c>
      <c r="F793" s="8" t="s">
        <v>21</v>
      </c>
      <c r="G793" s="8" t="s">
        <v>16</v>
      </c>
      <c r="H793" s="8"/>
      <c r="I793" s="10">
        <v>44860</v>
      </c>
      <c r="J793" s="8" t="s">
        <v>650</v>
      </c>
    </row>
    <row r="794" spans="1:10" x14ac:dyDescent="0.15">
      <c r="A794" s="7">
        <v>44861</v>
      </c>
      <c r="B794" s="8" t="s">
        <v>85</v>
      </c>
      <c r="C794" s="8" t="s">
        <v>85</v>
      </c>
      <c r="D794" s="9" t="str">
        <f>HYPERLINK("https://www.marklines.com/en/global/1510","Volvo Europa Truck N.V., Gent (Ghent) Plant")</f>
        <v>Volvo Europa Truck N.V., Gent (Ghent) Plant</v>
      </c>
      <c r="E794" s="8" t="s">
        <v>180</v>
      </c>
      <c r="F794" s="8" t="s">
        <v>20</v>
      </c>
      <c r="G794" s="8" t="s">
        <v>109</v>
      </c>
      <c r="H794" s="8"/>
      <c r="I794" s="10">
        <v>44860</v>
      </c>
      <c r="J794" s="8" t="s">
        <v>651</v>
      </c>
    </row>
    <row r="795" spans="1:10" x14ac:dyDescent="0.15">
      <c r="A795" s="7">
        <v>44861</v>
      </c>
      <c r="B795" s="8" t="s">
        <v>59</v>
      </c>
      <c r="C795" s="8" t="s">
        <v>169</v>
      </c>
      <c r="D795" s="9" t="str">
        <f>HYPERLINK("https://www.marklines.com/en/global/1327","Stellantis, FCA Italy, Mirafiori (Turin) Plant")</f>
        <v>Stellantis, FCA Italy, Mirafiori (Turin) Plant</v>
      </c>
      <c r="E795" s="8" t="s">
        <v>231</v>
      </c>
      <c r="F795" s="8" t="s">
        <v>20</v>
      </c>
      <c r="G795" s="8" t="s">
        <v>110</v>
      </c>
      <c r="H795" s="8"/>
      <c r="I795" s="10">
        <v>44859</v>
      </c>
      <c r="J795" s="8" t="s">
        <v>652</v>
      </c>
    </row>
    <row r="796" spans="1:10" x14ac:dyDescent="0.15">
      <c r="A796" s="7">
        <v>44861</v>
      </c>
      <c r="B796" s="8" t="s">
        <v>653</v>
      </c>
      <c r="C796" s="8" t="s">
        <v>653</v>
      </c>
      <c r="D796" s="9" t="str">
        <f>HYPERLINK("https://www.marklines.com/en/global/9285","Chechenavto OAO, Argun plant")</f>
        <v>Chechenavto OAO, Argun plant</v>
      </c>
      <c r="E796" s="8" t="s">
        <v>654</v>
      </c>
      <c r="F796" s="8" t="s">
        <v>21</v>
      </c>
      <c r="G796" s="8" t="s">
        <v>16</v>
      </c>
      <c r="H796" s="8"/>
      <c r="I796" s="10">
        <v>44859</v>
      </c>
      <c r="J796" s="8" t="s">
        <v>655</v>
      </c>
    </row>
    <row r="797" spans="1:10" x14ac:dyDescent="0.15">
      <c r="A797" s="7">
        <v>44861</v>
      </c>
      <c r="B797" s="8" t="s">
        <v>17</v>
      </c>
      <c r="C797" s="8" t="s">
        <v>17</v>
      </c>
      <c r="D797" s="9" t="str">
        <f>HYPERLINK("https://www.marklines.com/en/global/3117","Honda Manufacturing of Indiana, LLC (HMIN), Greensburg Plant")</f>
        <v>Honda Manufacturing of Indiana, LLC (HMIN), Greensburg Plant</v>
      </c>
      <c r="E797" s="8" t="s">
        <v>656</v>
      </c>
      <c r="F797" s="8" t="s">
        <v>19</v>
      </c>
      <c r="G797" s="8" t="s">
        <v>12</v>
      </c>
      <c r="H797" s="8" t="s">
        <v>39</v>
      </c>
      <c r="I797" s="10">
        <v>44859</v>
      </c>
      <c r="J797" s="8" t="s">
        <v>657</v>
      </c>
    </row>
    <row r="798" spans="1:10" x14ac:dyDescent="0.15">
      <c r="A798" s="7">
        <v>44861</v>
      </c>
      <c r="B798" s="8" t="s">
        <v>17</v>
      </c>
      <c r="C798" s="8" t="s">
        <v>17</v>
      </c>
      <c r="D798" s="9" t="str">
        <f>HYPERLINK("https://www.marklines.com/en/global/3125","Honda of Canada Manufacturing, Honda Canada Inc., Alliston Plant")</f>
        <v>Honda of Canada Manufacturing, Honda Canada Inc., Alliston Plant</v>
      </c>
      <c r="E798" s="8" t="s">
        <v>658</v>
      </c>
      <c r="F798" s="8" t="s">
        <v>19</v>
      </c>
      <c r="G798" s="8" t="s">
        <v>630</v>
      </c>
      <c r="H798" s="8"/>
      <c r="I798" s="10">
        <v>44859</v>
      </c>
      <c r="J798" s="8" t="s">
        <v>657</v>
      </c>
    </row>
    <row r="799" spans="1:10" x14ac:dyDescent="0.15">
      <c r="A799" s="7">
        <v>44861</v>
      </c>
      <c r="B799" s="8" t="s">
        <v>17</v>
      </c>
      <c r="C799" s="8" t="s">
        <v>17</v>
      </c>
      <c r="D799" s="9" t="str">
        <f>HYPERLINK("https://www.marklines.com/en/global/3133","Honda Transmission Mfg. of America, Inc., Russells Point Plant")</f>
        <v>Honda Transmission Mfg. of America, Inc., Russells Point Plant</v>
      </c>
      <c r="E799" s="8" t="s">
        <v>659</v>
      </c>
      <c r="F799" s="8" t="s">
        <v>19</v>
      </c>
      <c r="G799" s="8" t="s">
        <v>12</v>
      </c>
      <c r="H799" s="8" t="s">
        <v>48</v>
      </c>
      <c r="I799" s="10">
        <v>44859</v>
      </c>
      <c r="J799" s="8" t="s">
        <v>657</v>
      </c>
    </row>
    <row r="800" spans="1:10" x14ac:dyDescent="0.15">
      <c r="A800" s="7">
        <v>44861</v>
      </c>
      <c r="B800" s="8" t="s">
        <v>17</v>
      </c>
      <c r="C800" s="8" t="s">
        <v>17</v>
      </c>
      <c r="D800" s="9" t="str">
        <f>HYPERLINK("https://www.marklines.com/en/global/3111","Honda of America Manufacturing Inc., East Liberty Plant")</f>
        <v>Honda of America Manufacturing Inc., East Liberty Plant</v>
      </c>
      <c r="E800" s="8" t="s">
        <v>306</v>
      </c>
      <c r="F800" s="8" t="s">
        <v>19</v>
      </c>
      <c r="G800" s="8" t="s">
        <v>12</v>
      </c>
      <c r="H800" s="8" t="s">
        <v>48</v>
      </c>
      <c r="I800" s="10">
        <v>44859</v>
      </c>
      <c r="J800" s="8" t="s">
        <v>657</v>
      </c>
    </row>
    <row r="801" spans="1:10" x14ac:dyDescent="0.15">
      <c r="A801" s="7">
        <v>44861</v>
      </c>
      <c r="B801" s="8" t="s">
        <v>17</v>
      </c>
      <c r="C801" s="8" t="s">
        <v>17</v>
      </c>
      <c r="D801" s="9" t="str">
        <f>HYPERLINK("https://www.marklines.com/en/global/3113","Honda of America Manufacturing Inc., Anna Plant")</f>
        <v>Honda of America Manufacturing Inc., Anna Plant</v>
      </c>
      <c r="E801" s="8" t="s">
        <v>307</v>
      </c>
      <c r="F801" s="8" t="s">
        <v>19</v>
      </c>
      <c r="G801" s="8" t="s">
        <v>12</v>
      </c>
      <c r="H801" s="8" t="s">
        <v>48</v>
      </c>
      <c r="I801" s="10">
        <v>44859</v>
      </c>
      <c r="J801" s="8" t="s">
        <v>657</v>
      </c>
    </row>
    <row r="802" spans="1:10" x14ac:dyDescent="0.15">
      <c r="A802" s="7">
        <v>44861</v>
      </c>
      <c r="B802" s="8" t="s">
        <v>56</v>
      </c>
      <c r="C802" s="8" t="s">
        <v>56</v>
      </c>
      <c r="D802" s="9" t="str">
        <f>HYPERLINK("https://www.marklines.com/en/global/2605","Ford Motor, Louisville Assembly Plant")</f>
        <v>Ford Motor, Louisville Assembly Plant</v>
      </c>
      <c r="E802" s="8" t="s">
        <v>660</v>
      </c>
      <c r="F802" s="8" t="s">
        <v>19</v>
      </c>
      <c r="G802" s="8" t="s">
        <v>12</v>
      </c>
      <c r="H802" s="8" t="s">
        <v>612</v>
      </c>
      <c r="I802" s="10">
        <v>44859</v>
      </c>
      <c r="J802" s="8" t="s">
        <v>661</v>
      </c>
    </row>
    <row r="803" spans="1:10" x14ac:dyDescent="0.15">
      <c r="A803" s="7">
        <v>44861</v>
      </c>
      <c r="B803" s="8" t="s">
        <v>15</v>
      </c>
      <c r="C803" s="8" t="s">
        <v>662</v>
      </c>
      <c r="D803" s="9" t="str">
        <f>HYPERLINK("https://www.marklines.com/en/global/2749","Valmet Automotive Inc., Uusikaupunki Plant")</f>
        <v>Valmet Automotive Inc., Uusikaupunki Plant</v>
      </c>
      <c r="E803" s="8" t="s">
        <v>663</v>
      </c>
      <c r="F803" s="8" t="s">
        <v>20</v>
      </c>
      <c r="G803" s="8" t="s">
        <v>664</v>
      </c>
      <c r="H803" s="8"/>
      <c r="I803" s="10">
        <v>44858</v>
      </c>
      <c r="J803" s="8" t="s">
        <v>665</v>
      </c>
    </row>
    <row r="804" spans="1:10" x14ac:dyDescent="0.15">
      <c r="A804" s="7">
        <v>44861</v>
      </c>
      <c r="B804" s="8" t="s">
        <v>27</v>
      </c>
      <c r="C804" s="8" t="s">
        <v>27</v>
      </c>
      <c r="D804" s="9" t="str">
        <f>HYPERLINK("https://www.marklines.com/en/global/1973","BMW Thailand, Rayong Plant")</f>
        <v>BMW Thailand, Rayong Plant</v>
      </c>
      <c r="E804" s="8" t="s">
        <v>666</v>
      </c>
      <c r="F804" s="8" t="s">
        <v>22</v>
      </c>
      <c r="G804" s="8" t="s">
        <v>514</v>
      </c>
      <c r="H804" s="8" t="s">
        <v>545</v>
      </c>
      <c r="I804" s="10">
        <v>44858</v>
      </c>
      <c r="J804" s="8" t="s">
        <v>667</v>
      </c>
    </row>
    <row r="805" spans="1:10" x14ac:dyDescent="0.15">
      <c r="A805" s="7">
        <v>44861</v>
      </c>
      <c r="B805" s="8" t="s">
        <v>30</v>
      </c>
      <c r="C805" s="8" t="s">
        <v>30</v>
      </c>
      <c r="D805" s="9" t="str">
        <f>HYPERLINK("https://www.marklines.com/en/global/10438","BYD TOYOTA EV TECHNOLOGY Co., Ltd. (BTET)")</f>
        <v>BYD TOYOTA EV TECHNOLOGY Co., Ltd. (BTET)</v>
      </c>
      <c r="E805" s="8" t="s">
        <v>668</v>
      </c>
      <c r="F805" s="8" t="s">
        <v>25</v>
      </c>
      <c r="G805" s="8" t="s">
        <v>71</v>
      </c>
      <c r="H805" s="8" t="s">
        <v>669</v>
      </c>
      <c r="I805" s="10">
        <v>44858</v>
      </c>
      <c r="J805" s="8" t="s">
        <v>670</v>
      </c>
    </row>
    <row r="806" spans="1:10" x14ac:dyDescent="0.15">
      <c r="A806" s="7">
        <v>44861</v>
      </c>
      <c r="B806" s="8" t="s">
        <v>30</v>
      </c>
      <c r="C806" s="8" t="s">
        <v>30</v>
      </c>
      <c r="D806" s="9" t="str">
        <f>HYPERLINK("https://www.marklines.com/en/global/3493","FAW Toyota Motor Co., Ltd. (formerly Tianjin FAW Toyota Motor Co., Ltd.)")</f>
        <v>FAW Toyota Motor Co., Ltd. (formerly Tianjin FAW Toyota Motor Co., Ltd.)</v>
      </c>
      <c r="E806" s="8" t="s">
        <v>671</v>
      </c>
      <c r="F806" s="8" t="s">
        <v>25</v>
      </c>
      <c r="G806" s="8" t="s">
        <v>71</v>
      </c>
      <c r="H806" s="8" t="s">
        <v>672</v>
      </c>
      <c r="I806" s="10">
        <v>44858</v>
      </c>
      <c r="J806" s="8" t="s">
        <v>670</v>
      </c>
    </row>
    <row r="807" spans="1:10" x14ac:dyDescent="0.15">
      <c r="A807" s="7">
        <v>44861</v>
      </c>
      <c r="B807" s="8" t="s">
        <v>30</v>
      </c>
      <c r="C807" s="8" t="s">
        <v>30</v>
      </c>
      <c r="D807" s="9" t="str">
        <f>HYPERLINK("https://www.marklines.com/en/global/3497","FAW Toyota Motor Co., Ltd. Teda Plant (formerly Tianjin FAW Toyota Motor Co., Ltd. Teda Plant)")</f>
        <v>FAW Toyota Motor Co., Ltd. Teda Plant (formerly Tianjin FAW Toyota Motor Co., Ltd. Teda Plant)</v>
      </c>
      <c r="E807" s="8" t="s">
        <v>673</v>
      </c>
      <c r="F807" s="8" t="s">
        <v>25</v>
      </c>
      <c r="G807" s="8" t="s">
        <v>71</v>
      </c>
      <c r="H807" s="8" t="s">
        <v>672</v>
      </c>
      <c r="I807" s="10">
        <v>44858</v>
      </c>
      <c r="J807" s="8" t="s">
        <v>670</v>
      </c>
    </row>
    <row r="808" spans="1:10" x14ac:dyDescent="0.15">
      <c r="A808" s="7">
        <v>44861</v>
      </c>
      <c r="B808" s="8" t="s">
        <v>30</v>
      </c>
      <c r="C808" s="8" t="s">
        <v>30</v>
      </c>
      <c r="D808" s="9" t="str">
        <f>HYPERLINK("https://www.marklines.com/en/global/10483","United Fuel Cell System R&amp;D (Beijing) Co., Ltd. (FCRD)")</f>
        <v>United Fuel Cell System R&amp;D (Beijing) Co., Ltd. (FCRD)</v>
      </c>
      <c r="E808" s="8" t="s">
        <v>674</v>
      </c>
      <c r="F808" s="8" t="s">
        <v>25</v>
      </c>
      <c r="G808" s="8" t="s">
        <v>71</v>
      </c>
      <c r="H808" s="8" t="s">
        <v>437</v>
      </c>
      <c r="I808" s="10">
        <v>44858</v>
      </c>
      <c r="J808" s="8" t="s">
        <v>675</v>
      </c>
    </row>
    <row r="809" spans="1:10" x14ac:dyDescent="0.15">
      <c r="A809" s="7">
        <v>44861</v>
      </c>
      <c r="B809" s="8" t="s">
        <v>30</v>
      </c>
      <c r="C809" s="8" t="s">
        <v>30</v>
      </c>
      <c r="D809" s="9" t="str">
        <f>HYPERLINK("https://www.marklines.com/en/global/10585","Toyota Sinohytec Fuel Cell Co., Ltd. (FCTC)")</f>
        <v>Toyota Sinohytec Fuel Cell Co., Ltd. (FCTC)</v>
      </c>
      <c r="E809" s="8" t="s">
        <v>676</v>
      </c>
      <c r="F809" s="8" t="s">
        <v>25</v>
      </c>
      <c r="G809" s="8" t="s">
        <v>71</v>
      </c>
      <c r="H809" s="8" t="s">
        <v>677</v>
      </c>
      <c r="I809" s="10">
        <v>44858</v>
      </c>
      <c r="J809" s="8" t="s">
        <v>675</v>
      </c>
    </row>
    <row r="810" spans="1:10" x14ac:dyDescent="0.15">
      <c r="A810" s="7">
        <v>44861</v>
      </c>
      <c r="B810" s="8" t="s">
        <v>14</v>
      </c>
      <c r="C810" s="8" t="s">
        <v>23</v>
      </c>
      <c r="D810" s="9" t="str">
        <f>HYPERLINK("https://www.marklines.com/en/global/2849","General Motors Brazil, Gravatai Plant")</f>
        <v>General Motors Brazil, Gravatai Plant</v>
      </c>
      <c r="E810" s="8" t="s">
        <v>678</v>
      </c>
      <c r="F810" s="8" t="s">
        <v>24</v>
      </c>
      <c r="G810" s="8" t="s">
        <v>68</v>
      </c>
      <c r="H810" s="8"/>
      <c r="I810" s="10">
        <v>44858</v>
      </c>
      <c r="J810" s="8" t="s">
        <v>679</v>
      </c>
    </row>
    <row r="811" spans="1:10" x14ac:dyDescent="0.15">
      <c r="A811" s="7">
        <v>44861</v>
      </c>
      <c r="B811" s="8" t="s">
        <v>76</v>
      </c>
      <c r="C811" s="8" t="s">
        <v>680</v>
      </c>
      <c r="D811" s="9" t="str">
        <f>HYPERLINK("https://www.marklines.com/en/global/10391","Zhejiang Geely Automobile Co., Ltd. Meishan Plant")</f>
        <v>Zhejiang Geely Automobile Co., Ltd. Meishan Plant</v>
      </c>
      <c r="E811" s="8" t="s">
        <v>681</v>
      </c>
      <c r="F811" s="8" t="s">
        <v>25</v>
      </c>
      <c r="G811" s="8" t="s">
        <v>71</v>
      </c>
      <c r="H811" s="8" t="s">
        <v>78</v>
      </c>
      <c r="I811" s="10">
        <v>44857</v>
      </c>
      <c r="J811" s="8" t="s">
        <v>682</v>
      </c>
    </row>
    <row r="812" spans="1:10" x14ac:dyDescent="0.15">
      <c r="A812" s="7">
        <v>44861</v>
      </c>
      <c r="B812" s="8" t="s">
        <v>683</v>
      </c>
      <c r="C812" s="8" t="s">
        <v>683</v>
      </c>
      <c r="D812" s="9" t="str">
        <f>HYPERLINK("https://www.marklines.com/en/global/9486","Guangzhou Xiaopeng Motors Technology Co., Ltd.  Zhaoqing Plant")</f>
        <v>Guangzhou Xiaopeng Motors Technology Co., Ltd.  Zhaoqing Plant</v>
      </c>
      <c r="E812" s="8" t="s">
        <v>684</v>
      </c>
      <c r="F812" s="8" t="s">
        <v>25</v>
      </c>
      <c r="G812" s="8" t="s">
        <v>71</v>
      </c>
      <c r="H812" s="8" t="s">
        <v>437</v>
      </c>
      <c r="I812" s="10">
        <v>44856</v>
      </c>
      <c r="J812" s="8" t="s">
        <v>685</v>
      </c>
    </row>
    <row r="813" spans="1:10" x14ac:dyDescent="0.15">
      <c r="A813" s="7">
        <v>44861</v>
      </c>
      <c r="B813" s="8" t="s">
        <v>15</v>
      </c>
      <c r="C813" s="8" t="s">
        <v>686</v>
      </c>
      <c r="D813" s="9" t="str">
        <f>HYPERLINK("https://www.marklines.com/en/global/9844","Rimac Group, Rimac Technology (formerly Rimac Automobili)")</f>
        <v>Rimac Group, Rimac Technology (formerly Rimac Automobili)</v>
      </c>
      <c r="E813" s="8" t="s">
        <v>687</v>
      </c>
      <c r="F813" s="8" t="s">
        <v>21</v>
      </c>
      <c r="G813" s="8" t="s">
        <v>688</v>
      </c>
      <c r="H813" s="8"/>
      <c r="I813" s="10">
        <v>44855</v>
      </c>
      <c r="J813" s="8" t="s">
        <v>689</v>
      </c>
    </row>
    <row r="814" spans="1:10" x14ac:dyDescent="0.15">
      <c r="A814" s="7">
        <v>44860</v>
      </c>
      <c r="B814" s="8" t="s">
        <v>14</v>
      </c>
      <c r="C814" s="8" t="s">
        <v>23</v>
      </c>
      <c r="D814" s="9" t="str">
        <f>HYPERLINK("https://www.marklines.com/en/global/2479","General Motors, Orion Assembly Plant")</f>
        <v>General Motors, Orion Assembly Plant</v>
      </c>
      <c r="E814" s="8" t="s">
        <v>35</v>
      </c>
      <c r="F814" s="8" t="s">
        <v>19</v>
      </c>
      <c r="G814" s="8" t="s">
        <v>12</v>
      </c>
      <c r="H814" s="8" t="s">
        <v>13</v>
      </c>
      <c r="I814" s="10">
        <v>44859</v>
      </c>
      <c r="J814" s="8" t="s">
        <v>690</v>
      </c>
    </row>
    <row r="815" spans="1:10" x14ac:dyDescent="0.15">
      <c r="A815" s="7">
        <v>44860</v>
      </c>
      <c r="B815" s="8" t="s">
        <v>56</v>
      </c>
      <c r="C815" s="8" t="s">
        <v>56</v>
      </c>
      <c r="D815" s="9" t="str">
        <f>HYPERLINK("https://www.marklines.com/en/global/2143","Ford Motor Germany, Cologne (Koln)-Niehl Plant")</f>
        <v>Ford Motor Germany, Cologne (Koln)-Niehl Plant</v>
      </c>
      <c r="E815" s="8" t="s">
        <v>491</v>
      </c>
      <c r="F815" s="8" t="s">
        <v>20</v>
      </c>
      <c r="G815" s="8" t="s">
        <v>29</v>
      </c>
      <c r="H815" s="8"/>
      <c r="I815" s="10">
        <v>44859</v>
      </c>
      <c r="J815" s="8" t="s">
        <v>691</v>
      </c>
    </row>
    <row r="816" spans="1:10" x14ac:dyDescent="0.15">
      <c r="A816" s="7">
        <v>44860</v>
      </c>
      <c r="B816" s="8" t="s">
        <v>76</v>
      </c>
      <c r="C816" s="8" t="s">
        <v>692</v>
      </c>
      <c r="D816" s="9" t="str">
        <f>HYPERLINK("https://www.marklines.com/en/global/3893","Anhui Hualing Automobile Co., Ltd.")</f>
        <v>Anhui Hualing Automobile Co., Ltd.</v>
      </c>
      <c r="E816" s="8" t="s">
        <v>693</v>
      </c>
      <c r="F816" s="8" t="s">
        <v>25</v>
      </c>
      <c r="G816" s="8" t="s">
        <v>71</v>
      </c>
      <c r="H816" s="8" t="s">
        <v>120</v>
      </c>
      <c r="I816" s="10">
        <v>44858</v>
      </c>
      <c r="J816" s="8" t="s">
        <v>694</v>
      </c>
    </row>
    <row r="817" spans="1:10" x14ac:dyDescent="0.15">
      <c r="A817" s="7">
        <v>44860</v>
      </c>
      <c r="B817" s="8" t="s">
        <v>76</v>
      </c>
      <c r="C817" s="8" t="s">
        <v>620</v>
      </c>
      <c r="D817" s="9" t="str">
        <f>HYPERLINK("https://www.marklines.com/en/global/9345","Geely Sichuan Commercial Vehicle Co., Ltd.")</f>
        <v>Geely Sichuan Commercial Vehicle Co., Ltd.</v>
      </c>
      <c r="E817" s="8" t="s">
        <v>621</v>
      </c>
      <c r="F817" s="8" t="s">
        <v>25</v>
      </c>
      <c r="G817" s="8" t="s">
        <v>71</v>
      </c>
      <c r="H817" s="8" t="s">
        <v>367</v>
      </c>
      <c r="I817" s="10">
        <v>44858</v>
      </c>
      <c r="J817" s="8" t="s">
        <v>694</v>
      </c>
    </row>
    <row r="818" spans="1:10" x14ac:dyDescent="0.15">
      <c r="A818" s="7">
        <v>44860</v>
      </c>
      <c r="B818" s="8" t="s">
        <v>76</v>
      </c>
      <c r="C818" s="8" t="s">
        <v>620</v>
      </c>
      <c r="D818" s="9" t="str">
        <f>HYPERLINK("https://www.marklines.com/en/global/3893","Anhui Hualing Automobile Co., Ltd.")</f>
        <v>Anhui Hualing Automobile Co., Ltd.</v>
      </c>
      <c r="E818" s="8" t="s">
        <v>693</v>
      </c>
      <c r="F818" s="8" t="s">
        <v>25</v>
      </c>
      <c r="G818" s="8" t="s">
        <v>71</v>
      </c>
      <c r="H818" s="8" t="s">
        <v>120</v>
      </c>
      <c r="I818" s="10">
        <v>44858</v>
      </c>
      <c r="J818" s="8" t="s">
        <v>694</v>
      </c>
    </row>
    <row r="819" spans="1:10" x14ac:dyDescent="0.15">
      <c r="A819" s="7">
        <v>44860</v>
      </c>
      <c r="B819" s="8" t="s">
        <v>76</v>
      </c>
      <c r="C819" s="8" t="s">
        <v>620</v>
      </c>
      <c r="D819" s="9" t="str">
        <f>HYPERLINK("https://www.marklines.com/en/global/10361","Jiangxi Geely New Energy Commercial Vehicles Co., Ltd.")</f>
        <v>Jiangxi Geely New Energy Commercial Vehicles Co., Ltd.</v>
      </c>
      <c r="E819" s="8" t="s">
        <v>623</v>
      </c>
      <c r="F819" s="8" t="s">
        <v>25</v>
      </c>
      <c r="G819" s="8" t="s">
        <v>71</v>
      </c>
      <c r="H819" s="8" t="s">
        <v>460</v>
      </c>
      <c r="I819" s="10">
        <v>44858</v>
      </c>
      <c r="J819" s="8" t="s">
        <v>694</v>
      </c>
    </row>
    <row r="820" spans="1:10" x14ac:dyDescent="0.15">
      <c r="A820" s="7">
        <v>44860</v>
      </c>
      <c r="B820" s="8" t="s">
        <v>89</v>
      </c>
      <c r="C820" s="8" t="s">
        <v>89</v>
      </c>
      <c r="D820" s="9" t="str">
        <f>HYPERLINK("https://www.marklines.com/en/global/3533","Great Wall Motor Company Limited (GWM)")</f>
        <v>Great Wall Motor Company Limited (GWM)</v>
      </c>
      <c r="E820" s="8" t="s">
        <v>615</v>
      </c>
      <c r="F820" s="8" t="s">
        <v>25</v>
      </c>
      <c r="G820" s="8" t="s">
        <v>71</v>
      </c>
      <c r="H820" s="8" t="s">
        <v>616</v>
      </c>
      <c r="I820" s="10">
        <v>44856</v>
      </c>
      <c r="J820" s="8" t="s">
        <v>695</v>
      </c>
    </row>
    <row r="821" spans="1:10" x14ac:dyDescent="0.15">
      <c r="A821" s="7">
        <v>44860</v>
      </c>
      <c r="B821" s="8" t="s">
        <v>30</v>
      </c>
      <c r="C821" s="8" t="s">
        <v>30</v>
      </c>
      <c r="D821" s="9" t="str">
        <f>HYPERLINK("https://www.marklines.com/en/global/375","Toyota Motor, Takaoka Plant")</f>
        <v>Toyota Motor, Takaoka Plant</v>
      </c>
      <c r="E821" s="8" t="s">
        <v>51</v>
      </c>
      <c r="F821" s="8" t="s">
        <v>25</v>
      </c>
      <c r="G821" s="8" t="s">
        <v>31</v>
      </c>
      <c r="H821" s="8" t="s">
        <v>32</v>
      </c>
      <c r="I821" s="10">
        <v>44855</v>
      </c>
      <c r="J821" s="8" t="s">
        <v>696</v>
      </c>
    </row>
    <row r="822" spans="1:10" x14ac:dyDescent="0.15">
      <c r="A822" s="7">
        <v>44860</v>
      </c>
      <c r="B822" s="8" t="s">
        <v>30</v>
      </c>
      <c r="C822" s="8" t="s">
        <v>30</v>
      </c>
      <c r="D822" s="9" t="str">
        <f>HYPERLINK("https://www.marklines.com/en/global/420","Toyota Motor East Japan, Miyagi Ohira Plant")</f>
        <v>Toyota Motor East Japan, Miyagi Ohira Plant</v>
      </c>
      <c r="E822" s="8" t="s">
        <v>697</v>
      </c>
      <c r="F822" s="8" t="s">
        <v>25</v>
      </c>
      <c r="G822" s="8" t="s">
        <v>31</v>
      </c>
      <c r="H822" s="8" t="s">
        <v>160</v>
      </c>
      <c r="I822" s="10">
        <v>44855</v>
      </c>
      <c r="J822" s="8" t="s">
        <v>696</v>
      </c>
    </row>
    <row r="823" spans="1:10" x14ac:dyDescent="0.15">
      <c r="A823" s="7">
        <v>44860</v>
      </c>
      <c r="B823" s="8" t="s">
        <v>30</v>
      </c>
      <c r="C823" s="8" t="s">
        <v>30</v>
      </c>
      <c r="D823" s="9" t="str">
        <f>HYPERLINK("https://www.marklines.com/en/global/424","Toyota Motor East Japan, Iwate Plant")</f>
        <v>Toyota Motor East Japan, Iwate Plant</v>
      </c>
      <c r="E823" s="8" t="s">
        <v>117</v>
      </c>
      <c r="F823" s="8" t="s">
        <v>25</v>
      </c>
      <c r="G823" s="8" t="s">
        <v>31</v>
      </c>
      <c r="H823" s="8" t="s">
        <v>118</v>
      </c>
      <c r="I823" s="10">
        <v>44855</v>
      </c>
      <c r="J823" s="8" t="s">
        <v>696</v>
      </c>
    </row>
    <row r="824" spans="1:10" x14ac:dyDescent="0.15">
      <c r="A824" s="7">
        <v>44860</v>
      </c>
      <c r="B824" s="8" t="s">
        <v>30</v>
      </c>
      <c r="C824" s="8" t="s">
        <v>30</v>
      </c>
      <c r="D824" s="9" t="str">
        <f>HYPERLINK("https://www.marklines.com/en/global/381","Toyota Motor, Tahara Plant")</f>
        <v>Toyota Motor, Tahara Plant</v>
      </c>
      <c r="E824" s="8" t="s">
        <v>131</v>
      </c>
      <c r="F824" s="8" t="s">
        <v>25</v>
      </c>
      <c r="G824" s="8" t="s">
        <v>31</v>
      </c>
      <c r="H824" s="8" t="s">
        <v>32</v>
      </c>
      <c r="I824" s="10">
        <v>44855</v>
      </c>
      <c r="J824" s="8" t="s">
        <v>696</v>
      </c>
    </row>
    <row r="825" spans="1:10" x14ac:dyDescent="0.15">
      <c r="A825" s="7">
        <v>44860</v>
      </c>
      <c r="B825" s="8" t="s">
        <v>30</v>
      </c>
      <c r="C825" s="8" t="s">
        <v>30</v>
      </c>
      <c r="D825" s="9" t="str">
        <f>HYPERLINK("https://www.marklines.com/en/global/393","Toyota Motor Kyushu, Miyata Plant")</f>
        <v>Toyota Motor Kyushu, Miyata Plant</v>
      </c>
      <c r="E825" s="8" t="s">
        <v>126</v>
      </c>
      <c r="F825" s="8" t="s">
        <v>25</v>
      </c>
      <c r="G825" s="8" t="s">
        <v>31</v>
      </c>
      <c r="H825" s="8" t="s">
        <v>127</v>
      </c>
      <c r="I825" s="10">
        <v>44855</v>
      </c>
      <c r="J825" s="8" t="s">
        <v>696</v>
      </c>
    </row>
    <row r="826" spans="1:10" x14ac:dyDescent="0.15">
      <c r="A826" s="7">
        <v>44860</v>
      </c>
      <c r="B826" s="8" t="s">
        <v>30</v>
      </c>
      <c r="C826" s="8" t="s">
        <v>30</v>
      </c>
      <c r="D826" s="9" t="str">
        <f>HYPERLINK("https://www.marklines.com/en/global/379","Toyota Motor, Tsutsumi Plant")</f>
        <v>Toyota Motor, Tsutsumi Plant</v>
      </c>
      <c r="E826" s="8" t="s">
        <v>105</v>
      </c>
      <c r="F826" s="8" t="s">
        <v>25</v>
      </c>
      <c r="G826" s="8" t="s">
        <v>31</v>
      </c>
      <c r="H826" s="8" t="s">
        <v>32</v>
      </c>
      <c r="I826" s="10">
        <v>44855</v>
      </c>
      <c r="J826" s="8" t="s">
        <v>696</v>
      </c>
    </row>
    <row r="827" spans="1:10" x14ac:dyDescent="0.15">
      <c r="A827" s="7">
        <v>44860</v>
      </c>
      <c r="B827" s="8" t="s">
        <v>30</v>
      </c>
      <c r="C827" s="8" t="s">
        <v>30</v>
      </c>
      <c r="D827" s="9" t="str">
        <f>HYPERLINK("https://www.marklines.com/en/global/409","Toyota Auto Body, Fujimatsu Plant")</f>
        <v>Toyota Auto Body, Fujimatsu Plant</v>
      </c>
      <c r="E827" s="8" t="s">
        <v>698</v>
      </c>
      <c r="F827" s="8" t="s">
        <v>25</v>
      </c>
      <c r="G827" s="8" t="s">
        <v>31</v>
      </c>
      <c r="H827" s="8" t="s">
        <v>32</v>
      </c>
      <c r="I827" s="10">
        <v>44855</v>
      </c>
      <c r="J827" s="8" t="s">
        <v>696</v>
      </c>
    </row>
    <row r="828" spans="1:10" x14ac:dyDescent="0.15">
      <c r="A828" s="7">
        <v>44860</v>
      </c>
      <c r="B828" s="8" t="s">
        <v>30</v>
      </c>
      <c r="C828" s="8" t="s">
        <v>37</v>
      </c>
      <c r="D828" s="9" t="str">
        <f>HYPERLINK("https://www.marklines.com/en/global/567","Hino Motors, Hamura Plant")</f>
        <v>Hino Motors, Hamura Plant</v>
      </c>
      <c r="E828" s="8" t="s">
        <v>49</v>
      </c>
      <c r="F828" s="8" t="s">
        <v>25</v>
      </c>
      <c r="G828" s="8" t="s">
        <v>31</v>
      </c>
      <c r="H828" s="8" t="s">
        <v>50</v>
      </c>
      <c r="I828" s="10">
        <v>44855</v>
      </c>
      <c r="J828" s="8" t="s">
        <v>696</v>
      </c>
    </row>
    <row r="829" spans="1:10" x14ac:dyDescent="0.15">
      <c r="A829" s="7">
        <v>44860</v>
      </c>
      <c r="B829" s="8" t="s">
        <v>30</v>
      </c>
      <c r="C829" s="8" t="s">
        <v>30</v>
      </c>
      <c r="D829" s="9" t="str">
        <f>HYPERLINK("https://www.marklines.com/en/global/417","Gifu Auto Body Co., Ltd., Honsha Plant")</f>
        <v>Gifu Auto Body Co., Ltd., Honsha Plant</v>
      </c>
      <c r="E829" s="8" t="s">
        <v>699</v>
      </c>
      <c r="F829" s="8" t="s">
        <v>25</v>
      </c>
      <c r="G829" s="8" t="s">
        <v>31</v>
      </c>
      <c r="H829" s="8" t="s">
        <v>700</v>
      </c>
      <c r="I829" s="10">
        <v>44855</v>
      </c>
      <c r="J829" s="8" t="s">
        <v>701</v>
      </c>
    </row>
    <row r="830" spans="1:10" x14ac:dyDescent="0.15">
      <c r="A830" s="7">
        <v>44860</v>
      </c>
      <c r="B830" s="8" t="s">
        <v>87</v>
      </c>
      <c r="C830" s="8" t="s">
        <v>88</v>
      </c>
      <c r="D830" s="9" t="str">
        <f>HYPERLINK("https://www.marklines.com/en/global/4125","BYD Automobile Industry Co., Ltd., Shenzhen Plant")</f>
        <v>BYD Automobile Industry Co., Ltd., Shenzhen Plant</v>
      </c>
      <c r="E830" s="8" t="s">
        <v>702</v>
      </c>
      <c r="F830" s="8" t="s">
        <v>25</v>
      </c>
      <c r="G830" s="8" t="s">
        <v>71</v>
      </c>
      <c r="H830" s="8" t="s">
        <v>83</v>
      </c>
      <c r="I830" s="10">
        <v>44855</v>
      </c>
      <c r="J830" s="8" t="s">
        <v>703</v>
      </c>
    </row>
    <row r="831" spans="1:10" x14ac:dyDescent="0.15">
      <c r="A831" s="7">
        <v>44860</v>
      </c>
      <c r="B831" s="8" t="s">
        <v>87</v>
      </c>
      <c r="C831" s="8" t="s">
        <v>88</v>
      </c>
      <c r="D831" s="9" t="str">
        <f>HYPERLINK("https://www.marklines.com/en/global/4043","BYD Automobile Industry Co., Ltd., Changsha Branch")</f>
        <v>BYD Automobile Industry Co., Ltd., Changsha Branch</v>
      </c>
      <c r="E831" s="8" t="s">
        <v>481</v>
      </c>
      <c r="F831" s="8" t="s">
        <v>25</v>
      </c>
      <c r="G831" s="8" t="s">
        <v>71</v>
      </c>
      <c r="H831" s="8" t="s">
        <v>482</v>
      </c>
      <c r="I831" s="10">
        <v>44855</v>
      </c>
      <c r="J831" s="8" t="s">
        <v>703</v>
      </c>
    </row>
    <row r="832" spans="1:10" x14ac:dyDescent="0.15">
      <c r="A832" s="7">
        <v>44860</v>
      </c>
      <c r="B832" s="8" t="s">
        <v>478</v>
      </c>
      <c r="C832" s="8" t="s">
        <v>478</v>
      </c>
      <c r="D832" s="9" t="str">
        <f>HYPERLINK("https://www.marklines.com/en/global/4125","BYD Automobile Industry Co., Ltd., Shenzhen Plant")</f>
        <v>BYD Automobile Industry Co., Ltd., Shenzhen Plant</v>
      </c>
      <c r="E832" s="8" t="s">
        <v>702</v>
      </c>
      <c r="F832" s="8" t="s">
        <v>25</v>
      </c>
      <c r="G832" s="8" t="s">
        <v>71</v>
      </c>
      <c r="H832" s="8" t="s">
        <v>83</v>
      </c>
      <c r="I832" s="10">
        <v>44855</v>
      </c>
      <c r="J832" s="8" t="s">
        <v>703</v>
      </c>
    </row>
    <row r="833" spans="1:10" x14ac:dyDescent="0.15">
      <c r="A833" s="7">
        <v>44860</v>
      </c>
      <c r="B833" s="8" t="s">
        <v>478</v>
      </c>
      <c r="C833" s="8" t="s">
        <v>478</v>
      </c>
      <c r="D833" s="9" t="str">
        <f>HYPERLINK("https://www.marklines.com/en/global/4043","BYD Automobile Industry Co., Ltd., Changsha Branch")</f>
        <v>BYD Automobile Industry Co., Ltd., Changsha Branch</v>
      </c>
      <c r="E833" s="8" t="s">
        <v>481</v>
      </c>
      <c r="F833" s="8" t="s">
        <v>25</v>
      </c>
      <c r="G833" s="8" t="s">
        <v>71</v>
      </c>
      <c r="H833" s="8" t="s">
        <v>482</v>
      </c>
      <c r="I833" s="10">
        <v>44855</v>
      </c>
      <c r="J833" s="8" t="s">
        <v>703</v>
      </c>
    </row>
    <row r="834" spans="1:10" x14ac:dyDescent="0.15">
      <c r="A834" s="7">
        <v>44860</v>
      </c>
      <c r="B834" s="8" t="s">
        <v>439</v>
      </c>
      <c r="C834" s="8" t="s">
        <v>704</v>
      </c>
      <c r="D834" s="9" t="str">
        <f>HYPERLINK("https://www.marklines.com/en/global/3425","Beiqi Foton Motor Co., Ltd.")</f>
        <v>Beiqi Foton Motor Co., Ltd.</v>
      </c>
      <c r="E834" s="8" t="s">
        <v>705</v>
      </c>
      <c r="F834" s="8" t="s">
        <v>25</v>
      </c>
      <c r="G834" s="8" t="s">
        <v>71</v>
      </c>
      <c r="H834" s="8" t="s">
        <v>437</v>
      </c>
      <c r="I834" s="10">
        <v>44854</v>
      </c>
      <c r="J834" s="8" t="s">
        <v>706</v>
      </c>
    </row>
    <row r="835" spans="1:10" x14ac:dyDescent="0.15">
      <c r="A835" s="7">
        <v>44860</v>
      </c>
      <c r="B835" s="8" t="s">
        <v>100</v>
      </c>
      <c r="C835" s="8" t="s">
        <v>100</v>
      </c>
      <c r="D835" s="9" t="str">
        <f>HYPERLINK("https://www.marklines.com/en/global/4187","SAIC-Hongyan Automobile Co., Ltd.")</f>
        <v>SAIC-Hongyan Automobile Co., Ltd.</v>
      </c>
      <c r="E835" s="8" t="s">
        <v>707</v>
      </c>
      <c r="F835" s="8" t="s">
        <v>25</v>
      </c>
      <c r="G835" s="8" t="s">
        <v>71</v>
      </c>
      <c r="H835" s="8" t="s">
        <v>81</v>
      </c>
      <c r="I835" s="10">
        <v>44854</v>
      </c>
      <c r="J835" s="8" t="s">
        <v>708</v>
      </c>
    </row>
    <row r="836" spans="1:10" x14ac:dyDescent="0.15">
      <c r="A836" s="7">
        <v>44860</v>
      </c>
      <c r="B836" s="8" t="s">
        <v>100</v>
      </c>
      <c r="C836" s="8" t="s">
        <v>100</v>
      </c>
      <c r="D836" s="9" t="str">
        <f>HYPERLINK("https://www.marklines.com/en/global/10582","SAIC Hongyan Automobile Co., Ltd. Inner Mongolia Branch")</f>
        <v>SAIC Hongyan Automobile Co., Ltd. Inner Mongolia Branch</v>
      </c>
      <c r="E836" s="8" t="s">
        <v>709</v>
      </c>
      <c r="F836" s="8" t="s">
        <v>25</v>
      </c>
      <c r="G836" s="8" t="s">
        <v>71</v>
      </c>
      <c r="H836" s="8" t="s">
        <v>710</v>
      </c>
      <c r="I836" s="10">
        <v>44854</v>
      </c>
      <c r="J836" s="8" t="s">
        <v>708</v>
      </c>
    </row>
    <row r="837" spans="1:10" x14ac:dyDescent="0.15">
      <c r="A837" s="7">
        <v>44860</v>
      </c>
      <c r="B837" s="8" t="s">
        <v>57</v>
      </c>
      <c r="C837" s="8" t="s">
        <v>57</v>
      </c>
      <c r="D837" s="9" t="str">
        <f>HYPERLINK("https://www.marklines.com/en/global/9303","Hyundai Thanh Cong Vietnam (HTC), Ninh Binh Plant")</f>
        <v>Hyundai Thanh Cong Vietnam (HTC), Ninh Binh Plant</v>
      </c>
      <c r="E837" s="8" t="s">
        <v>711</v>
      </c>
      <c r="F837" s="8" t="s">
        <v>22</v>
      </c>
      <c r="G837" s="8" t="s">
        <v>712</v>
      </c>
      <c r="H837" s="8"/>
      <c r="I837" s="10">
        <v>44854</v>
      </c>
      <c r="J837" s="8" t="s">
        <v>713</v>
      </c>
    </row>
    <row r="838" spans="1:10" x14ac:dyDescent="0.15">
      <c r="A838" s="7">
        <v>44860</v>
      </c>
      <c r="B838" s="8" t="s">
        <v>57</v>
      </c>
      <c r="C838" s="8" t="s">
        <v>57</v>
      </c>
      <c r="D838" s="9" t="str">
        <f>HYPERLINK("https://www.marklines.com/en/global/9975","PT. Hyundai Motor Manufacturing Indonesia (HMMI), Cikarang Plant")</f>
        <v>PT. Hyundai Motor Manufacturing Indonesia (HMMI), Cikarang Plant</v>
      </c>
      <c r="E838" s="8" t="s">
        <v>714</v>
      </c>
      <c r="F838" s="8" t="s">
        <v>22</v>
      </c>
      <c r="G838" s="8" t="s">
        <v>53</v>
      </c>
      <c r="H838" s="8"/>
      <c r="I838" s="10">
        <v>44854</v>
      </c>
      <c r="J838" s="8" t="s">
        <v>713</v>
      </c>
    </row>
    <row r="839" spans="1:10" x14ac:dyDescent="0.15">
      <c r="A839" s="7">
        <v>44860</v>
      </c>
      <c r="B839" s="8" t="s">
        <v>715</v>
      </c>
      <c r="C839" s="8" t="s">
        <v>715</v>
      </c>
      <c r="D839" s="9" t="str">
        <f>HYPERLINK("https://www.marklines.com/en/global/55","Yulon Motor, Sanyi Plant")</f>
        <v>Yulon Motor, Sanyi Plant</v>
      </c>
      <c r="E839" s="8" t="s">
        <v>716</v>
      </c>
      <c r="F839" s="8" t="s">
        <v>25</v>
      </c>
      <c r="G839" s="8" t="s">
        <v>318</v>
      </c>
      <c r="H839" s="8"/>
      <c r="I839" s="10">
        <v>44854</v>
      </c>
      <c r="J839" s="8" t="s">
        <v>717</v>
      </c>
    </row>
    <row r="840" spans="1:10" x14ac:dyDescent="0.15">
      <c r="A840" s="7">
        <v>44860</v>
      </c>
      <c r="B840" s="8" t="s">
        <v>478</v>
      </c>
      <c r="C840" s="8" t="s">
        <v>478</v>
      </c>
      <c r="D840" s="9" t="str">
        <f>HYPERLINK("https://www.marklines.com/en/global/10441","BYD Automobile Co., Ltd. Changzhou Branch")</f>
        <v>BYD Automobile Co., Ltd. Changzhou Branch</v>
      </c>
      <c r="E840" s="8" t="s">
        <v>479</v>
      </c>
      <c r="F840" s="8" t="s">
        <v>25</v>
      </c>
      <c r="G840" s="8" t="s">
        <v>71</v>
      </c>
      <c r="H840" s="8" t="s">
        <v>351</v>
      </c>
      <c r="I840" s="10">
        <v>44854</v>
      </c>
      <c r="J840" s="8" t="s">
        <v>718</v>
      </c>
    </row>
    <row r="841" spans="1:10" x14ac:dyDescent="0.15">
      <c r="A841" s="7">
        <v>44860</v>
      </c>
      <c r="B841" s="8" t="s">
        <v>478</v>
      </c>
      <c r="C841" s="8" t="s">
        <v>478</v>
      </c>
      <c r="D841" s="9" t="str">
        <f>HYPERLINK("https://www.marklines.com/en/global/4043","BYD Automobile Industry Co., Ltd., Changsha Branch")</f>
        <v>BYD Automobile Industry Co., Ltd., Changsha Branch</v>
      </c>
      <c r="E841" s="8" t="s">
        <v>481</v>
      </c>
      <c r="F841" s="8" t="s">
        <v>25</v>
      </c>
      <c r="G841" s="8" t="s">
        <v>71</v>
      </c>
      <c r="H841" s="8" t="s">
        <v>482</v>
      </c>
      <c r="I841" s="10">
        <v>44854</v>
      </c>
      <c r="J841" s="8" t="s">
        <v>718</v>
      </c>
    </row>
    <row r="842" spans="1:10" x14ac:dyDescent="0.15">
      <c r="A842" s="7">
        <v>44860</v>
      </c>
      <c r="B842" s="8" t="s">
        <v>76</v>
      </c>
      <c r="C842" s="8" t="s">
        <v>76</v>
      </c>
      <c r="D842" s="9" t="str">
        <f>HYPERLINK("https://www.marklines.com/en/global/3807","Zhejiang Geely Holding Group Co., Ltd.")</f>
        <v>Zhejiang Geely Holding Group Co., Ltd.</v>
      </c>
      <c r="E842" s="8" t="s">
        <v>719</v>
      </c>
      <c r="F842" s="8" t="s">
        <v>25</v>
      </c>
      <c r="G842" s="8" t="s">
        <v>71</v>
      </c>
      <c r="H842" s="8" t="s">
        <v>78</v>
      </c>
      <c r="I842" s="10">
        <v>44854</v>
      </c>
      <c r="J842" s="8" t="s">
        <v>720</v>
      </c>
    </row>
    <row r="843" spans="1:10" x14ac:dyDescent="0.15">
      <c r="A843" s="7">
        <v>44860</v>
      </c>
      <c r="B843" s="8" t="s">
        <v>15</v>
      </c>
      <c r="C843" s="8" t="s">
        <v>430</v>
      </c>
      <c r="D843" s="9" t="str">
        <f>HYPERLINK("https://www.marklines.com/en/global/3847","Hunan Jiangnan Automobile Manufacturing Co., Ltd. Yongkang Zotye Branch")</f>
        <v>Hunan Jiangnan Automobile Manufacturing Co., Ltd. Yongkang Zotye Branch</v>
      </c>
      <c r="E843" s="8" t="s">
        <v>431</v>
      </c>
      <c r="F843" s="8" t="s">
        <v>25</v>
      </c>
      <c r="G843" s="8" t="s">
        <v>71</v>
      </c>
      <c r="H843" s="8" t="s">
        <v>78</v>
      </c>
      <c r="I843" s="10">
        <v>44854</v>
      </c>
      <c r="J843" s="8" t="s">
        <v>721</v>
      </c>
    </row>
    <row r="844" spans="1:10" x14ac:dyDescent="0.15">
      <c r="A844" s="7">
        <v>44860</v>
      </c>
      <c r="B844" s="8" t="s">
        <v>82</v>
      </c>
      <c r="C844" s="8" t="s">
        <v>133</v>
      </c>
      <c r="D844" s="9" t="str">
        <f>HYPERLINK("https://www.marklines.com/en/global/9824","GAC Aion New Energy Automobile Co., Ltd.")</f>
        <v>GAC Aion New Energy Automobile Co., Ltd.</v>
      </c>
      <c r="E844" s="8" t="s">
        <v>134</v>
      </c>
      <c r="F844" s="8" t="s">
        <v>25</v>
      </c>
      <c r="G844" s="8" t="s">
        <v>71</v>
      </c>
      <c r="H844" s="8" t="s">
        <v>83</v>
      </c>
      <c r="I844" s="10">
        <v>44854</v>
      </c>
      <c r="J844" s="8" t="s">
        <v>722</v>
      </c>
    </row>
    <row r="845" spans="1:10" x14ac:dyDescent="0.15">
      <c r="A845" s="7">
        <v>44860</v>
      </c>
      <c r="B845" s="8" t="s">
        <v>30</v>
      </c>
      <c r="C845" s="8" t="s">
        <v>30</v>
      </c>
      <c r="D845" s="9" t="str">
        <f>HYPERLINK("https://www.marklines.com/en/global/795","Limited Liability Company ""TOYOTA MOTOR"" in Saint-Petersburg (TMR-SP), St.Petersburg Plant")</f>
        <v>Limited Liability Company "TOYOTA MOTOR" in Saint-Petersburg (TMR-SP), St.Petersburg Plant</v>
      </c>
      <c r="E845" s="8" t="s">
        <v>723</v>
      </c>
      <c r="F845" s="8" t="s">
        <v>21</v>
      </c>
      <c r="G845" s="8" t="s">
        <v>16</v>
      </c>
      <c r="H845" s="8"/>
      <c r="I845" s="10">
        <v>44853</v>
      </c>
      <c r="J845" s="8" t="s">
        <v>724</v>
      </c>
    </row>
    <row r="846" spans="1:10" x14ac:dyDescent="0.15">
      <c r="A846" s="7">
        <v>44860</v>
      </c>
      <c r="B846" s="8" t="s">
        <v>725</v>
      </c>
      <c r="C846" s="8" t="s">
        <v>725</v>
      </c>
      <c r="D846" s="9" t="str">
        <f>HYPERLINK("https://www.marklines.com/en/global/4271","Shaanxi Automobile Group Co., Ltd.")</f>
        <v>Shaanxi Automobile Group Co., Ltd.</v>
      </c>
      <c r="E846" s="8" t="s">
        <v>726</v>
      </c>
      <c r="F846" s="8" t="s">
        <v>25</v>
      </c>
      <c r="G846" s="8" t="s">
        <v>71</v>
      </c>
      <c r="H846" s="8" t="s">
        <v>727</v>
      </c>
      <c r="I846" s="10">
        <v>44852</v>
      </c>
      <c r="J846" s="8" t="s">
        <v>728</v>
      </c>
    </row>
    <row r="847" spans="1:10" x14ac:dyDescent="0.15">
      <c r="A847" s="7">
        <v>44860</v>
      </c>
      <c r="B847" s="8" t="s">
        <v>398</v>
      </c>
      <c r="C847" s="8" t="s">
        <v>398</v>
      </c>
      <c r="D847" s="9" t="str">
        <f>HYPERLINK("https://www.marklines.com/en/global/553","Isuzu Motors, Fujisawa Plant")</f>
        <v>Isuzu Motors, Fujisawa Plant</v>
      </c>
      <c r="E847" s="8" t="s">
        <v>395</v>
      </c>
      <c r="F847" s="8" t="s">
        <v>25</v>
      </c>
      <c r="G847" s="8" t="s">
        <v>31</v>
      </c>
      <c r="H847" s="8" t="s">
        <v>396</v>
      </c>
      <c r="I847" s="10">
        <v>44852</v>
      </c>
      <c r="J847" s="8" t="s">
        <v>729</v>
      </c>
    </row>
    <row r="848" spans="1:10" x14ac:dyDescent="0.15">
      <c r="A848" s="7">
        <v>44860</v>
      </c>
      <c r="B848" s="8" t="s">
        <v>715</v>
      </c>
      <c r="C848" s="8" t="s">
        <v>715</v>
      </c>
      <c r="D848" s="9" t="str">
        <f>HYPERLINK("https://www.marklines.com/en/global/55","Yulon Motor, Sanyi Plant")</f>
        <v>Yulon Motor, Sanyi Plant</v>
      </c>
      <c r="E848" s="8" t="s">
        <v>716</v>
      </c>
      <c r="F848" s="8" t="s">
        <v>25</v>
      </c>
      <c r="G848" s="8" t="s">
        <v>318</v>
      </c>
      <c r="H848" s="8"/>
      <c r="I848" s="10">
        <v>44852</v>
      </c>
      <c r="J848" s="8" t="s">
        <v>1666</v>
      </c>
    </row>
    <row r="849" spans="1:10" x14ac:dyDescent="0.15">
      <c r="A849" s="7">
        <v>44860</v>
      </c>
      <c r="B849" s="8" t="s">
        <v>57</v>
      </c>
      <c r="C849" s="8" t="s">
        <v>57</v>
      </c>
      <c r="D849" s="9" t="str">
        <f>HYPERLINK("https://www.marklines.com/en/global/9303","Hyundai Thanh Cong Vietnam (HTC), Ninh Binh Plant")</f>
        <v>Hyundai Thanh Cong Vietnam (HTC), Ninh Binh Plant</v>
      </c>
      <c r="E849" s="8" t="s">
        <v>711</v>
      </c>
      <c r="F849" s="8" t="s">
        <v>22</v>
      </c>
      <c r="G849" s="8" t="s">
        <v>712</v>
      </c>
      <c r="H849" s="8"/>
      <c r="I849" s="10">
        <v>44848</v>
      </c>
      <c r="J849" s="8" t="s">
        <v>730</v>
      </c>
    </row>
    <row r="850" spans="1:10" x14ac:dyDescent="0.15">
      <c r="A850" s="7">
        <v>44859</v>
      </c>
      <c r="B850" s="8" t="s">
        <v>56</v>
      </c>
      <c r="C850" s="8" t="s">
        <v>56</v>
      </c>
      <c r="D850" s="9" t="str">
        <f>HYPERLINK("https://www.marklines.com/en/global/613","Ford South Africa, Silverton Assembly Plant")</f>
        <v>Ford South Africa, Silverton Assembly Plant</v>
      </c>
      <c r="E850" s="8" t="s">
        <v>128</v>
      </c>
      <c r="F850" s="8" t="s">
        <v>129</v>
      </c>
      <c r="G850" s="8" t="s">
        <v>130</v>
      </c>
      <c r="H850" s="8"/>
      <c r="I850" s="10">
        <v>44857</v>
      </c>
      <c r="J850" s="8" t="s">
        <v>731</v>
      </c>
    </row>
    <row r="851" spans="1:10" x14ac:dyDescent="0.15">
      <c r="A851" s="7">
        <v>44859</v>
      </c>
      <c r="B851" s="8" t="s">
        <v>14</v>
      </c>
      <c r="C851" s="8" t="s">
        <v>28</v>
      </c>
      <c r="D851" s="9" t="str">
        <f>HYPERLINK("https://www.marklines.com/en/global/2523","General Motors, Spring Hill Manufacturing (formerly Spring Hill Assembly)")</f>
        <v>General Motors, Spring Hill Manufacturing (formerly Spring Hill Assembly)</v>
      </c>
      <c r="E851" s="8" t="s">
        <v>236</v>
      </c>
      <c r="F851" s="8" t="s">
        <v>19</v>
      </c>
      <c r="G851" s="8" t="s">
        <v>12</v>
      </c>
      <c r="H851" s="8" t="s">
        <v>107</v>
      </c>
      <c r="I851" s="10">
        <v>44855</v>
      </c>
      <c r="J851" s="8" t="s">
        <v>732</v>
      </c>
    </row>
    <row r="852" spans="1:10" x14ac:dyDescent="0.15">
      <c r="A852" s="7">
        <v>44859</v>
      </c>
      <c r="B852" s="8" t="s">
        <v>14</v>
      </c>
      <c r="C852" s="8" t="s">
        <v>14</v>
      </c>
      <c r="D852" s="9" t="str">
        <f>HYPERLINK("https://www.marklines.com/en/global/9976","Ultium Cells LLC, Warren Plant ")</f>
        <v xml:space="preserve">Ultium Cells LLC, Warren Plant </v>
      </c>
      <c r="E852" s="8" t="s">
        <v>733</v>
      </c>
      <c r="F852" s="8" t="s">
        <v>19</v>
      </c>
      <c r="G852" s="8" t="s">
        <v>12</v>
      </c>
      <c r="H852" s="8" t="s">
        <v>48</v>
      </c>
      <c r="I852" s="10">
        <v>44855</v>
      </c>
      <c r="J852" s="8" t="s">
        <v>732</v>
      </c>
    </row>
    <row r="853" spans="1:10" x14ac:dyDescent="0.15">
      <c r="A853" s="7">
        <v>44858</v>
      </c>
      <c r="B853" s="8" t="s">
        <v>100</v>
      </c>
      <c r="C853" s="8" t="s">
        <v>100</v>
      </c>
      <c r="D853" s="9" t="str">
        <f>HYPERLINK("https://www.marklines.com/en/global/3609","SAIC Motor Corporation Limited")</f>
        <v>SAIC Motor Corporation Limited</v>
      </c>
      <c r="E853" s="8" t="s">
        <v>384</v>
      </c>
      <c r="F853" s="8" t="s">
        <v>25</v>
      </c>
      <c r="G853" s="8" t="s">
        <v>71</v>
      </c>
      <c r="H853" s="8" t="s">
        <v>72</v>
      </c>
      <c r="I853" s="10">
        <v>44854</v>
      </c>
      <c r="J853" s="8" t="s">
        <v>429</v>
      </c>
    </row>
    <row r="854" spans="1:10" x14ac:dyDescent="0.15">
      <c r="A854" s="7">
        <v>44858</v>
      </c>
      <c r="B854" s="8" t="s">
        <v>15</v>
      </c>
      <c r="C854" s="8" t="s">
        <v>430</v>
      </c>
      <c r="D854" s="9" t="str">
        <f>HYPERLINK("https://www.marklines.com/en/global/3847","Hunan Jiangnan Automobile Manufacturing Co., Ltd. Yongkang Zotye Branch")</f>
        <v>Hunan Jiangnan Automobile Manufacturing Co., Ltd. Yongkang Zotye Branch</v>
      </c>
      <c r="E854" s="8" t="s">
        <v>431</v>
      </c>
      <c r="F854" s="8" t="s">
        <v>25</v>
      </c>
      <c r="G854" s="8" t="s">
        <v>71</v>
      </c>
      <c r="H854" s="8" t="s">
        <v>78</v>
      </c>
      <c r="I854" s="10">
        <v>44853</v>
      </c>
      <c r="J854" s="8" t="s">
        <v>432</v>
      </c>
    </row>
    <row r="855" spans="1:10" x14ac:dyDescent="0.15">
      <c r="A855" s="7">
        <v>44858</v>
      </c>
      <c r="B855" s="8" t="s">
        <v>15</v>
      </c>
      <c r="C855" s="8" t="s">
        <v>433</v>
      </c>
      <c r="D855" s="9" t="str">
        <f>HYPERLINK("https://www.marklines.com/en/global/10447","Beijing Automobile Works (Qingdao) Co., Ltd.")</f>
        <v>Beijing Automobile Works (Qingdao) Co., Ltd.</v>
      </c>
      <c r="E855" s="8" t="s">
        <v>434</v>
      </c>
      <c r="F855" s="8" t="s">
        <v>25</v>
      </c>
      <c r="G855" s="8" t="s">
        <v>71</v>
      </c>
      <c r="H855" s="8" t="s">
        <v>104</v>
      </c>
      <c r="I855" s="10">
        <v>44852</v>
      </c>
      <c r="J855" s="8" t="s">
        <v>435</v>
      </c>
    </row>
    <row r="856" spans="1:10" x14ac:dyDescent="0.15">
      <c r="A856" s="7">
        <v>44858</v>
      </c>
      <c r="B856" s="8" t="s">
        <v>57</v>
      </c>
      <c r="C856" s="8" t="s">
        <v>57</v>
      </c>
      <c r="D856" s="9" t="str">
        <f>HYPERLINK("https://www.marklines.com/en/global/3431","Beijing Hyundai Motor Co., Ltd.")</f>
        <v>Beijing Hyundai Motor Co., Ltd.</v>
      </c>
      <c r="E856" s="8" t="s">
        <v>436</v>
      </c>
      <c r="F856" s="8" t="s">
        <v>25</v>
      </c>
      <c r="G856" s="8" t="s">
        <v>71</v>
      </c>
      <c r="H856" s="8" t="s">
        <v>437</v>
      </c>
      <c r="I856" s="10">
        <v>44852</v>
      </c>
      <c r="J856" s="8" t="s">
        <v>438</v>
      </c>
    </row>
    <row r="857" spans="1:10" x14ac:dyDescent="0.15">
      <c r="A857" s="7">
        <v>44858</v>
      </c>
      <c r="B857" s="8" t="s">
        <v>439</v>
      </c>
      <c r="C857" s="8" t="s">
        <v>439</v>
      </c>
      <c r="D857" s="9" t="str">
        <f>HYPERLINK("https://www.marklines.com/en/global/3431","Beijing Hyundai Motor Co., Ltd.")</f>
        <v>Beijing Hyundai Motor Co., Ltd.</v>
      </c>
      <c r="E857" s="8" t="s">
        <v>436</v>
      </c>
      <c r="F857" s="8" t="s">
        <v>25</v>
      </c>
      <c r="G857" s="8" t="s">
        <v>71</v>
      </c>
      <c r="H857" s="8" t="s">
        <v>437</v>
      </c>
      <c r="I857" s="10">
        <v>44852</v>
      </c>
      <c r="J857" s="8" t="s">
        <v>438</v>
      </c>
    </row>
    <row r="858" spans="1:10" x14ac:dyDescent="0.15">
      <c r="A858" s="7">
        <v>44858</v>
      </c>
      <c r="B858" s="8" t="s">
        <v>139</v>
      </c>
      <c r="C858" s="8" t="s">
        <v>139</v>
      </c>
      <c r="D858" s="9" t="str">
        <f>HYPERLINK("https://www.marklines.com/en/global/10356","Anhui Jianghuai Automobile Group Co., Ltd. Car Branch")</f>
        <v>Anhui Jianghuai Automobile Group Co., Ltd. Car Branch</v>
      </c>
      <c r="E858" s="8" t="s">
        <v>440</v>
      </c>
      <c r="F858" s="8" t="s">
        <v>25</v>
      </c>
      <c r="G858" s="8" t="s">
        <v>71</v>
      </c>
      <c r="H858" s="8" t="s">
        <v>120</v>
      </c>
      <c r="I858" s="10">
        <v>44848</v>
      </c>
      <c r="J858" s="8" t="s">
        <v>441</v>
      </c>
    </row>
    <row r="859" spans="1:10" x14ac:dyDescent="0.15">
      <c r="A859" s="7">
        <v>44856</v>
      </c>
      <c r="B859" s="8" t="s">
        <v>52</v>
      </c>
      <c r="C859" s="8" t="s">
        <v>91</v>
      </c>
      <c r="D859" s="9" t="str">
        <f>HYPERLINK("https://www.marklines.com/en/global/2834","Stellantis, FCA Brazil, Pernambuco (Goiana) Plant")</f>
        <v>Stellantis, FCA Brazil, Pernambuco (Goiana) Plant</v>
      </c>
      <c r="E859" s="8" t="s">
        <v>442</v>
      </c>
      <c r="F859" s="8" t="s">
        <v>24</v>
      </c>
      <c r="G859" s="8" t="s">
        <v>68</v>
      </c>
      <c r="H859" s="8"/>
      <c r="I859" s="10">
        <v>44855</v>
      </c>
      <c r="J859" s="8" t="s">
        <v>443</v>
      </c>
    </row>
    <row r="860" spans="1:10" x14ac:dyDescent="0.15">
      <c r="A860" s="7">
        <v>44856</v>
      </c>
      <c r="B860" s="8" t="s">
        <v>14</v>
      </c>
      <c r="C860" s="8" t="s">
        <v>40</v>
      </c>
      <c r="D860" s="9" t="str">
        <f>HYPERLINK("https://www.marklines.com/en/global/2459","General Motors, Factory ZERO (Detroit-Hamtramck Plant) ")</f>
        <v xml:space="preserve">General Motors, Factory ZERO (Detroit-Hamtramck Plant) </v>
      </c>
      <c r="E860" s="8" t="s">
        <v>54</v>
      </c>
      <c r="F860" s="8" t="s">
        <v>19</v>
      </c>
      <c r="G860" s="8" t="s">
        <v>12</v>
      </c>
      <c r="H860" s="8" t="s">
        <v>13</v>
      </c>
      <c r="I860" s="10">
        <v>44854</v>
      </c>
      <c r="J860" s="8" t="s">
        <v>444</v>
      </c>
    </row>
    <row r="861" spans="1:10" x14ac:dyDescent="0.15">
      <c r="A861" s="7">
        <v>44856</v>
      </c>
      <c r="B861" s="8" t="s">
        <v>14</v>
      </c>
      <c r="C861" s="8" t="s">
        <v>40</v>
      </c>
      <c r="D861" s="9" t="str">
        <f>HYPERLINK("https://www.marklines.com/en/global/2479","General Motors, Orion Assembly Plant")</f>
        <v>General Motors, Orion Assembly Plant</v>
      </c>
      <c r="E861" s="8" t="s">
        <v>35</v>
      </c>
      <c r="F861" s="8" t="s">
        <v>19</v>
      </c>
      <c r="G861" s="8" t="s">
        <v>12</v>
      </c>
      <c r="H861" s="8" t="s">
        <v>13</v>
      </c>
      <c r="I861" s="10">
        <v>44854</v>
      </c>
      <c r="J861" s="8" t="s">
        <v>444</v>
      </c>
    </row>
    <row r="862" spans="1:10" x14ac:dyDescent="0.15">
      <c r="A862" s="7">
        <v>44855</v>
      </c>
      <c r="B862" s="8" t="s">
        <v>94</v>
      </c>
      <c r="C862" s="8" t="s">
        <v>94</v>
      </c>
      <c r="D862" s="9" t="str">
        <f>HYPERLINK("https://www.marklines.com/en/global/1061","Pak Suzuki Motor Co., Ltd. (PSMCL), Karachi Plant")</f>
        <v>Pak Suzuki Motor Co., Ltd. (PSMCL), Karachi Plant</v>
      </c>
      <c r="E862" s="8" t="s">
        <v>378</v>
      </c>
      <c r="F862" s="8" t="s">
        <v>69</v>
      </c>
      <c r="G862" s="8" t="s">
        <v>96</v>
      </c>
      <c r="H862" s="8"/>
      <c r="I862" s="10">
        <v>44855</v>
      </c>
      <c r="J862" s="8" t="s">
        <v>445</v>
      </c>
    </row>
    <row r="863" spans="1:10" x14ac:dyDescent="0.15">
      <c r="A863" s="7">
        <v>44855</v>
      </c>
      <c r="B863" s="8" t="s">
        <v>11</v>
      </c>
      <c r="C863" s="8" t="s">
        <v>26</v>
      </c>
      <c r="D863" s="9" t="str">
        <f>HYPERLINK("https://www.marklines.com/en/global/10571","Volkswagen Group Technology Solutions India Pvt. Ltd. (VWITS) (Pune)")</f>
        <v>Volkswagen Group Technology Solutions India Pvt. Ltd. (VWITS) (Pune)</v>
      </c>
      <c r="E863" s="8" t="s">
        <v>446</v>
      </c>
      <c r="F863" s="8" t="s">
        <v>69</v>
      </c>
      <c r="G863" s="8" t="s">
        <v>70</v>
      </c>
      <c r="H863" s="8" t="s">
        <v>447</v>
      </c>
      <c r="I863" s="10">
        <v>44854</v>
      </c>
      <c r="J863" s="8" t="s">
        <v>448</v>
      </c>
    </row>
    <row r="864" spans="1:10" x14ac:dyDescent="0.15">
      <c r="A864" s="7">
        <v>44855</v>
      </c>
      <c r="B864" s="8" t="s">
        <v>449</v>
      </c>
      <c r="C864" s="8" t="s">
        <v>449</v>
      </c>
      <c r="D864" s="9" t="str">
        <f>HYPERLINK("https://www.marklines.com/en/global/1109","Ashok Leyland, Pantnagar Plant")</f>
        <v>Ashok Leyland, Pantnagar Plant</v>
      </c>
      <c r="E864" s="8" t="s">
        <v>450</v>
      </c>
      <c r="F864" s="8" t="s">
        <v>69</v>
      </c>
      <c r="G864" s="8" t="s">
        <v>70</v>
      </c>
      <c r="H864" s="8" t="s">
        <v>362</v>
      </c>
      <c r="I864" s="10">
        <v>44854</v>
      </c>
      <c r="J864" s="8" t="s">
        <v>451</v>
      </c>
    </row>
    <row r="865" spans="1:10" x14ac:dyDescent="0.15">
      <c r="A865" s="7">
        <v>44855</v>
      </c>
      <c r="B865" s="8" t="s">
        <v>15</v>
      </c>
      <c r="C865" s="8" t="s">
        <v>452</v>
      </c>
      <c r="D865" s="9" t="str">
        <f>HYPERLINK("https://www.marklines.com/en/global/2819","Agrale S.A., Caxias do Sul Plant")</f>
        <v>Agrale S.A., Caxias do Sul Plant</v>
      </c>
      <c r="E865" s="8" t="s">
        <v>453</v>
      </c>
      <c r="F865" s="8" t="s">
        <v>24</v>
      </c>
      <c r="G865" s="8" t="s">
        <v>68</v>
      </c>
      <c r="H865" s="8"/>
      <c r="I865" s="10">
        <v>44854</v>
      </c>
      <c r="J865" s="8" t="s">
        <v>454</v>
      </c>
    </row>
    <row r="866" spans="1:10" x14ac:dyDescent="0.15">
      <c r="A866" s="7">
        <v>44855</v>
      </c>
      <c r="B866" s="8" t="s">
        <v>15</v>
      </c>
      <c r="C866" s="8" t="s">
        <v>452</v>
      </c>
      <c r="D866" s="9" t="str">
        <f>HYPERLINK("https://www.marklines.com/en/global/9855","Agrale S.A. Buenos Aires Plant")</f>
        <v>Agrale S.A. Buenos Aires Plant</v>
      </c>
      <c r="E866" s="8" t="s">
        <v>455</v>
      </c>
      <c r="F866" s="8" t="s">
        <v>24</v>
      </c>
      <c r="G866" s="8" t="s">
        <v>18</v>
      </c>
      <c r="H866" s="8"/>
      <c r="I866" s="10">
        <v>44854</v>
      </c>
      <c r="J866" s="8" t="s">
        <v>454</v>
      </c>
    </row>
    <row r="867" spans="1:10" x14ac:dyDescent="0.15">
      <c r="A867" s="7">
        <v>44855</v>
      </c>
      <c r="B867" s="8" t="s">
        <v>15</v>
      </c>
      <c r="C867" s="8" t="s">
        <v>15</v>
      </c>
      <c r="D867" s="9" t="str">
        <f>HYPERLINK("https://www.marklines.com/en/global/757","JSC Moscow Automobile Plant Moskvich (former CJSC Renault Russia), Moscow Plant")</f>
        <v>JSC Moscow Automobile Plant Moskvich (former CJSC Renault Russia), Moscow Plant</v>
      </c>
      <c r="E867" s="8" t="s">
        <v>456</v>
      </c>
      <c r="F867" s="8" t="s">
        <v>21</v>
      </c>
      <c r="G867" s="8" t="s">
        <v>16</v>
      </c>
      <c r="H867" s="8"/>
      <c r="I867" s="10">
        <v>44854</v>
      </c>
      <c r="J867" s="8" t="s">
        <v>457</v>
      </c>
    </row>
    <row r="868" spans="1:10" x14ac:dyDescent="0.15">
      <c r="A868" s="7">
        <v>44855</v>
      </c>
      <c r="B868" s="8" t="s">
        <v>458</v>
      </c>
      <c r="C868" s="8" t="s">
        <v>458</v>
      </c>
      <c r="D868" s="9" t="str">
        <f>HYPERLINK("https://www.marklines.com/en/global/9583","Jiangxi Yiwei Automobile Manufacturing Co., Ltd.")</f>
        <v>Jiangxi Yiwei Automobile Manufacturing Co., Ltd.</v>
      </c>
      <c r="E868" s="8" t="s">
        <v>459</v>
      </c>
      <c r="F868" s="8" t="s">
        <v>25</v>
      </c>
      <c r="G868" s="8" t="s">
        <v>71</v>
      </c>
      <c r="H868" s="8" t="s">
        <v>460</v>
      </c>
      <c r="I868" s="10">
        <v>44854</v>
      </c>
      <c r="J868" s="8" t="s">
        <v>461</v>
      </c>
    </row>
    <row r="869" spans="1:10" x14ac:dyDescent="0.15">
      <c r="A869" s="7">
        <v>44855</v>
      </c>
      <c r="B869" s="8" t="s">
        <v>27</v>
      </c>
      <c r="C869" s="8" t="s">
        <v>27</v>
      </c>
      <c r="D869" s="9" t="str">
        <f>HYPERLINK("https://www.marklines.com/en/global/2215","BMW AG, Leipzig Plant")</f>
        <v>BMW AG, Leipzig Plant</v>
      </c>
      <c r="E869" s="8" t="s">
        <v>462</v>
      </c>
      <c r="F869" s="8" t="s">
        <v>20</v>
      </c>
      <c r="G869" s="8" t="s">
        <v>29</v>
      </c>
      <c r="H869" s="8"/>
      <c r="I869" s="10">
        <v>44854</v>
      </c>
      <c r="J869" s="8" t="s">
        <v>463</v>
      </c>
    </row>
    <row r="870" spans="1:10" x14ac:dyDescent="0.15">
      <c r="A870" s="7">
        <v>44855</v>
      </c>
      <c r="B870" s="8" t="s">
        <v>15</v>
      </c>
      <c r="C870" s="8" t="s">
        <v>464</v>
      </c>
      <c r="D870" s="9" t="str">
        <f>HYPERLINK("https://www.marklines.com/en/global/8871","VDL Bus &amp; Coach B.V., Valkenswaard  Plant")</f>
        <v>VDL Bus &amp; Coach B.V., Valkenswaard  Plant</v>
      </c>
      <c r="E870" s="8" t="s">
        <v>465</v>
      </c>
      <c r="F870" s="8" t="s">
        <v>20</v>
      </c>
      <c r="G870" s="8" t="s">
        <v>147</v>
      </c>
      <c r="H870" s="8"/>
      <c r="I870" s="10">
        <v>44854</v>
      </c>
      <c r="J870" s="8" t="s">
        <v>466</v>
      </c>
    </row>
    <row r="871" spans="1:10" x14ac:dyDescent="0.15">
      <c r="A871" s="7">
        <v>44855</v>
      </c>
      <c r="B871" s="8" t="s">
        <v>467</v>
      </c>
      <c r="C871" s="8" t="s">
        <v>467</v>
      </c>
      <c r="D871" s="9" t="str">
        <f>HYPERLINK("https://www.marklines.com/en/global/10448","Nikola Coolidge Manufacturing Facility")</f>
        <v>Nikola Coolidge Manufacturing Facility</v>
      </c>
      <c r="E871" s="8" t="s">
        <v>468</v>
      </c>
      <c r="F871" s="8" t="s">
        <v>19</v>
      </c>
      <c r="G871" s="8" t="s">
        <v>12</v>
      </c>
      <c r="H871" s="8" t="s">
        <v>469</v>
      </c>
      <c r="I871" s="10">
        <v>44854</v>
      </c>
      <c r="J871" s="8" t="s">
        <v>470</v>
      </c>
    </row>
    <row r="872" spans="1:10" x14ac:dyDescent="0.15">
      <c r="A872" s="7">
        <v>44855</v>
      </c>
      <c r="B872" s="8" t="s">
        <v>11</v>
      </c>
      <c r="C872" s="8" t="s">
        <v>341</v>
      </c>
      <c r="D872" s="9" t="str">
        <f>HYPERLINK("https://www.marklines.com/en/global/2175","MAN Truck &amp; Bus, Nürnberg Plant")</f>
        <v>MAN Truck &amp; Bus, Nürnberg Plant</v>
      </c>
      <c r="E872" s="8" t="s">
        <v>471</v>
      </c>
      <c r="F872" s="8" t="s">
        <v>20</v>
      </c>
      <c r="G872" s="8" t="s">
        <v>29</v>
      </c>
      <c r="H872" s="8"/>
      <c r="I872" s="10">
        <v>44853</v>
      </c>
      <c r="J872" s="8" t="s">
        <v>472</v>
      </c>
    </row>
    <row r="873" spans="1:10" x14ac:dyDescent="0.15">
      <c r="A873" s="7">
        <v>44855</v>
      </c>
      <c r="B873" s="8" t="s">
        <v>11</v>
      </c>
      <c r="C873" s="8" t="s">
        <v>341</v>
      </c>
      <c r="D873" s="9" t="str">
        <f>HYPERLINK("https://www.marklines.com/en/global/2171","MAN Truck &amp; Bus, Munich Plant")</f>
        <v>MAN Truck &amp; Bus, Munich Plant</v>
      </c>
      <c r="E873" s="8" t="s">
        <v>473</v>
      </c>
      <c r="F873" s="8" t="s">
        <v>20</v>
      </c>
      <c r="G873" s="8" t="s">
        <v>29</v>
      </c>
      <c r="H873" s="8"/>
      <c r="I873" s="10">
        <v>44853</v>
      </c>
      <c r="J873" s="8" t="s">
        <v>472</v>
      </c>
    </row>
    <row r="874" spans="1:10" x14ac:dyDescent="0.15">
      <c r="A874" s="7">
        <v>44855</v>
      </c>
      <c r="B874" s="8" t="s">
        <v>82</v>
      </c>
      <c r="C874" s="8" t="s">
        <v>82</v>
      </c>
      <c r="D874" s="9" t="str">
        <f>HYPERLINK("https://www.marklines.com/en/global/4075","GAC Motor Co., Ltd. (formerly Guangzhou Automobile Group Motor Co., Ltd.)")</f>
        <v>GAC Motor Co., Ltd. (formerly Guangzhou Automobile Group Motor Co., Ltd.)</v>
      </c>
      <c r="E874" s="8" t="s">
        <v>474</v>
      </c>
      <c r="F874" s="8" t="s">
        <v>25</v>
      </c>
      <c r="G874" s="8" t="s">
        <v>71</v>
      </c>
      <c r="H874" s="8" t="s">
        <v>83</v>
      </c>
      <c r="I874" s="10">
        <v>44853</v>
      </c>
      <c r="J874" s="8" t="s">
        <v>475</v>
      </c>
    </row>
    <row r="875" spans="1:10" x14ac:dyDescent="0.15">
      <c r="A875" s="7">
        <v>44855</v>
      </c>
      <c r="B875" s="8" t="s">
        <v>14</v>
      </c>
      <c r="C875" s="8" t="s">
        <v>40</v>
      </c>
      <c r="D875" s="9" t="str">
        <f>HYPERLINK("https://www.marklines.com/en/global/2459","General Motors, Factory ZERO (Detroit-Hamtramck Plant) ")</f>
        <v xml:space="preserve">General Motors, Factory ZERO (Detroit-Hamtramck Plant) </v>
      </c>
      <c r="E875" s="8" t="s">
        <v>54</v>
      </c>
      <c r="F875" s="8" t="s">
        <v>19</v>
      </c>
      <c r="G875" s="8" t="s">
        <v>12</v>
      </c>
      <c r="H875" s="8" t="s">
        <v>13</v>
      </c>
      <c r="I875" s="10">
        <v>44853</v>
      </c>
      <c r="J875" s="8" t="s">
        <v>476</v>
      </c>
    </row>
    <row r="876" spans="1:10" x14ac:dyDescent="0.15">
      <c r="A876" s="7">
        <v>44855</v>
      </c>
      <c r="B876" s="8" t="s">
        <v>101</v>
      </c>
      <c r="C876" s="8" t="s">
        <v>102</v>
      </c>
      <c r="D876" s="9" t="str">
        <f>HYPERLINK("https://www.marklines.com/en/global/9578","Seres Group Co., Ltd. (formerly Chongqing Sokon Industrial Group Co., Ltd.)")</f>
        <v>Seres Group Co., Ltd. (formerly Chongqing Sokon Industrial Group Co., Ltd.)</v>
      </c>
      <c r="E876" s="8" t="s">
        <v>103</v>
      </c>
      <c r="F876" s="8" t="s">
        <v>25</v>
      </c>
      <c r="G876" s="8" t="s">
        <v>71</v>
      </c>
      <c r="H876" s="8" t="s">
        <v>81</v>
      </c>
      <c r="I876" s="10">
        <v>44852</v>
      </c>
      <c r="J876" s="8" t="s">
        <v>477</v>
      </c>
    </row>
    <row r="877" spans="1:10" x14ac:dyDescent="0.15">
      <c r="A877" s="7">
        <v>44855</v>
      </c>
      <c r="B877" s="8" t="s">
        <v>478</v>
      </c>
      <c r="C877" s="8" t="s">
        <v>478</v>
      </c>
      <c r="D877" s="9" t="str">
        <f>HYPERLINK("https://www.marklines.com/en/global/10441","BYD Automobile Co., Ltd. Changzhou Branch")</f>
        <v>BYD Automobile Co., Ltd. Changzhou Branch</v>
      </c>
      <c r="E877" s="8" t="s">
        <v>479</v>
      </c>
      <c r="F877" s="8" t="s">
        <v>25</v>
      </c>
      <c r="G877" s="8" t="s">
        <v>71</v>
      </c>
      <c r="H877" s="8" t="s">
        <v>351</v>
      </c>
      <c r="I877" s="10">
        <v>44852</v>
      </c>
      <c r="J877" s="8" t="s">
        <v>480</v>
      </c>
    </row>
    <row r="878" spans="1:10" x14ac:dyDescent="0.15">
      <c r="A878" s="7">
        <v>44855</v>
      </c>
      <c r="B878" s="8" t="s">
        <v>478</v>
      </c>
      <c r="C878" s="8" t="s">
        <v>478</v>
      </c>
      <c r="D878" s="9" t="str">
        <f>HYPERLINK("https://www.marklines.com/en/global/4043","BYD Automobile Industry Co., Ltd., Changsha Branch")</f>
        <v>BYD Automobile Industry Co., Ltd., Changsha Branch</v>
      </c>
      <c r="E878" s="8" t="s">
        <v>481</v>
      </c>
      <c r="F878" s="8" t="s">
        <v>25</v>
      </c>
      <c r="G878" s="8" t="s">
        <v>71</v>
      </c>
      <c r="H878" s="8" t="s">
        <v>482</v>
      </c>
      <c r="I878" s="10">
        <v>44852</v>
      </c>
      <c r="J878" s="8" t="s">
        <v>480</v>
      </c>
    </row>
    <row r="879" spans="1:10" x14ac:dyDescent="0.15">
      <c r="A879" s="7">
        <v>44855</v>
      </c>
      <c r="B879" s="8" t="s">
        <v>97</v>
      </c>
      <c r="C879" s="8" t="s">
        <v>97</v>
      </c>
      <c r="D879" s="9" t="str">
        <f>HYPERLINK("https://www.marklines.com/en/global/3955","Guangzhou Fengshen Automobile Co., Ltd. Zhengzhou Branch (formerly Dongfeng Nissan Passenger Vehicle Company (Zhengzhou Plant))")</f>
        <v>Guangzhou Fengshen Automobile Co., Ltd. Zhengzhou Branch (formerly Dongfeng Nissan Passenger Vehicle Company (Zhengzhou Plant))</v>
      </c>
      <c r="E879" s="8" t="s">
        <v>483</v>
      </c>
      <c r="F879" s="8" t="s">
        <v>25</v>
      </c>
      <c r="G879" s="8" t="s">
        <v>71</v>
      </c>
      <c r="H879" s="8" t="s">
        <v>484</v>
      </c>
      <c r="I879" s="10">
        <v>44852</v>
      </c>
      <c r="J879" s="8" t="s">
        <v>485</v>
      </c>
    </row>
    <row r="880" spans="1:10" x14ac:dyDescent="0.15">
      <c r="A880" s="7">
        <v>44855</v>
      </c>
      <c r="B880" s="8" t="s">
        <v>486</v>
      </c>
      <c r="C880" s="8" t="s">
        <v>486</v>
      </c>
      <c r="D880" s="9" t="str">
        <f>HYPERLINK("https://www.marklines.com/en/global/9873","Lucid Motors (Lucid Group, Inc.), Casa Grande plant")</f>
        <v>Lucid Motors (Lucid Group, Inc.), Casa Grande plant</v>
      </c>
      <c r="E880" s="8" t="s">
        <v>487</v>
      </c>
      <c r="F880" s="8" t="s">
        <v>19</v>
      </c>
      <c r="G880" s="8" t="s">
        <v>12</v>
      </c>
      <c r="H880" s="8" t="s">
        <v>469</v>
      </c>
      <c r="I880" s="10">
        <v>44847</v>
      </c>
      <c r="J880" s="8" t="s">
        <v>488</v>
      </c>
    </row>
    <row r="881" spans="1:10" x14ac:dyDescent="0.15">
      <c r="A881" s="7">
        <v>44854</v>
      </c>
      <c r="B881" s="8" t="s">
        <v>27</v>
      </c>
      <c r="C881" s="8" t="s">
        <v>489</v>
      </c>
      <c r="D881" s="9" t="str">
        <f>HYPERLINK("https://www.marklines.com/en/global/2215","BMW AG, Leipzig Plant")</f>
        <v>BMW AG, Leipzig Plant</v>
      </c>
      <c r="E881" s="8" t="s">
        <v>462</v>
      </c>
      <c r="F881" s="8" t="s">
        <v>20</v>
      </c>
      <c r="G881" s="8" t="s">
        <v>29</v>
      </c>
      <c r="H881" s="8"/>
      <c r="I881" s="10">
        <v>44854</v>
      </c>
      <c r="J881" s="8" t="s">
        <v>490</v>
      </c>
    </row>
    <row r="882" spans="1:10" x14ac:dyDescent="0.15">
      <c r="A882" s="7">
        <v>44854</v>
      </c>
      <c r="B882" s="8" t="s">
        <v>56</v>
      </c>
      <c r="C882" s="8" t="s">
        <v>56</v>
      </c>
      <c r="D882" s="9" t="str">
        <f>HYPERLINK("https://www.marklines.com/en/global/2143","Ford Motor Germany, Cologne (Koln)-Niehl Plant")</f>
        <v>Ford Motor Germany, Cologne (Koln)-Niehl Plant</v>
      </c>
      <c r="E882" s="8" t="s">
        <v>491</v>
      </c>
      <c r="F882" s="8" t="s">
        <v>20</v>
      </c>
      <c r="G882" s="8" t="s">
        <v>29</v>
      </c>
      <c r="H882" s="8"/>
      <c r="I882" s="10">
        <v>44854</v>
      </c>
      <c r="J882" s="8" t="s">
        <v>492</v>
      </c>
    </row>
    <row r="883" spans="1:10" x14ac:dyDescent="0.15">
      <c r="A883" s="7">
        <v>44854</v>
      </c>
      <c r="B883" s="8" t="s">
        <v>416</v>
      </c>
      <c r="C883" s="8" t="s">
        <v>416</v>
      </c>
      <c r="D883" s="9" t="str">
        <f>HYPERLINK("https://www.marklines.com/en/global/9057","Neftekamsk Motor Plant OJSC (OAO Neftekamskij avtozavod (NefAZ))")</f>
        <v>Neftekamsk Motor Plant OJSC (OAO Neftekamskij avtozavod (NefAZ))</v>
      </c>
      <c r="E883" s="8" t="s">
        <v>417</v>
      </c>
      <c r="F883" s="8" t="s">
        <v>21</v>
      </c>
      <c r="G883" s="8" t="s">
        <v>16</v>
      </c>
      <c r="H883" s="8"/>
      <c r="I883" s="10">
        <v>44854</v>
      </c>
      <c r="J883" s="8" t="s">
        <v>493</v>
      </c>
    </row>
    <row r="884" spans="1:10" x14ac:dyDescent="0.15">
      <c r="A884" s="7">
        <v>44854</v>
      </c>
      <c r="B884" s="8" t="s">
        <v>11</v>
      </c>
      <c r="C884" s="8" t="s">
        <v>108</v>
      </c>
      <c r="D884" s="9" t="str">
        <f>HYPERLINK("https://www.marklines.com/en/global/1777","Audi Hungaria Zrt., Győr Plant (formerly Audi Hungaria Motor Kft.)")</f>
        <v>Audi Hungaria Zrt., Győr Plant (formerly Audi Hungaria Motor Kft.)</v>
      </c>
      <c r="E884" s="8" t="s">
        <v>494</v>
      </c>
      <c r="F884" s="8" t="s">
        <v>21</v>
      </c>
      <c r="G884" s="8" t="s">
        <v>495</v>
      </c>
      <c r="H884" s="8"/>
      <c r="I884" s="10">
        <v>44854</v>
      </c>
      <c r="J884" s="8" t="s">
        <v>496</v>
      </c>
    </row>
    <row r="885" spans="1:10" x14ac:dyDescent="0.15">
      <c r="A885" s="7">
        <v>44854</v>
      </c>
      <c r="B885" s="8" t="s">
        <v>15</v>
      </c>
      <c r="C885" s="8" t="s">
        <v>15</v>
      </c>
      <c r="D885" s="9" t="str">
        <f>HYPERLINK("https://www.marklines.com/en/global/8784","Triton Electric Vehicle India Pvt Ltd., Bhuj, Gujarat plant (formerly AMW Motors Limited)")</f>
        <v>Triton Electric Vehicle India Pvt Ltd., Bhuj, Gujarat plant (formerly AMW Motors Limited)</v>
      </c>
      <c r="E885" s="8" t="s">
        <v>497</v>
      </c>
      <c r="F885" s="8" t="s">
        <v>69</v>
      </c>
      <c r="G885" s="8" t="s">
        <v>70</v>
      </c>
      <c r="H885" s="8" t="s">
        <v>498</v>
      </c>
      <c r="I885" s="10">
        <v>44853</v>
      </c>
      <c r="J885" s="8" t="s">
        <v>499</v>
      </c>
    </row>
    <row r="886" spans="1:10" x14ac:dyDescent="0.15">
      <c r="A886" s="7">
        <v>44854</v>
      </c>
      <c r="B886" s="8" t="s">
        <v>359</v>
      </c>
      <c r="C886" s="8" t="s">
        <v>360</v>
      </c>
      <c r="D886" s="9" t="str">
        <f>HYPERLINK("https://www.marklines.com/en/global/1269","Tata Motors, Sanand Plant")</f>
        <v>Tata Motors, Sanand Plant</v>
      </c>
      <c r="E886" s="8" t="s">
        <v>500</v>
      </c>
      <c r="F886" s="8" t="s">
        <v>69</v>
      </c>
      <c r="G886" s="8" t="s">
        <v>70</v>
      </c>
      <c r="H886" s="8" t="s">
        <v>498</v>
      </c>
      <c r="I886" s="10">
        <v>44853</v>
      </c>
      <c r="J886" s="8" t="s">
        <v>501</v>
      </c>
    </row>
    <row r="887" spans="1:10" x14ac:dyDescent="0.15">
      <c r="A887" s="7">
        <v>44854</v>
      </c>
      <c r="B887" s="8" t="s">
        <v>27</v>
      </c>
      <c r="C887" s="8" t="s">
        <v>27</v>
      </c>
      <c r="D887" s="9" t="str">
        <f>HYPERLINK("https://www.marklines.com/en/global/3045","BMW Manufacturing Co., Spartanburg Plant")</f>
        <v>BMW Manufacturing Co., Spartanburg Plant</v>
      </c>
      <c r="E887" s="8" t="s">
        <v>181</v>
      </c>
      <c r="F887" s="8" t="s">
        <v>19</v>
      </c>
      <c r="G887" s="8" t="s">
        <v>12</v>
      </c>
      <c r="H887" s="8" t="s">
        <v>144</v>
      </c>
      <c r="I887" s="10">
        <v>44853</v>
      </c>
      <c r="J887" s="8" t="s">
        <v>502</v>
      </c>
    </row>
    <row r="888" spans="1:10" x14ac:dyDescent="0.15">
      <c r="A888" s="7">
        <v>44854</v>
      </c>
      <c r="B888" s="8" t="s">
        <v>14</v>
      </c>
      <c r="C888" s="8" t="s">
        <v>23</v>
      </c>
      <c r="D888" s="9" t="str">
        <f>HYPERLINK("https://www.marklines.com/en/global/2403","GM Korea, Changwon Plant")</f>
        <v>GM Korea, Changwon Plant</v>
      </c>
      <c r="E888" s="8" t="s">
        <v>503</v>
      </c>
      <c r="F888" s="8" t="s">
        <v>25</v>
      </c>
      <c r="G888" s="8" t="s">
        <v>411</v>
      </c>
      <c r="H888" s="8"/>
      <c r="I888" s="10">
        <v>44853</v>
      </c>
      <c r="J888" s="8" t="s">
        <v>504</v>
      </c>
    </row>
    <row r="889" spans="1:10" x14ac:dyDescent="0.15">
      <c r="A889" s="7">
        <v>44854</v>
      </c>
      <c r="B889" s="8" t="s">
        <v>14</v>
      </c>
      <c r="C889" s="8" t="s">
        <v>23</v>
      </c>
      <c r="D889" s="9" t="str">
        <f>HYPERLINK("https://www.marklines.com/en/global/2407","GM Korea, Bupyeong Plant")</f>
        <v>GM Korea, Bupyeong Plant</v>
      </c>
      <c r="E889" s="8" t="s">
        <v>505</v>
      </c>
      <c r="F889" s="8" t="s">
        <v>25</v>
      </c>
      <c r="G889" s="8" t="s">
        <v>411</v>
      </c>
      <c r="H889" s="8"/>
      <c r="I889" s="10">
        <v>44853</v>
      </c>
      <c r="J889" s="8" t="s">
        <v>504</v>
      </c>
    </row>
    <row r="890" spans="1:10" x14ac:dyDescent="0.15">
      <c r="A890" s="7">
        <v>44854</v>
      </c>
      <c r="B890" s="8" t="s">
        <v>506</v>
      </c>
      <c r="C890" s="8" t="s">
        <v>506</v>
      </c>
      <c r="D890" s="9" t="str">
        <f>HYPERLINK("https://www.marklines.com/en/global/3035","Electric Last Mile Solutions, Inc. (ELMS), (formerly SERES Automotive, SF Motors, AM General)")</f>
        <v>Electric Last Mile Solutions, Inc. (ELMS), (formerly SERES Automotive, SF Motors, AM General)</v>
      </c>
      <c r="E890" s="8" t="s">
        <v>507</v>
      </c>
      <c r="F890" s="8" t="s">
        <v>19</v>
      </c>
      <c r="G890" s="8" t="s">
        <v>12</v>
      </c>
      <c r="H890" s="8" t="s">
        <v>39</v>
      </c>
      <c r="I890" s="10">
        <v>44853</v>
      </c>
      <c r="J890" s="8" t="s">
        <v>508</v>
      </c>
    </row>
    <row r="891" spans="1:10" x14ac:dyDescent="0.15">
      <c r="A891" s="7">
        <v>44854</v>
      </c>
      <c r="B891" s="8" t="s">
        <v>449</v>
      </c>
      <c r="C891" s="8" t="s">
        <v>509</v>
      </c>
      <c r="D891" s="9" t="str">
        <f>HYPERLINK("https://www.marklines.com/en/global/10478","Switch Mobility Limited, Advanced Manufacturing and Technology Centre (Valladolid)")</f>
        <v>Switch Mobility Limited, Advanced Manufacturing and Technology Centre (Valladolid)</v>
      </c>
      <c r="E891" s="8" t="s">
        <v>510</v>
      </c>
      <c r="F891" s="8" t="s">
        <v>20</v>
      </c>
      <c r="G891" s="8" t="s">
        <v>277</v>
      </c>
      <c r="H891" s="8"/>
      <c r="I891" s="10">
        <v>44852</v>
      </c>
      <c r="J891" s="8" t="s">
        <v>511</v>
      </c>
    </row>
    <row r="892" spans="1:10" x14ac:dyDescent="0.15">
      <c r="A892" s="7">
        <v>44854</v>
      </c>
      <c r="B892" s="8" t="s">
        <v>15</v>
      </c>
      <c r="C892" s="8" t="s">
        <v>512</v>
      </c>
      <c r="D892" s="9" t="str">
        <f>HYPERLINK("https://www.marklines.com/en/global/10346","Amita Technology Thailand, Chachoengsao plant")</f>
        <v>Amita Technology Thailand, Chachoengsao plant</v>
      </c>
      <c r="E892" s="8" t="s">
        <v>513</v>
      </c>
      <c r="F892" s="8" t="s">
        <v>22</v>
      </c>
      <c r="G892" s="8" t="s">
        <v>514</v>
      </c>
      <c r="H892" s="8" t="s">
        <v>515</v>
      </c>
      <c r="I892" s="10">
        <v>44852</v>
      </c>
      <c r="J892" s="8" t="s">
        <v>516</v>
      </c>
    </row>
    <row r="893" spans="1:10" x14ac:dyDescent="0.15">
      <c r="A893" s="7">
        <v>44854</v>
      </c>
      <c r="B893" s="8" t="s">
        <v>15</v>
      </c>
      <c r="C893" s="8" t="s">
        <v>512</v>
      </c>
      <c r="D893" s="9" t="str">
        <f>HYPERLINK("https://www.marklines.com/en/global/10331","MINE Mobility Corporation (MMC) Co., Ltd., Chachoengsao Plant")</f>
        <v>MINE Mobility Corporation (MMC) Co., Ltd., Chachoengsao Plant</v>
      </c>
      <c r="E893" s="8" t="s">
        <v>517</v>
      </c>
      <c r="F893" s="8" t="s">
        <v>22</v>
      </c>
      <c r="G893" s="8" t="s">
        <v>514</v>
      </c>
      <c r="H893" s="8" t="s">
        <v>515</v>
      </c>
      <c r="I893" s="10">
        <v>44852</v>
      </c>
      <c r="J893" s="8" t="s">
        <v>518</v>
      </c>
    </row>
    <row r="894" spans="1:10" x14ac:dyDescent="0.15">
      <c r="A894" s="7">
        <v>44854</v>
      </c>
      <c r="B894" s="8" t="s">
        <v>478</v>
      </c>
      <c r="C894" s="8" t="s">
        <v>478</v>
      </c>
      <c r="D894" s="9" t="str">
        <f>HYPERLINK("https://www.marklines.com/en/global/10441","BYD Automobile Co., Ltd. Changzhou Branch")</f>
        <v>BYD Automobile Co., Ltd. Changzhou Branch</v>
      </c>
      <c r="E894" s="8" t="s">
        <v>479</v>
      </c>
      <c r="F894" s="8" t="s">
        <v>25</v>
      </c>
      <c r="G894" s="8" t="s">
        <v>71</v>
      </c>
      <c r="H894" s="8" t="s">
        <v>351</v>
      </c>
      <c r="I894" s="10">
        <v>44851</v>
      </c>
      <c r="J894" s="8" t="s">
        <v>519</v>
      </c>
    </row>
    <row r="895" spans="1:10" x14ac:dyDescent="0.15">
      <c r="A895" s="7">
        <v>44854</v>
      </c>
      <c r="B895" s="8" t="s">
        <v>478</v>
      </c>
      <c r="C895" s="8" t="s">
        <v>478</v>
      </c>
      <c r="D895" s="9" t="str">
        <f>HYPERLINK("https://www.marklines.com/en/global/4043","BYD Automobile Industry Co., Ltd., Changsha Branch")</f>
        <v>BYD Automobile Industry Co., Ltd., Changsha Branch</v>
      </c>
      <c r="E895" s="8" t="s">
        <v>481</v>
      </c>
      <c r="F895" s="8" t="s">
        <v>25</v>
      </c>
      <c r="G895" s="8" t="s">
        <v>71</v>
      </c>
      <c r="H895" s="8" t="s">
        <v>482</v>
      </c>
      <c r="I895" s="10">
        <v>44851</v>
      </c>
      <c r="J895" s="8" t="s">
        <v>519</v>
      </c>
    </row>
    <row r="896" spans="1:10" x14ac:dyDescent="0.15">
      <c r="A896" s="7">
        <v>44854</v>
      </c>
      <c r="B896" s="8" t="s">
        <v>89</v>
      </c>
      <c r="C896" s="8" t="s">
        <v>520</v>
      </c>
      <c r="D896" s="9" t="str">
        <f>HYPERLINK("https://www.marklines.com/en/global/9818","Rizhao Weipai Automobile Co., Ltd.")</f>
        <v>Rizhao Weipai Automobile Co., Ltd.</v>
      </c>
      <c r="E896" s="8" t="s">
        <v>521</v>
      </c>
      <c r="F896" s="8" t="s">
        <v>25</v>
      </c>
      <c r="G896" s="8" t="s">
        <v>71</v>
      </c>
      <c r="H896" s="8" t="s">
        <v>104</v>
      </c>
      <c r="I896" s="10">
        <v>44851</v>
      </c>
      <c r="J896" s="8" t="s">
        <v>522</v>
      </c>
    </row>
    <row r="897" spans="1:10" x14ac:dyDescent="0.15">
      <c r="A897" s="7">
        <v>44854</v>
      </c>
      <c r="B897" s="8" t="s">
        <v>89</v>
      </c>
      <c r="C897" s="8" t="s">
        <v>523</v>
      </c>
      <c r="D897" s="9" t="str">
        <f>HYPERLINK("https://www.marklines.com/en/global/9837","Great Wall Automobile Co., Ltd. Taizhou Branch")</f>
        <v>Great Wall Automobile Co., Ltd. Taizhou Branch</v>
      </c>
      <c r="E897" s="8" t="s">
        <v>524</v>
      </c>
      <c r="F897" s="8" t="s">
        <v>25</v>
      </c>
      <c r="G897" s="8" t="s">
        <v>71</v>
      </c>
      <c r="H897" s="8" t="s">
        <v>351</v>
      </c>
      <c r="I897" s="10">
        <v>44851</v>
      </c>
      <c r="J897" s="8" t="s">
        <v>522</v>
      </c>
    </row>
    <row r="898" spans="1:10" x14ac:dyDescent="0.15">
      <c r="A898" s="7">
        <v>44854</v>
      </c>
      <c r="B898" s="8" t="s">
        <v>87</v>
      </c>
      <c r="C898" s="8" t="s">
        <v>88</v>
      </c>
      <c r="D898" s="9" t="str">
        <f>HYPERLINK("https://www.marklines.com/en/global/3483","Daimler Greater China Ltd.")</f>
        <v>Daimler Greater China Ltd.</v>
      </c>
      <c r="E898" s="8" t="s">
        <v>525</v>
      </c>
      <c r="F898" s="8" t="s">
        <v>25</v>
      </c>
      <c r="G898" s="8" t="s">
        <v>71</v>
      </c>
      <c r="H898" s="8" t="s">
        <v>437</v>
      </c>
      <c r="I898" s="10">
        <v>44851</v>
      </c>
      <c r="J898" s="8" t="s">
        <v>526</v>
      </c>
    </row>
    <row r="899" spans="1:10" x14ac:dyDescent="0.15">
      <c r="A899" s="7">
        <v>44854</v>
      </c>
      <c r="B899" s="8" t="s">
        <v>14</v>
      </c>
      <c r="C899" s="8" t="s">
        <v>14</v>
      </c>
      <c r="D899" s="9" t="str">
        <f>HYPERLINK("https://www.marklines.com/en/global/2459","General Motors, Factory ZERO (Detroit-Hamtramck Plant) ")</f>
        <v xml:space="preserve">General Motors, Factory ZERO (Detroit-Hamtramck Plant) </v>
      </c>
      <c r="E899" s="8" t="s">
        <v>54</v>
      </c>
      <c r="F899" s="8" t="s">
        <v>19</v>
      </c>
      <c r="G899" s="8" t="s">
        <v>12</v>
      </c>
      <c r="H899" s="8" t="s">
        <v>13</v>
      </c>
      <c r="I899" s="10">
        <v>44850</v>
      </c>
      <c r="J899" s="8" t="s">
        <v>527</v>
      </c>
    </row>
    <row r="900" spans="1:10" x14ac:dyDescent="0.15">
      <c r="A900" s="7">
        <v>44854</v>
      </c>
      <c r="B900" s="8" t="s">
        <v>478</v>
      </c>
      <c r="C900" s="8" t="s">
        <v>478</v>
      </c>
      <c r="D900" s="9" t="str">
        <f>HYPERLINK("https://www.marklines.com/en/global/9500","BYD Co., Ltd.")</f>
        <v>BYD Co., Ltd.</v>
      </c>
      <c r="E900" s="8" t="s">
        <v>528</v>
      </c>
      <c r="F900" s="8" t="s">
        <v>25</v>
      </c>
      <c r="G900" s="8" t="s">
        <v>71</v>
      </c>
      <c r="H900" s="8" t="s">
        <v>83</v>
      </c>
      <c r="I900" s="10">
        <v>44849</v>
      </c>
      <c r="J900" s="8" t="s">
        <v>529</v>
      </c>
    </row>
    <row r="901" spans="1:10" x14ac:dyDescent="0.15">
      <c r="A901" s="7">
        <v>44854</v>
      </c>
      <c r="B901" s="8" t="s">
        <v>375</v>
      </c>
      <c r="C901" s="8" t="s">
        <v>375</v>
      </c>
      <c r="D901" s="9" t="str">
        <f>HYPERLINK("https://www.marklines.com/en/global/543","Daihatsu Motor, Shiga (Ryuo) Plant")</f>
        <v>Daihatsu Motor, Shiga (Ryuo) Plant</v>
      </c>
      <c r="E901" s="8" t="s">
        <v>372</v>
      </c>
      <c r="F901" s="8" t="s">
        <v>25</v>
      </c>
      <c r="G901" s="8" t="s">
        <v>31</v>
      </c>
      <c r="H901" s="8" t="s">
        <v>373</v>
      </c>
      <c r="I901" s="10">
        <v>44847</v>
      </c>
      <c r="J901" s="8" t="s">
        <v>1203</v>
      </c>
    </row>
    <row r="902" spans="1:10" x14ac:dyDescent="0.15">
      <c r="A902" s="7">
        <v>44854</v>
      </c>
      <c r="B902" s="8" t="s">
        <v>530</v>
      </c>
      <c r="C902" s="8" t="s">
        <v>531</v>
      </c>
      <c r="D902" s="9" t="str">
        <f>HYPERLINK("https://www.marklines.com/en/global/517","Mitsubishi Motors, Mizushima Plant")</f>
        <v>Mitsubishi Motors, Mizushima Plant</v>
      </c>
      <c r="E902" s="8" t="s">
        <v>532</v>
      </c>
      <c r="F902" s="8" t="s">
        <v>25</v>
      </c>
      <c r="G902" s="8" t="s">
        <v>31</v>
      </c>
      <c r="H902" s="8" t="s">
        <v>533</v>
      </c>
      <c r="I902" s="10">
        <v>44847</v>
      </c>
      <c r="J902" s="8" t="s">
        <v>534</v>
      </c>
    </row>
    <row r="903" spans="1:10" x14ac:dyDescent="0.15">
      <c r="A903" s="7">
        <v>44854</v>
      </c>
      <c r="B903" s="8" t="s">
        <v>535</v>
      </c>
      <c r="C903" s="8" t="s">
        <v>535</v>
      </c>
      <c r="D903" s="9" t="str">
        <f>HYPERLINK("https://www.marklines.com/en/global/10328","Human Horizons Investment Co., Ltd. (formerly Human Horizons Holdings Co., Ltd.)")</f>
        <v>Human Horizons Investment Co., Ltd. (formerly Human Horizons Holdings Co., Ltd.)</v>
      </c>
      <c r="E903" s="8" t="s">
        <v>536</v>
      </c>
      <c r="F903" s="8" t="s">
        <v>25</v>
      </c>
      <c r="G903" s="8" t="s">
        <v>71</v>
      </c>
      <c r="H903" s="8" t="s">
        <v>72</v>
      </c>
      <c r="I903" s="10">
        <v>44847</v>
      </c>
      <c r="J903" s="8" t="s">
        <v>537</v>
      </c>
    </row>
    <row r="904" spans="1:10" x14ac:dyDescent="0.15">
      <c r="A904" s="7">
        <v>44854</v>
      </c>
      <c r="B904" s="8" t="s">
        <v>535</v>
      </c>
      <c r="C904" s="8" t="s">
        <v>538</v>
      </c>
      <c r="D904" s="9" t="str">
        <f>HYPERLINK("https://www.marklines.com/en/global/3767","Jiangsu Yueda Kia Motors Co., Ltd. (First Plant) (formerly Kia Motors Co., Ltd. (First Plant))")</f>
        <v>Jiangsu Yueda Kia Motors Co., Ltd. (First Plant) (formerly Kia Motors Co., Ltd. (First Plant))</v>
      </c>
      <c r="E904" s="8" t="s">
        <v>539</v>
      </c>
      <c r="F904" s="8" t="s">
        <v>25</v>
      </c>
      <c r="G904" s="8" t="s">
        <v>71</v>
      </c>
      <c r="H904" s="8" t="s">
        <v>351</v>
      </c>
      <c r="I904" s="10">
        <v>44847</v>
      </c>
      <c r="J904" s="8" t="s">
        <v>537</v>
      </c>
    </row>
    <row r="905" spans="1:10" x14ac:dyDescent="0.15">
      <c r="A905" s="7">
        <v>44854</v>
      </c>
      <c r="B905" s="8" t="s">
        <v>15</v>
      </c>
      <c r="C905" s="8" t="s">
        <v>15</v>
      </c>
      <c r="D905" s="9" t="str">
        <f>HYPERLINK("https://www.marklines.com/en/global/37","MFTB Taiwan, Hsinwu Plant")</f>
        <v>MFTB Taiwan, Hsinwu Plant</v>
      </c>
      <c r="E905" s="8" t="s">
        <v>540</v>
      </c>
      <c r="F905" s="8" t="s">
        <v>25</v>
      </c>
      <c r="G905" s="8" t="s">
        <v>318</v>
      </c>
      <c r="H905" s="8"/>
      <c r="I905" s="10">
        <v>44846</v>
      </c>
      <c r="J905" s="8" t="s">
        <v>541</v>
      </c>
    </row>
    <row r="906" spans="1:10" x14ac:dyDescent="0.15">
      <c r="A906" s="7">
        <v>44854</v>
      </c>
      <c r="B906" s="8" t="s">
        <v>30</v>
      </c>
      <c r="C906" s="8" t="s">
        <v>402</v>
      </c>
      <c r="D906" s="9" t="str">
        <f>HYPERLINK("https://www.marklines.com/en/global/10003","Toyota Motor, Toyota Technical Center Shimoyama (Aichi)")</f>
        <v>Toyota Motor, Toyota Technical Center Shimoyama (Aichi)</v>
      </c>
      <c r="E906" s="8" t="s">
        <v>542</v>
      </c>
      <c r="F906" s="8" t="s">
        <v>25</v>
      </c>
      <c r="G906" s="8" t="s">
        <v>31</v>
      </c>
      <c r="H906" s="8" t="s">
        <v>32</v>
      </c>
      <c r="I906" s="10">
        <v>44846</v>
      </c>
      <c r="J906" s="8" t="s">
        <v>543</v>
      </c>
    </row>
    <row r="907" spans="1:10" x14ac:dyDescent="0.15">
      <c r="A907" s="7">
        <v>44854</v>
      </c>
      <c r="B907" s="8" t="s">
        <v>30</v>
      </c>
      <c r="C907" s="8" t="s">
        <v>402</v>
      </c>
      <c r="D907" s="9" t="str">
        <f>HYPERLINK("https://www.marklines.com/en/global/393","Toyota Motor Kyushu, Miyata Plant")</f>
        <v>Toyota Motor Kyushu, Miyata Plant</v>
      </c>
      <c r="E907" s="8" t="s">
        <v>126</v>
      </c>
      <c r="F907" s="8" t="s">
        <v>25</v>
      </c>
      <c r="G907" s="8" t="s">
        <v>31</v>
      </c>
      <c r="H907" s="8" t="s">
        <v>127</v>
      </c>
      <c r="I907" s="10">
        <v>44846</v>
      </c>
      <c r="J907" s="8" t="s">
        <v>543</v>
      </c>
    </row>
    <row r="908" spans="1:10" x14ac:dyDescent="0.15">
      <c r="A908" s="7">
        <v>44854</v>
      </c>
      <c r="B908" s="8" t="s">
        <v>56</v>
      </c>
      <c r="C908" s="8" t="s">
        <v>56</v>
      </c>
      <c r="D908" s="9" t="str">
        <f>HYPERLINK("https://www.marklines.com/en/global/1989","AutoAlliance (Thailand), Rayong Plant (1st Line)")</f>
        <v>AutoAlliance (Thailand), Rayong Plant (1st Line)</v>
      </c>
      <c r="E908" s="8" t="s">
        <v>544</v>
      </c>
      <c r="F908" s="8" t="s">
        <v>22</v>
      </c>
      <c r="G908" s="8" t="s">
        <v>514</v>
      </c>
      <c r="H908" s="8" t="s">
        <v>545</v>
      </c>
      <c r="I908" s="10">
        <v>44845</v>
      </c>
      <c r="J908" s="8" t="s">
        <v>546</v>
      </c>
    </row>
    <row r="909" spans="1:10" x14ac:dyDescent="0.15">
      <c r="A909" s="7">
        <v>44854</v>
      </c>
      <c r="B909" s="8" t="s">
        <v>56</v>
      </c>
      <c r="C909" s="8" t="s">
        <v>56</v>
      </c>
      <c r="D909" s="9" t="str">
        <f>HYPERLINK("https://www.marklines.com/en/global/1985","Ford Thailand Manufacturing (FTM), Rayong Plant")</f>
        <v>Ford Thailand Manufacturing (FTM), Rayong Plant</v>
      </c>
      <c r="E909" s="8" t="s">
        <v>547</v>
      </c>
      <c r="F909" s="8" t="s">
        <v>22</v>
      </c>
      <c r="G909" s="8" t="s">
        <v>514</v>
      </c>
      <c r="H909" s="8" t="s">
        <v>545</v>
      </c>
      <c r="I909" s="10">
        <v>44845</v>
      </c>
      <c r="J909" s="8" t="s">
        <v>546</v>
      </c>
    </row>
    <row r="910" spans="1:10" x14ac:dyDescent="0.15">
      <c r="A910" s="7">
        <v>44854</v>
      </c>
      <c r="B910" s="8" t="s">
        <v>56</v>
      </c>
      <c r="C910" s="8" t="s">
        <v>56</v>
      </c>
      <c r="D910" s="9" t="str">
        <f>HYPERLINK("https://www.marklines.com/en/global/613","Ford South Africa, Silverton Assembly Plant")</f>
        <v>Ford South Africa, Silverton Assembly Plant</v>
      </c>
      <c r="E910" s="8" t="s">
        <v>128</v>
      </c>
      <c r="F910" s="8" t="s">
        <v>129</v>
      </c>
      <c r="G910" s="8" t="s">
        <v>130</v>
      </c>
      <c r="H910" s="8"/>
      <c r="I910" s="10">
        <v>44845</v>
      </c>
      <c r="J910" s="8" t="s">
        <v>546</v>
      </c>
    </row>
    <row r="911" spans="1:10" x14ac:dyDescent="0.15">
      <c r="A911" s="7">
        <v>44853</v>
      </c>
      <c r="B911" s="8" t="s">
        <v>76</v>
      </c>
      <c r="C911" s="8" t="s">
        <v>77</v>
      </c>
      <c r="D911" s="9" t="str">
        <f>HYPERLINK("https://www.marklines.com/en/global/1295","Volvo India Private Limited, Bangalore (Hoskote) Plant ")</f>
        <v xml:space="preserve">Volvo India Private Limited, Bangalore (Hoskote) Plant </v>
      </c>
      <c r="E911" s="8" t="s">
        <v>548</v>
      </c>
      <c r="F911" s="8" t="s">
        <v>69</v>
      </c>
      <c r="G911" s="8" t="s">
        <v>70</v>
      </c>
      <c r="H911" s="8" t="s">
        <v>549</v>
      </c>
      <c r="I911" s="10">
        <v>44853</v>
      </c>
      <c r="J911" s="8" t="s">
        <v>550</v>
      </c>
    </row>
    <row r="912" spans="1:10" x14ac:dyDescent="0.15">
      <c r="A912" s="7">
        <v>44853</v>
      </c>
      <c r="B912" s="8" t="s">
        <v>87</v>
      </c>
      <c r="C912" s="8" t="s">
        <v>88</v>
      </c>
      <c r="D912" s="9" t="str">
        <f>HYPERLINK("https://www.marklines.com/en/global/2239","Mercedes-Benz Group AG, Düsseldorf Plant")</f>
        <v>Mercedes-Benz Group AG, Düsseldorf Plant</v>
      </c>
      <c r="E912" s="8" t="s">
        <v>551</v>
      </c>
      <c r="F912" s="8" t="s">
        <v>20</v>
      </c>
      <c r="G912" s="8" t="s">
        <v>29</v>
      </c>
      <c r="H912" s="8"/>
      <c r="I912" s="10">
        <v>44852</v>
      </c>
      <c r="J912" s="8" t="s">
        <v>552</v>
      </c>
    </row>
    <row r="913" spans="1:10" x14ac:dyDescent="0.15">
      <c r="A913" s="7">
        <v>44853</v>
      </c>
      <c r="B913" s="8" t="s">
        <v>11</v>
      </c>
      <c r="C913" s="8" t="s">
        <v>553</v>
      </c>
      <c r="D913" s="9" t="str">
        <f>HYPERLINK("https://www.marklines.com/en/global/10543","Cellforce Group GmbH (CFG), Mahden Plant")</f>
        <v>Cellforce Group GmbH (CFG), Mahden Plant</v>
      </c>
      <c r="E913" s="8" t="s">
        <v>554</v>
      </c>
      <c r="F913" s="8" t="s">
        <v>20</v>
      </c>
      <c r="G913" s="8" t="s">
        <v>29</v>
      </c>
      <c r="H913" s="8"/>
      <c r="I913" s="10">
        <v>44852</v>
      </c>
      <c r="J913" s="8" t="s">
        <v>555</v>
      </c>
    </row>
    <row r="914" spans="1:10" x14ac:dyDescent="0.15">
      <c r="A914" s="7">
        <v>44853</v>
      </c>
      <c r="B914" s="8" t="s">
        <v>556</v>
      </c>
      <c r="C914" s="8" t="s">
        <v>557</v>
      </c>
      <c r="D914" s="9" t="str">
        <f>HYPERLINK("https://www.marklines.com/en/global/1345","FPT Industrial S.p.A., Turin Plant")</f>
        <v>FPT Industrial S.p.A., Turin Plant</v>
      </c>
      <c r="E914" s="8" t="s">
        <v>558</v>
      </c>
      <c r="F914" s="8" t="s">
        <v>20</v>
      </c>
      <c r="G914" s="8" t="s">
        <v>110</v>
      </c>
      <c r="H914" s="8"/>
      <c r="I914" s="10">
        <v>44852</v>
      </c>
      <c r="J914" s="8" t="s">
        <v>559</v>
      </c>
    </row>
    <row r="915" spans="1:10" x14ac:dyDescent="0.15">
      <c r="A915" s="7">
        <v>44853</v>
      </c>
      <c r="B915" s="8" t="s">
        <v>73</v>
      </c>
      <c r="C915" s="8" t="s">
        <v>560</v>
      </c>
      <c r="D915" s="9" t="str">
        <f>HYPERLINK("https://www.marklines.com/en/global/1897","EvoBus Iberica S.A., Samano Plant")</f>
        <v>EvoBus Iberica S.A., Samano Plant</v>
      </c>
      <c r="E915" s="8" t="s">
        <v>561</v>
      </c>
      <c r="F915" s="8" t="s">
        <v>20</v>
      </c>
      <c r="G915" s="8" t="s">
        <v>277</v>
      </c>
      <c r="H915" s="8"/>
      <c r="I915" s="10">
        <v>44852</v>
      </c>
      <c r="J915" s="8" t="s">
        <v>562</v>
      </c>
    </row>
    <row r="916" spans="1:10" x14ac:dyDescent="0.15">
      <c r="A916" s="7">
        <v>44853</v>
      </c>
      <c r="B916" s="8" t="s">
        <v>73</v>
      </c>
      <c r="C916" s="8" t="s">
        <v>560</v>
      </c>
      <c r="D916" s="9" t="str">
        <f>HYPERLINK("https://www.marklines.com/en/global/2139","EvoBus, Ulm &amp; Neu-Ulm Plant")</f>
        <v>EvoBus, Ulm &amp; Neu-Ulm Plant</v>
      </c>
      <c r="E916" s="8" t="s">
        <v>563</v>
      </c>
      <c r="F916" s="8" t="s">
        <v>20</v>
      </c>
      <c r="G916" s="8" t="s">
        <v>29</v>
      </c>
      <c r="H916" s="8"/>
      <c r="I916" s="10">
        <v>44852</v>
      </c>
      <c r="J916" s="8" t="s">
        <v>562</v>
      </c>
    </row>
    <row r="917" spans="1:10" x14ac:dyDescent="0.15">
      <c r="A917" s="7">
        <v>44853</v>
      </c>
      <c r="B917" s="8" t="s">
        <v>73</v>
      </c>
      <c r="C917" s="8" t="s">
        <v>560</v>
      </c>
      <c r="D917" s="9" t="str">
        <f>HYPERLINK("https://www.marklines.com/en/global/2137","EvoBus, Mannheim Plant")</f>
        <v>EvoBus, Mannheim Plant</v>
      </c>
      <c r="E917" s="8" t="s">
        <v>564</v>
      </c>
      <c r="F917" s="8" t="s">
        <v>20</v>
      </c>
      <c r="G917" s="8" t="s">
        <v>29</v>
      </c>
      <c r="H917" s="8"/>
      <c r="I917" s="10">
        <v>44852</v>
      </c>
      <c r="J917" s="8" t="s">
        <v>562</v>
      </c>
    </row>
    <row r="918" spans="1:10" x14ac:dyDescent="0.15">
      <c r="A918" s="7">
        <v>44853</v>
      </c>
      <c r="B918" s="8" t="s">
        <v>73</v>
      </c>
      <c r="C918" s="8" t="s">
        <v>565</v>
      </c>
      <c r="D918" s="9" t="str">
        <f>HYPERLINK("https://www.marklines.com/en/global/2139","EvoBus, Ulm &amp; Neu-Ulm Plant")</f>
        <v>EvoBus, Ulm &amp; Neu-Ulm Plant</v>
      </c>
      <c r="E918" s="8" t="s">
        <v>563</v>
      </c>
      <c r="F918" s="8" t="s">
        <v>20</v>
      </c>
      <c r="G918" s="8" t="s">
        <v>29</v>
      </c>
      <c r="H918" s="8"/>
      <c r="I918" s="10">
        <v>44852</v>
      </c>
      <c r="J918" s="8" t="s">
        <v>562</v>
      </c>
    </row>
    <row r="919" spans="1:10" x14ac:dyDescent="0.15">
      <c r="A919" s="7">
        <v>44853</v>
      </c>
      <c r="B919" s="8" t="s">
        <v>73</v>
      </c>
      <c r="C919" s="8" t="s">
        <v>565</v>
      </c>
      <c r="D919" s="9" t="str">
        <f>HYPERLINK("https://www.marklines.com/en/global/2137","EvoBus, Mannheim Plant")</f>
        <v>EvoBus, Mannheim Plant</v>
      </c>
      <c r="E919" s="8" t="s">
        <v>564</v>
      </c>
      <c r="F919" s="8" t="s">
        <v>20</v>
      </c>
      <c r="G919" s="8" t="s">
        <v>29</v>
      </c>
      <c r="H919" s="8"/>
      <c r="I919" s="10">
        <v>44852</v>
      </c>
      <c r="J919" s="8" t="s">
        <v>562</v>
      </c>
    </row>
    <row r="920" spans="1:10" x14ac:dyDescent="0.15">
      <c r="A920" s="7">
        <v>44853</v>
      </c>
      <c r="B920" s="8" t="s">
        <v>27</v>
      </c>
      <c r="C920" s="8" t="s">
        <v>566</v>
      </c>
      <c r="D920" s="9" t="str">
        <f>HYPERLINK("https://www.marklines.com/en/global/2375","Rolls-Royce Motor Cars, Goodwood Plant")</f>
        <v>Rolls-Royce Motor Cars, Goodwood Plant</v>
      </c>
      <c r="E920" s="8" t="s">
        <v>567</v>
      </c>
      <c r="F920" s="8" t="s">
        <v>20</v>
      </c>
      <c r="G920" s="8" t="s">
        <v>98</v>
      </c>
      <c r="H920" s="8"/>
      <c r="I920" s="10">
        <v>44852</v>
      </c>
      <c r="J920" s="8" t="s">
        <v>568</v>
      </c>
    </row>
    <row r="921" spans="1:10" x14ac:dyDescent="0.15">
      <c r="A921" s="7">
        <v>44853</v>
      </c>
      <c r="B921" s="8" t="s">
        <v>76</v>
      </c>
      <c r="C921" s="8" t="s">
        <v>77</v>
      </c>
      <c r="D921" s="9" t="str">
        <f>HYPERLINK("https://www.marklines.com/en/global/9324","Volvo Cars, Ridgeville Plant")</f>
        <v>Volvo Cars, Ridgeville Plant</v>
      </c>
      <c r="E921" s="8" t="s">
        <v>259</v>
      </c>
      <c r="F921" s="8" t="s">
        <v>19</v>
      </c>
      <c r="G921" s="8" t="s">
        <v>12</v>
      </c>
      <c r="H921" s="8" t="s">
        <v>144</v>
      </c>
      <c r="I921" s="10">
        <v>44852</v>
      </c>
      <c r="J921" s="8" t="s">
        <v>569</v>
      </c>
    </row>
    <row r="922" spans="1:10" x14ac:dyDescent="0.15">
      <c r="A922" s="7">
        <v>44853</v>
      </c>
      <c r="B922" s="8" t="s">
        <v>85</v>
      </c>
      <c r="C922" s="8" t="s">
        <v>570</v>
      </c>
      <c r="D922" s="9" t="str">
        <f>HYPERLINK("https://www.marklines.com/en/global/8919","Nova Bus/Prevost, Plattsburgh Plant")</f>
        <v>Nova Bus/Prevost, Plattsburgh Plant</v>
      </c>
      <c r="E922" s="8" t="s">
        <v>571</v>
      </c>
      <c r="F922" s="8" t="s">
        <v>19</v>
      </c>
      <c r="G922" s="8" t="s">
        <v>12</v>
      </c>
      <c r="H922" s="8" t="s">
        <v>572</v>
      </c>
      <c r="I922" s="10">
        <v>44852</v>
      </c>
      <c r="J922" s="8" t="s">
        <v>573</v>
      </c>
    </row>
    <row r="923" spans="1:10" x14ac:dyDescent="0.15">
      <c r="A923" s="7">
        <v>44853</v>
      </c>
      <c r="B923" s="8" t="s">
        <v>14</v>
      </c>
      <c r="C923" s="8" t="s">
        <v>14</v>
      </c>
      <c r="D923" s="9" t="str">
        <f>HYPERLINK("https://www.marklines.com/en/global/9900","General Motors Technical Center (Warren)")</f>
        <v>General Motors Technical Center (Warren)</v>
      </c>
      <c r="E923" s="8" t="s">
        <v>574</v>
      </c>
      <c r="F923" s="8" t="s">
        <v>19</v>
      </c>
      <c r="G923" s="8" t="s">
        <v>12</v>
      </c>
      <c r="H923" s="8" t="s">
        <v>13</v>
      </c>
      <c r="I923" s="10">
        <v>44851</v>
      </c>
      <c r="J923" s="8" t="s">
        <v>575</v>
      </c>
    </row>
    <row r="924" spans="1:10" x14ac:dyDescent="0.15">
      <c r="A924" s="7">
        <v>44853</v>
      </c>
      <c r="B924" s="8" t="s">
        <v>30</v>
      </c>
      <c r="C924" s="8" t="s">
        <v>30</v>
      </c>
      <c r="D924" s="9" t="str">
        <f>HYPERLINK("https://www.marklines.com/en/global/2811","Toyota Argentina S.A. (TASA), Zarate Plant")</f>
        <v>Toyota Argentina S.A. (TASA), Zarate Plant</v>
      </c>
      <c r="E924" s="8" t="s">
        <v>576</v>
      </c>
      <c r="F924" s="8" t="s">
        <v>24</v>
      </c>
      <c r="G924" s="8" t="s">
        <v>18</v>
      </c>
      <c r="H924" s="8"/>
      <c r="I924" s="10">
        <v>44851</v>
      </c>
      <c r="J924" s="8" t="s">
        <v>577</v>
      </c>
    </row>
    <row r="925" spans="1:10" x14ac:dyDescent="0.15">
      <c r="A925" s="7">
        <v>44853</v>
      </c>
      <c r="B925" s="8" t="s">
        <v>458</v>
      </c>
      <c r="C925" s="8" t="s">
        <v>458</v>
      </c>
      <c r="D925" s="9" t="str">
        <f>HYPERLINK("https://www.marklines.com/en/global/9583","Jiangxi Yiwei Automobile Manufacturing Co., Ltd.")</f>
        <v>Jiangxi Yiwei Automobile Manufacturing Co., Ltd.</v>
      </c>
      <c r="E925" s="8" t="s">
        <v>459</v>
      </c>
      <c r="F925" s="8" t="s">
        <v>25</v>
      </c>
      <c r="G925" s="8" t="s">
        <v>71</v>
      </c>
      <c r="H925" s="8" t="s">
        <v>460</v>
      </c>
      <c r="I925" s="10">
        <v>44847</v>
      </c>
      <c r="J925" s="8" t="s">
        <v>578</v>
      </c>
    </row>
    <row r="926" spans="1:10" x14ac:dyDescent="0.15">
      <c r="A926" s="7">
        <v>44853</v>
      </c>
      <c r="B926" s="8" t="s">
        <v>101</v>
      </c>
      <c r="C926" s="8" t="s">
        <v>101</v>
      </c>
      <c r="D926" s="9" t="str">
        <f>HYPERLINK("https://www.marklines.com/en/global/4003","Dongfeng Automobile Co., Ltd., Light Commercial Vehicle Branch")</f>
        <v>Dongfeng Automobile Co., Ltd., Light Commercial Vehicle Branch</v>
      </c>
      <c r="E926" s="8" t="s">
        <v>579</v>
      </c>
      <c r="F926" s="8" t="s">
        <v>25</v>
      </c>
      <c r="G926" s="8" t="s">
        <v>71</v>
      </c>
      <c r="H926" s="8" t="s">
        <v>90</v>
      </c>
      <c r="I926" s="10">
        <v>44847</v>
      </c>
      <c r="J926" s="8" t="s">
        <v>580</v>
      </c>
    </row>
    <row r="927" spans="1:10" x14ac:dyDescent="0.15">
      <c r="A927" s="7">
        <v>44853</v>
      </c>
      <c r="B927" s="8" t="s">
        <v>101</v>
      </c>
      <c r="C927" s="8" t="s">
        <v>101</v>
      </c>
      <c r="D927" s="9" t="str">
        <f>HYPERLINK("https://www.marklines.com/en/global/3979","Dongfeng Automobile Co., Ltd. (DFAC)")</f>
        <v>Dongfeng Automobile Co., Ltd. (DFAC)</v>
      </c>
      <c r="E927" s="8" t="s">
        <v>581</v>
      </c>
      <c r="F927" s="8" t="s">
        <v>25</v>
      </c>
      <c r="G927" s="8" t="s">
        <v>71</v>
      </c>
      <c r="H927" s="8" t="s">
        <v>90</v>
      </c>
      <c r="I927" s="10">
        <v>44847</v>
      </c>
      <c r="J927" s="8" t="s">
        <v>580</v>
      </c>
    </row>
    <row r="928" spans="1:10" x14ac:dyDescent="0.15">
      <c r="A928" s="7">
        <v>44853</v>
      </c>
      <c r="B928" s="8" t="s">
        <v>11</v>
      </c>
      <c r="C928" s="8" t="s">
        <v>26</v>
      </c>
      <c r="D928" s="9" t="str">
        <f>HYPERLINK("https://www.marklines.com/en/global/3341","FAW-Volkswagen Automotive Co., Ltd.")</f>
        <v>FAW-Volkswagen Automotive Co., Ltd.</v>
      </c>
      <c r="E928" s="8" t="s">
        <v>582</v>
      </c>
      <c r="F928" s="8" t="s">
        <v>25</v>
      </c>
      <c r="G928" s="8" t="s">
        <v>71</v>
      </c>
      <c r="H928" s="8" t="s">
        <v>583</v>
      </c>
      <c r="I928" s="10">
        <v>44847</v>
      </c>
      <c r="J928" s="8" t="s">
        <v>584</v>
      </c>
    </row>
    <row r="929" spans="1:10" x14ac:dyDescent="0.15">
      <c r="A929" s="7">
        <v>44853</v>
      </c>
      <c r="B929" s="8" t="s">
        <v>585</v>
      </c>
      <c r="C929" s="8" t="s">
        <v>586</v>
      </c>
      <c r="D929" s="9" t="str">
        <f>HYPERLINK("https://www.marklines.com/en/global/9538","Hozon New Energy Automobile Co., Ltd. (formerly Zhejiang Hozon New Energy Automobile Co., Ltd.)")</f>
        <v>Hozon New Energy Automobile Co., Ltd. (formerly Zhejiang Hozon New Energy Automobile Co., Ltd.)</v>
      </c>
      <c r="E929" s="8" t="s">
        <v>587</v>
      </c>
      <c r="F929" s="8" t="s">
        <v>25</v>
      </c>
      <c r="G929" s="8" t="s">
        <v>71</v>
      </c>
      <c r="H929" s="8" t="s">
        <v>78</v>
      </c>
      <c r="I929" s="10">
        <v>44844</v>
      </c>
      <c r="J929" s="8" t="s">
        <v>588</v>
      </c>
    </row>
    <row r="930" spans="1:10" x14ac:dyDescent="0.15">
      <c r="A930" s="7">
        <v>44852</v>
      </c>
      <c r="B930" s="8" t="s">
        <v>73</v>
      </c>
      <c r="C930" s="8" t="s">
        <v>74</v>
      </c>
      <c r="D930" s="9" t="str">
        <f>HYPERLINK("https://www.marklines.com/en/global/2229","Daimler Truck AG/Mercedes-Benz Group AG, Gaggenau Plant")</f>
        <v>Daimler Truck AG/Mercedes-Benz Group AG, Gaggenau Plant</v>
      </c>
      <c r="E930" s="8" t="s">
        <v>589</v>
      </c>
      <c r="F930" s="8" t="s">
        <v>20</v>
      </c>
      <c r="G930" s="8" t="s">
        <v>29</v>
      </c>
      <c r="H930" s="8"/>
      <c r="I930" s="10">
        <v>44852</v>
      </c>
      <c r="J930" s="8" t="s">
        <v>590</v>
      </c>
    </row>
    <row r="931" spans="1:10" x14ac:dyDescent="0.15">
      <c r="A931" s="7">
        <v>44852</v>
      </c>
      <c r="B931" s="8" t="s">
        <v>15</v>
      </c>
      <c r="C931" s="8" t="s">
        <v>15</v>
      </c>
      <c r="D931" s="9" t="str">
        <f>HYPERLINK("https://www.marklines.com/en/global/123","INEOS Automotive S.A.S., Hambach plant (formerly smart France S.A.S.)")</f>
        <v>INEOS Automotive S.A.S., Hambach plant (formerly smart France S.A.S.)</v>
      </c>
      <c r="E931" s="8" t="s">
        <v>591</v>
      </c>
      <c r="F931" s="8" t="s">
        <v>20</v>
      </c>
      <c r="G931" s="8" t="s">
        <v>86</v>
      </c>
      <c r="H931" s="8"/>
      <c r="I931" s="10">
        <v>44852</v>
      </c>
      <c r="J931" s="8" t="s">
        <v>592</v>
      </c>
    </row>
    <row r="932" spans="1:10" x14ac:dyDescent="0.15">
      <c r="A932" s="7">
        <v>44852</v>
      </c>
      <c r="B932" s="8" t="s">
        <v>59</v>
      </c>
      <c r="C932" s="8" t="s">
        <v>59</v>
      </c>
      <c r="D932" s="9" t="str">
        <f>HYPERLINK("https://www.marklines.com/en/global/161","Stellantis, PSA, Valenciennes Plant")</f>
        <v>Stellantis, PSA, Valenciennes Plant</v>
      </c>
      <c r="E932" s="8" t="s">
        <v>593</v>
      </c>
      <c r="F932" s="8" t="s">
        <v>20</v>
      </c>
      <c r="G932" s="8" t="s">
        <v>86</v>
      </c>
      <c r="H932" s="8"/>
      <c r="I932" s="10">
        <v>44851</v>
      </c>
      <c r="J932" s="8" t="s">
        <v>594</v>
      </c>
    </row>
    <row r="933" spans="1:10" x14ac:dyDescent="0.15">
      <c r="A933" s="7">
        <v>44852</v>
      </c>
      <c r="B933" s="8" t="s">
        <v>59</v>
      </c>
      <c r="C933" s="8" t="s">
        <v>59</v>
      </c>
      <c r="D933" s="9" t="str">
        <f>HYPERLINK("https://www.marklines.com/en/global/153","Stellantis, PSA, Metz-Borny Plant")</f>
        <v>Stellantis, PSA, Metz-Borny Plant</v>
      </c>
      <c r="E933" s="8" t="s">
        <v>595</v>
      </c>
      <c r="F933" s="8" t="s">
        <v>20</v>
      </c>
      <c r="G933" s="8" t="s">
        <v>86</v>
      </c>
      <c r="H933" s="8"/>
      <c r="I933" s="10">
        <v>44851</v>
      </c>
      <c r="J933" s="8" t="s">
        <v>594</v>
      </c>
    </row>
    <row r="934" spans="1:10" x14ac:dyDescent="0.15">
      <c r="A934" s="7">
        <v>44852</v>
      </c>
      <c r="B934" s="8" t="s">
        <v>59</v>
      </c>
      <c r="C934" s="8" t="s">
        <v>59</v>
      </c>
      <c r="D934" s="9" t="str">
        <f>HYPERLINK("https://www.marklines.com/en/global/159","Stellantis, PSA, Tremery Plant")</f>
        <v>Stellantis, PSA, Tremery Plant</v>
      </c>
      <c r="E934" s="8" t="s">
        <v>596</v>
      </c>
      <c r="F934" s="8" t="s">
        <v>20</v>
      </c>
      <c r="G934" s="8" t="s">
        <v>86</v>
      </c>
      <c r="H934" s="8"/>
      <c r="I934" s="10">
        <v>44851</v>
      </c>
      <c r="J934" s="8" t="s">
        <v>594</v>
      </c>
    </row>
    <row r="935" spans="1:10" x14ac:dyDescent="0.15">
      <c r="A935" s="7">
        <v>44852</v>
      </c>
      <c r="B935" s="8" t="s">
        <v>59</v>
      </c>
      <c r="C935" s="8" t="s">
        <v>59</v>
      </c>
      <c r="D935" s="9" t="str">
        <f>HYPERLINK("https://www.marklines.com/en/global/139","Stellantis, PSA, Mulhouse Plant")</f>
        <v>Stellantis, PSA, Mulhouse Plant</v>
      </c>
      <c r="E935" s="8" t="s">
        <v>422</v>
      </c>
      <c r="F935" s="8" t="s">
        <v>20</v>
      </c>
      <c r="G935" s="8" t="s">
        <v>86</v>
      </c>
      <c r="H935" s="8"/>
      <c r="I935" s="10">
        <v>44851</v>
      </c>
      <c r="J935" s="8" t="s">
        <v>594</v>
      </c>
    </row>
    <row r="936" spans="1:10" x14ac:dyDescent="0.15">
      <c r="A936" s="7">
        <v>44852</v>
      </c>
      <c r="B936" s="8" t="s">
        <v>59</v>
      </c>
      <c r="C936" s="8" t="s">
        <v>59</v>
      </c>
      <c r="D936" s="9" t="str">
        <f>HYPERLINK("https://www.marklines.com/en/global/99","Stellantis, La Francaise de Mecanique, Douvrin Plant")</f>
        <v>Stellantis, La Francaise de Mecanique, Douvrin Plant</v>
      </c>
      <c r="E936" s="8" t="s">
        <v>339</v>
      </c>
      <c r="F936" s="8" t="s">
        <v>20</v>
      </c>
      <c r="G936" s="8" t="s">
        <v>86</v>
      </c>
      <c r="H936" s="8"/>
      <c r="I936" s="10">
        <v>44851</v>
      </c>
      <c r="J936" s="8" t="s">
        <v>594</v>
      </c>
    </row>
    <row r="937" spans="1:10" x14ac:dyDescent="0.15">
      <c r="A937" s="7">
        <v>44852</v>
      </c>
      <c r="B937" s="8" t="s">
        <v>59</v>
      </c>
      <c r="C937" s="8" t="s">
        <v>59</v>
      </c>
      <c r="D937" s="9" t="str">
        <f>HYPERLINK("https://www.marklines.com/en/global/149","Stellantis, PSA, Charleville Plant")</f>
        <v>Stellantis, PSA, Charleville Plant</v>
      </c>
      <c r="E937" s="8" t="s">
        <v>597</v>
      </c>
      <c r="F937" s="8" t="s">
        <v>20</v>
      </c>
      <c r="G937" s="8" t="s">
        <v>86</v>
      </c>
      <c r="H937" s="8"/>
      <c r="I937" s="10">
        <v>44851</v>
      </c>
      <c r="J937" s="8" t="s">
        <v>594</v>
      </c>
    </row>
    <row r="938" spans="1:10" x14ac:dyDescent="0.15">
      <c r="A938" s="7">
        <v>44852</v>
      </c>
      <c r="B938" s="8" t="s">
        <v>59</v>
      </c>
      <c r="C938" s="8" t="s">
        <v>59</v>
      </c>
      <c r="D938" s="9" t="str">
        <f>HYPERLINK("https://www.marklines.com/en/global/157","Stellantis, PSA, Sept-Fons Plant")</f>
        <v>Stellantis, PSA, Sept-Fons Plant</v>
      </c>
      <c r="E938" s="8" t="s">
        <v>598</v>
      </c>
      <c r="F938" s="8" t="s">
        <v>20</v>
      </c>
      <c r="G938" s="8" t="s">
        <v>86</v>
      </c>
      <c r="H938" s="8"/>
      <c r="I938" s="10">
        <v>44851</v>
      </c>
      <c r="J938" s="8" t="s">
        <v>594</v>
      </c>
    </row>
    <row r="939" spans="1:10" x14ac:dyDescent="0.15">
      <c r="A939" s="7">
        <v>44852</v>
      </c>
      <c r="B939" s="8" t="s">
        <v>59</v>
      </c>
      <c r="C939" s="8" t="s">
        <v>59</v>
      </c>
      <c r="D939" s="9" t="str">
        <f>HYPERLINK("https://www.marklines.com/en/global/147","Stellantis, PSA, Caen Plant")</f>
        <v>Stellantis, PSA, Caen Plant</v>
      </c>
      <c r="E939" s="8" t="s">
        <v>599</v>
      </c>
      <c r="F939" s="8" t="s">
        <v>20</v>
      </c>
      <c r="G939" s="8" t="s">
        <v>86</v>
      </c>
      <c r="H939" s="8"/>
      <c r="I939" s="10">
        <v>44851</v>
      </c>
      <c r="J939" s="8" t="s">
        <v>594</v>
      </c>
    </row>
    <row r="940" spans="1:10" x14ac:dyDescent="0.15">
      <c r="A940" s="7">
        <v>44852</v>
      </c>
      <c r="B940" s="8" t="s">
        <v>30</v>
      </c>
      <c r="C940" s="8" t="s">
        <v>30</v>
      </c>
      <c r="D940" s="9" t="str">
        <f>HYPERLINK("https://www.marklines.com/en/global/119","Stellantis Hordain (formerly Sevel Nord, Hordain Palnt)")</f>
        <v>Stellantis Hordain (formerly Sevel Nord, Hordain Palnt)</v>
      </c>
      <c r="E940" s="8" t="s">
        <v>600</v>
      </c>
      <c r="F940" s="8" t="s">
        <v>20</v>
      </c>
      <c r="G940" s="8" t="s">
        <v>86</v>
      </c>
      <c r="H940" s="8"/>
      <c r="I940" s="10">
        <v>44851</v>
      </c>
      <c r="J940" s="8" t="s">
        <v>601</v>
      </c>
    </row>
    <row r="941" spans="1:10" x14ac:dyDescent="0.15">
      <c r="A941" s="7">
        <v>44852</v>
      </c>
      <c r="B941" s="8" t="s">
        <v>59</v>
      </c>
      <c r="C941" s="8" t="s">
        <v>265</v>
      </c>
      <c r="D941" s="9" t="str">
        <f>HYPERLINK("https://www.marklines.com/en/global/119","Stellantis Hordain (formerly Sevel Nord, Hordain Palnt)")</f>
        <v>Stellantis Hordain (formerly Sevel Nord, Hordain Palnt)</v>
      </c>
      <c r="E941" s="8" t="s">
        <v>600</v>
      </c>
      <c r="F941" s="8" t="s">
        <v>20</v>
      </c>
      <c r="G941" s="8" t="s">
        <v>86</v>
      </c>
      <c r="H941" s="8"/>
      <c r="I941" s="10">
        <v>44851</v>
      </c>
      <c r="J941" s="8" t="s">
        <v>601</v>
      </c>
    </row>
    <row r="942" spans="1:10" x14ac:dyDescent="0.15">
      <c r="A942" s="7">
        <v>44852</v>
      </c>
      <c r="B942" s="8" t="s">
        <v>59</v>
      </c>
      <c r="C942" s="8" t="s">
        <v>265</v>
      </c>
      <c r="D942" s="9" t="str">
        <f>HYPERLINK("https://www.marklines.com/en/global/137","Stellantis, PSA, Poissy Plant")</f>
        <v>Stellantis, PSA, Poissy Plant</v>
      </c>
      <c r="E942" s="8" t="s">
        <v>420</v>
      </c>
      <c r="F942" s="8" t="s">
        <v>20</v>
      </c>
      <c r="G942" s="8" t="s">
        <v>86</v>
      </c>
      <c r="H942" s="8"/>
      <c r="I942" s="10">
        <v>44851</v>
      </c>
      <c r="J942" s="8" t="s">
        <v>601</v>
      </c>
    </row>
    <row r="943" spans="1:10" x14ac:dyDescent="0.15">
      <c r="A943" s="7">
        <v>44852</v>
      </c>
      <c r="B943" s="8" t="s">
        <v>59</v>
      </c>
      <c r="C943" s="8" t="s">
        <v>266</v>
      </c>
      <c r="D943" s="9" t="str">
        <f>HYPERLINK("https://www.marklines.com/en/global/119","Stellantis Hordain (formerly Sevel Nord, Hordain Palnt)")</f>
        <v>Stellantis Hordain (formerly Sevel Nord, Hordain Palnt)</v>
      </c>
      <c r="E943" s="8" t="s">
        <v>600</v>
      </c>
      <c r="F943" s="8" t="s">
        <v>20</v>
      </c>
      <c r="G943" s="8" t="s">
        <v>86</v>
      </c>
      <c r="H943" s="8"/>
      <c r="I943" s="10">
        <v>44851</v>
      </c>
      <c r="J943" s="8" t="s">
        <v>601</v>
      </c>
    </row>
    <row r="944" spans="1:10" x14ac:dyDescent="0.15">
      <c r="A944" s="7">
        <v>44852</v>
      </c>
      <c r="B944" s="8" t="s">
        <v>59</v>
      </c>
      <c r="C944" s="8" t="s">
        <v>60</v>
      </c>
      <c r="D944" s="9" t="str">
        <f>HYPERLINK("https://www.marklines.com/en/global/119","Stellantis Hordain (formerly Sevel Nord, Hordain Palnt)")</f>
        <v>Stellantis Hordain (formerly Sevel Nord, Hordain Palnt)</v>
      </c>
      <c r="E944" s="8" t="s">
        <v>600</v>
      </c>
      <c r="F944" s="8" t="s">
        <v>20</v>
      </c>
      <c r="G944" s="8" t="s">
        <v>86</v>
      </c>
      <c r="H944" s="8"/>
      <c r="I944" s="10">
        <v>44851</v>
      </c>
      <c r="J944" s="8" t="s">
        <v>601</v>
      </c>
    </row>
    <row r="945" spans="1:10" x14ac:dyDescent="0.15">
      <c r="A945" s="7">
        <v>44852</v>
      </c>
      <c r="B945" s="8" t="s">
        <v>59</v>
      </c>
      <c r="C945" s="8" t="s">
        <v>60</v>
      </c>
      <c r="D945" s="9" t="str">
        <f>HYPERLINK("https://www.marklines.com/en/global/139","Stellantis, PSA, Mulhouse Plant")</f>
        <v>Stellantis, PSA, Mulhouse Plant</v>
      </c>
      <c r="E945" s="8" t="s">
        <v>422</v>
      </c>
      <c r="F945" s="8" t="s">
        <v>20</v>
      </c>
      <c r="G945" s="8" t="s">
        <v>86</v>
      </c>
      <c r="H945" s="8"/>
      <c r="I945" s="10">
        <v>44851</v>
      </c>
      <c r="J945" s="8" t="s">
        <v>601</v>
      </c>
    </row>
    <row r="946" spans="1:10" x14ac:dyDescent="0.15">
      <c r="A946" s="7">
        <v>44852</v>
      </c>
      <c r="B946" s="8" t="s">
        <v>59</v>
      </c>
      <c r="C946" s="8" t="s">
        <v>60</v>
      </c>
      <c r="D946" s="9" t="str">
        <f>HYPERLINK("https://www.marklines.com/en/global/143","Stellantis, PSA, Sochaux Plant")</f>
        <v>Stellantis, PSA, Sochaux Plant</v>
      </c>
      <c r="E946" s="8" t="s">
        <v>602</v>
      </c>
      <c r="F946" s="8" t="s">
        <v>20</v>
      </c>
      <c r="G946" s="8" t="s">
        <v>86</v>
      </c>
      <c r="H946" s="8"/>
      <c r="I946" s="10">
        <v>44851</v>
      </c>
      <c r="J946" s="8" t="s">
        <v>601</v>
      </c>
    </row>
    <row r="947" spans="1:10" x14ac:dyDescent="0.15">
      <c r="A947" s="7">
        <v>44852</v>
      </c>
      <c r="B947" s="8" t="s">
        <v>59</v>
      </c>
      <c r="C947" s="8" t="s">
        <v>62</v>
      </c>
      <c r="D947" s="9" t="str">
        <f>HYPERLINK("https://www.marklines.com/en/global/119","Stellantis Hordain (formerly Sevel Nord, Hordain Palnt)")</f>
        <v>Stellantis Hordain (formerly Sevel Nord, Hordain Palnt)</v>
      </c>
      <c r="E947" s="8" t="s">
        <v>600</v>
      </c>
      <c r="F947" s="8" t="s">
        <v>20</v>
      </c>
      <c r="G947" s="8" t="s">
        <v>86</v>
      </c>
      <c r="H947" s="8"/>
      <c r="I947" s="10">
        <v>44851</v>
      </c>
      <c r="J947" s="8" t="s">
        <v>601</v>
      </c>
    </row>
    <row r="948" spans="1:10" x14ac:dyDescent="0.15">
      <c r="A948" s="7">
        <v>44852</v>
      </c>
      <c r="B948" s="8" t="s">
        <v>59</v>
      </c>
      <c r="C948" s="8" t="s">
        <v>62</v>
      </c>
      <c r="D948" s="9" t="str">
        <f>HYPERLINK("https://www.marklines.com/en/global/141","Stellantis, PSA, Rennes Plant")</f>
        <v>Stellantis, PSA, Rennes Plant</v>
      </c>
      <c r="E948" s="8" t="s">
        <v>603</v>
      </c>
      <c r="F948" s="8" t="s">
        <v>20</v>
      </c>
      <c r="G948" s="8" t="s">
        <v>86</v>
      </c>
      <c r="H948" s="8"/>
      <c r="I948" s="10">
        <v>44851</v>
      </c>
      <c r="J948" s="8" t="s">
        <v>601</v>
      </c>
    </row>
    <row r="949" spans="1:10" x14ac:dyDescent="0.15">
      <c r="A949" s="7">
        <v>44852</v>
      </c>
      <c r="B949" s="8" t="s">
        <v>59</v>
      </c>
      <c r="C949" s="8" t="s">
        <v>159</v>
      </c>
      <c r="D949" s="9" t="str">
        <f>HYPERLINK("https://www.marklines.com/en/global/137","Stellantis, PSA, Poissy Plant")</f>
        <v>Stellantis, PSA, Poissy Plant</v>
      </c>
      <c r="E949" s="8" t="s">
        <v>420</v>
      </c>
      <c r="F949" s="8" t="s">
        <v>20</v>
      </c>
      <c r="G949" s="8" t="s">
        <v>86</v>
      </c>
      <c r="H949" s="8"/>
      <c r="I949" s="10">
        <v>44851</v>
      </c>
      <c r="J949" s="8" t="s">
        <v>601</v>
      </c>
    </row>
    <row r="950" spans="1:10" x14ac:dyDescent="0.15">
      <c r="A950" s="7">
        <v>44852</v>
      </c>
      <c r="B950" s="8" t="s">
        <v>59</v>
      </c>
      <c r="C950" s="8" t="s">
        <v>63</v>
      </c>
      <c r="D950" s="9" t="str">
        <f>HYPERLINK("https://www.marklines.com/en/global/119","Stellantis Hordain (formerly Sevel Nord, Hordain Palnt)")</f>
        <v>Stellantis Hordain (formerly Sevel Nord, Hordain Palnt)</v>
      </c>
      <c r="E950" s="8" t="s">
        <v>600</v>
      </c>
      <c r="F950" s="8" t="s">
        <v>20</v>
      </c>
      <c r="G950" s="8" t="s">
        <v>86</v>
      </c>
      <c r="H950" s="8"/>
      <c r="I950" s="10">
        <v>44851</v>
      </c>
      <c r="J950" s="8" t="s">
        <v>601</v>
      </c>
    </row>
    <row r="951" spans="1:10" x14ac:dyDescent="0.15">
      <c r="A951" s="7">
        <v>44852</v>
      </c>
      <c r="B951" s="8" t="s">
        <v>73</v>
      </c>
      <c r="C951" s="8" t="s">
        <v>560</v>
      </c>
      <c r="D951" s="9" t="str">
        <f>HYPERLINK("https://www.marklines.com/en/global/2137","EvoBus, Mannheim Plant")</f>
        <v>EvoBus, Mannheim Plant</v>
      </c>
      <c r="E951" s="8" t="s">
        <v>564</v>
      </c>
      <c r="F951" s="8" t="s">
        <v>20</v>
      </c>
      <c r="G951" s="8" t="s">
        <v>29</v>
      </c>
      <c r="H951" s="8"/>
      <c r="I951" s="10">
        <v>44851</v>
      </c>
      <c r="J951" s="8" t="s">
        <v>604</v>
      </c>
    </row>
    <row r="952" spans="1:10" x14ac:dyDescent="0.15">
      <c r="A952" s="7">
        <v>44852</v>
      </c>
      <c r="B952" s="8" t="s">
        <v>279</v>
      </c>
      <c r="C952" s="8" t="s">
        <v>279</v>
      </c>
      <c r="D952" s="9" t="str">
        <f>HYPERLINK("https://www.marklines.com/en/global/671","ZAO AvtoTOR, Kaliningrad Plant")</f>
        <v>ZAO AvtoTOR, Kaliningrad Plant</v>
      </c>
      <c r="E952" s="8" t="s">
        <v>280</v>
      </c>
      <c r="F952" s="8" t="s">
        <v>21</v>
      </c>
      <c r="G952" s="8" t="s">
        <v>16</v>
      </c>
      <c r="H952" s="8"/>
      <c r="I952" s="10">
        <v>44848</v>
      </c>
      <c r="J952" s="8" t="s">
        <v>605</v>
      </c>
    </row>
    <row r="953" spans="1:10" x14ac:dyDescent="0.15">
      <c r="A953" s="7">
        <v>44852</v>
      </c>
      <c r="B953" s="8" t="s">
        <v>14</v>
      </c>
      <c r="C953" s="8" t="s">
        <v>40</v>
      </c>
      <c r="D953" s="9" t="str">
        <f>HYPERLINK("https://www.marklines.com/en/global/2459","General Motors, Factory ZERO (Detroit-Hamtramck Plant) ")</f>
        <v xml:space="preserve">General Motors, Factory ZERO (Detroit-Hamtramck Plant) </v>
      </c>
      <c r="E953" s="8" t="s">
        <v>54</v>
      </c>
      <c r="F953" s="8" t="s">
        <v>19</v>
      </c>
      <c r="G953" s="8" t="s">
        <v>12</v>
      </c>
      <c r="H953" s="8" t="s">
        <v>13</v>
      </c>
      <c r="I953" s="10">
        <v>44848</v>
      </c>
      <c r="J953" s="8" t="s">
        <v>606</v>
      </c>
    </row>
    <row r="954" spans="1:10" x14ac:dyDescent="0.15">
      <c r="A954" s="7">
        <v>44852</v>
      </c>
      <c r="B954" s="8" t="s">
        <v>327</v>
      </c>
      <c r="C954" s="8" t="s">
        <v>327</v>
      </c>
      <c r="D954" s="9" t="str">
        <f>HYPERLINK("https://www.marklines.com/en/global/3283","Tesla, Fremont Plant")</f>
        <v>Tesla, Fremont Plant</v>
      </c>
      <c r="E954" s="8" t="s">
        <v>607</v>
      </c>
      <c r="F954" s="8" t="s">
        <v>19</v>
      </c>
      <c r="G954" s="8" t="s">
        <v>12</v>
      </c>
      <c r="H954" s="8" t="s">
        <v>608</v>
      </c>
      <c r="I954" s="10">
        <v>44848</v>
      </c>
      <c r="J954" s="8" t="s">
        <v>609</v>
      </c>
    </row>
    <row r="955" spans="1:10" x14ac:dyDescent="0.15">
      <c r="A955" s="7">
        <v>44852</v>
      </c>
      <c r="B955" s="8" t="s">
        <v>327</v>
      </c>
      <c r="C955" s="8" t="s">
        <v>327</v>
      </c>
      <c r="D955" s="9" t="str">
        <f>HYPERLINK("https://www.marklines.com/en/global/10321","Tesla Gigafactory Texas")</f>
        <v>Tesla Gigafactory Texas</v>
      </c>
      <c r="E955" s="8" t="s">
        <v>331</v>
      </c>
      <c r="F955" s="8" t="s">
        <v>19</v>
      </c>
      <c r="G955" s="8" t="s">
        <v>12</v>
      </c>
      <c r="H955" s="8" t="s">
        <v>332</v>
      </c>
      <c r="I955" s="10">
        <v>44848</v>
      </c>
      <c r="J955" s="8" t="s">
        <v>609</v>
      </c>
    </row>
    <row r="956" spans="1:10" x14ac:dyDescent="0.15">
      <c r="A956" s="7">
        <v>44852</v>
      </c>
      <c r="B956" s="8" t="s">
        <v>327</v>
      </c>
      <c r="C956" s="8" t="s">
        <v>327</v>
      </c>
      <c r="D956" s="9" t="str">
        <f>HYPERLINK("https://www.marklines.com/en/global/9895","Tesla Gigafactory Berlin-Brandenburg")</f>
        <v>Tesla Gigafactory Berlin-Brandenburg</v>
      </c>
      <c r="E956" s="8" t="s">
        <v>610</v>
      </c>
      <c r="F956" s="8" t="s">
        <v>20</v>
      </c>
      <c r="G956" s="8" t="s">
        <v>29</v>
      </c>
      <c r="H956" s="8"/>
      <c r="I956" s="10">
        <v>44848</v>
      </c>
      <c r="J956" s="8" t="s">
        <v>609</v>
      </c>
    </row>
    <row r="957" spans="1:10" x14ac:dyDescent="0.15">
      <c r="A957" s="7">
        <v>44852</v>
      </c>
      <c r="B957" s="8" t="s">
        <v>14</v>
      </c>
      <c r="C957" s="8" t="s">
        <v>23</v>
      </c>
      <c r="D957" s="9" t="str">
        <f>HYPERLINK("https://www.marklines.com/en/global/2521","General Motors, Bowling Green Plant")</f>
        <v>General Motors, Bowling Green Plant</v>
      </c>
      <c r="E957" s="8" t="s">
        <v>611</v>
      </c>
      <c r="F957" s="8" t="s">
        <v>19</v>
      </c>
      <c r="G957" s="8" t="s">
        <v>12</v>
      </c>
      <c r="H957" s="8" t="s">
        <v>612</v>
      </c>
      <c r="I957" s="10">
        <v>44847</v>
      </c>
      <c r="J957" s="8" t="s">
        <v>613</v>
      </c>
    </row>
    <row r="958" spans="1:10" x14ac:dyDescent="0.15">
      <c r="A958" s="7">
        <v>44852</v>
      </c>
      <c r="B958" s="8" t="s">
        <v>82</v>
      </c>
      <c r="C958" s="8" t="s">
        <v>133</v>
      </c>
      <c r="D958" s="9" t="str">
        <f>HYPERLINK("https://www.marklines.com/en/global/9824","GAC Aion New Energy Automobile Co., Ltd.")</f>
        <v>GAC Aion New Energy Automobile Co., Ltd.</v>
      </c>
      <c r="E958" s="8" t="s">
        <v>134</v>
      </c>
      <c r="F958" s="8" t="s">
        <v>25</v>
      </c>
      <c r="G958" s="8" t="s">
        <v>71</v>
      </c>
      <c r="H958" s="8" t="s">
        <v>83</v>
      </c>
      <c r="I958" s="10">
        <v>44846</v>
      </c>
      <c r="J958" s="8" t="s">
        <v>614</v>
      </c>
    </row>
    <row r="959" spans="1:10" x14ac:dyDescent="0.15">
      <c r="A959" s="7">
        <v>44852</v>
      </c>
      <c r="B959" s="8" t="s">
        <v>89</v>
      </c>
      <c r="C959" s="8" t="s">
        <v>89</v>
      </c>
      <c r="D959" s="9" t="str">
        <f>HYPERLINK("https://www.marklines.com/en/global/3533","Great Wall Motor Company Limited (GWM)")</f>
        <v>Great Wall Motor Company Limited (GWM)</v>
      </c>
      <c r="E959" s="8" t="s">
        <v>615</v>
      </c>
      <c r="F959" s="8" t="s">
        <v>25</v>
      </c>
      <c r="G959" s="8" t="s">
        <v>71</v>
      </c>
      <c r="H959" s="8" t="s">
        <v>616</v>
      </c>
      <c r="I959" s="10">
        <v>44846</v>
      </c>
      <c r="J959" s="8" t="s">
        <v>617</v>
      </c>
    </row>
    <row r="960" spans="1:10" x14ac:dyDescent="0.15">
      <c r="A960" s="7">
        <v>44852</v>
      </c>
      <c r="B960" s="8" t="s">
        <v>486</v>
      </c>
      <c r="C960" s="8" t="s">
        <v>486</v>
      </c>
      <c r="D960" s="9" t="str">
        <f>HYPERLINK("https://www.marklines.com/en/global/9873","Lucid Motors (Lucid Group, Inc.), Casa Grande plant")</f>
        <v>Lucid Motors (Lucid Group, Inc.), Casa Grande plant</v>
      </c>
      <c r="E960" s="8" t="s">
        <v>487</v>
      </c>
      <c r="F960" s="8" t="s">
        <v>19</v>
      </c>
      <c r="G960" s="8" t="s">
        <v>12</v>
      </c>
      <c r="H960" s="8" t="s">
        <v>469</v>
      </c>
      <c r="I960" s="10">
        <v>44846</v>
      </c>
      <c r="J960" s="8" t="s">
        <v>618</v>
      </c>
    </row>
    <row r="961" spans="1:10" x14ac:dyDescent="0.15">
      <c r="A961" s="7">
        <v>44852</v>
      </c>
      <c r="B961" s="8" t="s">
        <v>478</v>
      </c>
      <c r="C961" s="8" t="s">
        <v>478</v>
      </c>
      <c r="D961" s="9" t="str">
        <f>HYPERLINK("https://www.marklines.com/en/global/10441","BYD Automobile Co., Ltd. Changzhou Branch")</f>
        <v>BYD Automobile Co., Ltd. Changzhou Branch</v>
      </c>
      <c r="E961" s="8" t="s">
        <v>479</v>
      </c>
      <c r="F961" s="8" t="s">
        <v>25</v>
      </c>
      <c r="G961" s="8" t="s">
        <v>71</v>
      </c>
      <c r="H961" s="8" t="s">
        <v>351</v>
      </c>
      <c r="I961" s="10">
        <v>44844</v>
      </c>
      <c r="J961" s="8" t="s">
        <v>619</v>
      </c>
    </row>
    <row r="962" spans="1:10" x14ac:dyDescent="0.15">
      <c r="A962" s="7">
        <v>44852</v>
      </c>
      <c r="B962" s="8" t="s">
        <v>478</v>
      </c>
      <c r="C962" s="8" t="s">
        <v>478</v>
      </c>
      <c r="D962" s="9" t="str">
        <f>HYPERLINK("https://www.marklines.com/en/global/4043","BYD Automobile Industry Co., Ltd., Changsha Branch")</f>
        <v>BYD Automobile Industry Co., Ltd., Changsha Branch</v>
      </c>
      <c r="E962" s="8" t="s">
        <v>481</v>
      </c>
      <c r="F962" s="8" t="s">
        <v>25</v>
      </c>
      <c r="G962" s="8" t="s">
        <v>71</v>
      </c>
      <c r="H962" s="8" t="s">
        <v>482</v>
      </c>
      <c r="I962" s="10">
        <v>44844</v>
      </c>
      <c r="J962" s="8" t="s">
        <v>619</v>
      </c>
    </row>
    <row r="963" spans="1:10" x14ac:dyDescent="0.15">
      <c r="A963" s="7">
        <v>44852</v>
      </c>
      <c r="B963" s="8" t="s">
        <v>76</v>
      </c>
      <c r="C963" s="8" t="s">
        <v>620</v>
      </c>
      <c r="D963" s="9" t="str">
        <f>HYPERLINK("https://www.marklines.com/en/global/9345","Geely Sichuan Commercial Vehicle Co., Ltd.")</f>
        <v>Geely Sichuan Commercial Vehicle Co., Ltd.</v>
      </c>
      <c r="E963" s="8" t="s">
        <v>621</v>
      </c>
      <c r="F963" s="8" t="s">
        <v>25</v>
      </c>
      <c r="G963" s="8" t="s">
        <v>71</v>
      </c>
      <c r="H963" s="8" t="s">
        <v>367</v>
      </c>
      <c r="I963" s="10">
        <v>44844</v>
      </c>
      <c r="J963" s="8" t="s">
        <v>622</v>
      </c>
    </row>
    <row r="964" spans="1:10" x14ac:dyDescent="0.15">
      <c r="A964" s="7">
        <v>44852</v>
      </c>
      <c r="B964" s="8" t="s">
        <v>76</v>
      </c>
      <c r="C964" s="8" t="s">
        <v>620</v>
      </c>
      <c r="D964" s="9" t="str">
        <f>HYPERLINK("https://www.marklines.com/en/global/10361","Jiangxi Geely New Energy Commercial Vehicles Co., Ltd.")</f>
        <v>Jiangxi Geely New Energy Commercial Vehicles Co., Ltd.</v>
      </c>
      <c r="E964" s="8" t="s">
        <v>623</v>
      </c>
      <c r="F964" s="8" t="s">
        <v>25</v>
      </c>
      <c r="G964" s="8" t="s">
        <v>71</v>
      </c>
      <c r="H964" s="8" t="s">
        <v>460</v>
      </c>
      <c r="I964" s="10">
        <v>44844</v>
      </c>
      <c r="J964" s="8" t="s">
        <v>622</v>
      </c>
    </row>
    <row r="965" spans="1:10" x14ac:dyDescent="0.15">
      <c r="A965" s="7">
        <v>44852</v>
      </c>
      <c r="B965" s="8" t="s">
        <v>101</v>
      </c>
      <c r="C965" s="8" t="s">
        <v>101</v>
      </c>
      <c r="D965" s="9" t="str">
        <f>HYPERLINK("https://www.marklines.com/en/global/3977","Dongfeng Passenger Vehicle Company")</f>
        <v>Dongfeng Passenger Vehicle Company</v>
      </c>
      <c r="E965" s="8" t="s">
        <v>624</v>
      </c>
      <c r="F965" s="8" t="s">
        <v>25</v>
      </c>
      <c r="G965" s="8" t="s">
        <v>71</v>
      </c>
      <c r="H965" s="8" t="s">
        <v>90</v>
      </c>
      <c r="I965" s="10">
        <v>44843</v>
      </c>
      <c r="J965" s="8" t="s">
        <v>625</v>
      </c>
    </row>
    <row r="966" spans="1:10" x14ac:dyDescent="0.15">
      <c r="A966" s="7">
        <v>44851</v>
      </c>
      <c r="B966" s="8" t="s">
        <v>87</v>
      </c>
      <c r="C966" s="8" t="s">
        <v>87</v>
      </c>
      <c r="D966" s="9" t="str">
        <f t="shared" ref="D966:D972" si="0">HYPERLINK("https://www.marklines.com/en/global/10274","Automotive Cell Company (ACC)")</f>
        <v>Automotive Cell Company (ACC)</v>
      </c>
      <c r="E966" s="8" t="s">
        <v>206</v>
      </c>
      <c r="F966" s="8" t="s">
        <v>20</v>
      </c>
      <c r="G966" s="8" t="s">
        <v>86</v>
      </c>
      <c r="H966" s="8"/>
      <c r="I966" s="10">
        <v>44851</v>
      </c>
      <c r="J966" s="8" t="s">
        <v>264</v>
      </c>
    </row>
    <row r="967" spans="1:10" x14ac:dyDescent="0.15">
      <c r="A967" s="7">
        <v>44851</v>
      </c>
      <c r="B967" s="8" t="s">
        <v>87</v>
      </c>
      <c r="C967" s="8" t="s">
        <v>88</v>
      </c>
      <c r="D967" s="9" t="str">
        <f t="shared" si="0"/>
        <v>Automotive Cell Company (ACC)</v>
      </c>
      <c r="E967" s="8" t="s">
        <v>206</v>
      </c>
      <c r="F967" s="8" t="s">
        <v>20</v>
      </c>
      <c r="G967" s="8" t="s">
        <v>86</v>
      </c>
      <c r="H967" s="8"/>
      <c r="I967" s="10">
        <v>44851</v>
      </c>
      <c r="J967" s="8" t="s">
        <v>264</v>
      </c>
    </row>
    <row r="968" spans="1:10" x14ac:dyDescent="0.15">
      <c r="A968" s="7">
        <v>44851</v>
      </c>
      <c r="B968" s="8" t="s">
        <v>59</v>
      </c>
      <c r="C968" s="8" t="s">
        <v>265</v>
      </c>
      <c r="D968" s="9" t="str">
        <f t="shared" si="0"/>
        <v>Automotive Cell Company (ACC)</v>
      </c>
      <c r="E968" s="8" t="s">
        <v>206</v>
      </c>
      <c r="F968" s="8" t="s">
        <v>20</v>
      </c>
      <c r="G968" s="8" t="s">
        <v>86</v>
      </c>
      <c r="H968" s="8"/>
      <c r="I968" s="10">
        <v>44851</v>
      </c>
      <c r="J968" s="8" t="s">
        <v>264</v>
      </c>
    </row>
    <row r="969" spans="1:10" x14ac:dyDescent="0.15">
      <c r="A969" s="7">
        <v>44851</v>
      </c>
      <c r="B969" s="8" t="s">
        <v>59</v>
      </c>
      <c r="C969" s="8" t="s">
        <v>266</v>
      </c>
      <c r="D969" s="9" t="str">
        <f t="shared" si="0"/>
        <v>Automotive Cell Company (ACC)</v>
      </c>
      <c r="E969" s="8" t="s">
        <v>206</v>
      </c>
      <c r="F969" s="8" t="s">
        <v>20</v>
      </c>
      <c r="G969" s="8" t="s">
        <v>86</v>
      </c>
      <c r="H969" s="8"/>
      <c r="I969" s="10">
        <v>44851</v>
      </c>
      <c r="J969" s="8" t="s">
        <v>264</v>
      </c>
    </row>
    <row r="970" spans="1:10" x14ac:dyDescent="0.15">
      <c r="A970" s="7">
        <v>44851</v>
      </c>
      <c r="B970" s="8" t="s">
        <v>59</v>
      </c>
      <c r="C970" s="8" t="s">
        <v>60</v>
      </c>
      <c r="D970" s="9" t="str">
        <f t="shared" si="0"/>
        <v>Automotive Cell Company (ACC)</v>
      </c>
      <c r="E970" s="8" t="s">
        <v>206</v>
      </c>
      <c r="F970" s="8" t="s">
        <v>20</v>
      </c>
      <c r="G970" s="8" t="s">
        <v>86</v>
      </c>
      <c r="H970" s="8"/>
      <c r="I970" s="10">
        <v>44851</v>
      </c>
      <c r="J970" s="8" t="s">
        <v>264</v>
      </c>
    </row>
    <row r="971" spans="1:10" x14ac:dyDescent="0.15">
      <c r="A971" s="7">
        <v>44851</v>
      </c>
      <c r="B971" s="8" t="s">
        <v>59</v>
      </c>
      <c r="C971" s="8" t="s">
        <v>62</v>
      </c>
      <c r="D971" s="9" t="str">
        <f t="shared" si="0"/>
        <v>Automotive Cell Company (ACC)</v>
      </c>
      <c r="E971" s="8" t="s">
        <v>206</v>
      </c>
      <c r="F971" s="8" t="s">
        <v>20</v>
      </c>
      <c r="G971" s="8" t="s">
        <v>86</v>
      </c>
      <c r="H971" s="8"/>
      <c r="I971" s="10">
        <v>44851</v>
      </c>
      <c r="J971" s="8" t="s">
        <v>264</v>
      </c>
    </row>
    <row r="972" spans="1:10" x14ac:dyDescent="0.15">
      <c r="A972" s="7">
        <v>44851</v>
      </c>
      <c r="B972" s="8" t="s">
        <v>59</v>
      </c>
      <c r="C972" s="8" t="s">
        <v>159</v>
      </c>
      <c r="D972" s="9" t="str">
        <f t="shared" si="0"/>
        <v>Automotive Cell Company (ACC)</v>
      </c>
      <c r="E972" s="8" t="s">
        <v>206</v>
      </c>
      <c r="F972" s="8" t="s">
        <v>20</v>
      </c>
      <c r="G972" s="8" t="s">
        <v>86</v>
      </c>
      <c r="H972" s="8"/>
      <c r="I972" s="10">
        <v>44851</v>
      </c>
      <c r="J972" s="8" t="s">
        <v>264</v>
      </c>
    </row>
    <row r="973" spans="1:10" x14ac:dyDescent="0.15">
      <c r="A973" s="7">
        <v>44851</v>
      </c>
      <c r="B973" s="8" t="s">
        <v>52</v>
      </c>
      <c r="C973" s="8" t="s">
        <v>267</v>
      </c>
      <c r="D973" s="9" t="str">
        <f>HYPERLINK("https://www.marklines.com/en/global/1655","Stellantis, Fiat Auto Poland S.A., Tychy Plant")</f>
        <v>Stellantis, Fiat Auto Poland S.A., Tychy Plant</v>
      </c>
      <c r="E973" s="8" t="s">
        <v>165</v>
      </c>
      <c r="F973" s="8" t="s">
        <v>21</v>
      </c>
      <c r="G973" s="8" t="s">
        <v>93</v>
      </c>
      <c r="H973" s="8"/>
      <c r="I973" s="10">
        <v>44851</v>
      </c>
      <c r="J973" s="8" t="s">
        <v>268</v>
      </c>
    </row>
    <row r="974" spans="1:10" x14ac:dyDescent="0.15">
      <c r="A974" s="7">
        <v>44851</v>
      </c>
      <c r="B974" s="8" t="s">
        <v>52</v>
      </c>
      <c r="C974" s="8" t="s">
        <v>91</v>
      </c>
      <c r="D974" s="9" t="str">
        <f>HYPERLINK("https://www.marklines.com/en/global/1655","Stellantis, Fiat Auto Poland S.A., Tychy Plant")</f>
        <v>Stellantis, Fiat Auto Poland S.A., Tychy Plant</v>
      </c>
      <c r="E974" s="8" t="s">
        <v>165</v>
      </c>
      <c r="F974" s="8" t="s">
        <v>21</v>
      </c>
      <c r="G974" s="8" t="s">
        <v>93</v>
      </c>
      <c r="H974" s="8"/>
      <c r="I974" s="10">
        <v>44851</v>
      </c>
      <c r="J974" s="8" t="s">
        <v>268</v>
      </c>
    </row>
    <row r="975" spans="1:10" x14ac:dyDescent="0.15">
      <c r="A975" s="7">
        <v>44851</v>
      </c>
      <c r="B975" s="8" t="s">
        <v>59</v>
      </c>
      <c r="C975" s="8" t="s">
        <v>265</v>
      </c>
      <c r="D975" s="9" t="str">
        <f>HYPERLINK("https://www.marklines.com/en/global/9974","Nidec PSA emotors")</f>
        <v>Nidec PSA emotors</v>
      </c>
      <c r="E975" s="8" t="s">
        <v>269</v>
      </c>
      <c r="F975" s="8" t="s">
        <v>20</v>
      </c>
      <c r="G975" s="8" t="s">
        <v>86</v>
      </c>
      <c r="H975" s="8"/>
      <c r="I975" s="10">
        <v>44851</v>
      </c>
      <c r="J975" s="8" t="s">
        <v>268</v>
      </c>
    </row>
    <row r="976" spans="1:10" x14ac:dyDescent="0.15">
      <c r="A976" s="7">
        <v>44851</v>
      </c>
      <c r="B976" s="8" t="s">
        <v>59</v>
      </c>
      <c r="C976" s="8" t="s">
        <v>266</v>
      </c>
      <c r="D976" s="9" t="str">
        <f>HYPERLINK("https://www.marklines.com/en/global/9974","Nidec PSA emotors")</f>
        <v>Nidec PSA emotors</v>
      </c>
      <c r="E976" s="8" t="s">
        <v>269</v>
      </c>
      <c r="F976" s="8" t="s">
        <v>20</v>
      </c>
      <c r="G976" s="8" t="s">
        <v>86</v>
      </c>
      <c r="H976" s="8"/>
      <c r="I976" s="10">
        <v>44851</v>
      </c>
      <c r="J976" s="8" t="s">
        <v>268</v>
      </c>
    </row>
    <row r="977" spans="1:10" x14ac:dyDescent="0.15">
      <c r="A977" s="7">
        <v>44851</v>
      </c>
      <c r="B977" s="8" t="s">
        <v>59</v>
      </c>
      <c r="C977" s="8" t="s">
        <v>60</v>
      </c>
      <c r="D977" s="9" t="str">
        <f>HYPERLINK("https://www.marklines.com/en/global/9974","Nidec PSA emotors")</f>
        <v>Nidec PSA emotors</v>
      </c>
      <c r="E977" s="8" t="s">
        <v>269</v>
      </c>
      <c r="F977" s="8" t="s">
        <v>20</v>
      </c>
      <c r="G977" s="8" t="s">
        <v>86</v>
      </c>
      <c r="H977" s="8"/>
      <c r="I977" s="10">
        <v>44851</v>
      </c>
      <c r="J977" s="8" t="s">
        <v>268</v>
      </c>
    </row>
    <row r="978" spans="1:10" x14ac:dyDescent="0.15">
      <c r="A978" s="7">
        <v>44851</v>
      </c>
      <c r="B978" s="8" t="s">
        <v>59</v>
      </c>
      <c r="C978" s="8" t="s">
        <v>62</v>
      </c>
      <c r="D978" s="9" t="str">
        <f>HYPERLINK("https://www.marklines.com/en/global/9974","Nidec PSA emotors")</f>
        <v>Nidec PSA emotors</v>
      </c>
      <c r="E978" s="8" t="s">
        <v>269</v>
      </c>
      <c r="F978" s="8" t="s">
        <v>20</v>
      </c>
      <c r="G978" s="8" t="s">
        <v>86</v>
      </c>
      <c r="H978" s="8"/>
      <c r="I978" s="10">
        <v>44851</v>
      </c>
      <c r="J978" s="8" t="s">
        <v>268</v>
      </c>
    </row>
    <row r="979" spans="1:10" x14ac:dyDescent="0.15">
      <c r="A979" s="7">
        <v>44851</v>
      </c>
      <c r="B979" s="8" t="s">
        <v>59</v>
      </c>
      <c r="C979" s="8" t="s">
        <v>159</v>
      </c>
      <c r="D979" s="9" t="str">
        <f>HYPERLINK("https://www.marklines.com/en/global/9974","Nidec PSA emotors")</f>
        <v>Nidec PSA emotors</v>
      </c>
      <c r="E979" s="8" t="s">
        <v>269</v>
      </c>
      <c r="F979" s="8" t="s">
        <v>20</v>
      </c>
      <c r="G979" s="8" t="s">
        <v>86</v>
      </c>
      <c r="H979" s="8"/>
      <c r="I979" s="10">
        <v>44851</v>
      </c>
      <c r="J979" s="8" t="s">
        <v>268</v>
      </c>
    </row>
    <row r="980" spans="1:10" x14ac:dyDescent="0.15">
      <c r="A980" s="7">
        <v>44851</v>
      </c>
      <c r="B980" s="8" t="s">
        <v>59</v>
      </c>
      <c r="C980" s="8" t="s">
        <v>63</v>
      </c>
      <c r="D980" s="9" t="str">
        <f>HYPERLINK("https://www.marklines.com/en/global/1655","Stellantis, Fiat Auto Poland S.A., Tychy Plant")</f>
        <v>Stellantis, Fiat Auto Poland S.A., Tychy Plant</v>
      </c>
      <c r="E980" s="8" t="s">
        <v>165</v>
      </c>
      <c r="F980" s="8" t="s">
        <v>21</v>
      </c>
      <c r="G980" s="8" t="s">
        <v>93</v>
      </c>
      <c r="H980" s="8"/>
      <c r="I980" s="10">
        <v>44851</v>
      </c>
      <c r="J980" s="8" t="s">
        <v>268</v>
      </c>
    </row>
    <row r="981" spans="1:10" x14ac:dyDescent="0.15">
      <c r="A981" s="7">
        <v>44851</v>
      </c>
      <c r="B981" s="8" t="s">
        <v>59</v>
      </c>
      <c r="C981" s="8" t="s">
        <v>270</v>
      </c>
      <c r="D981" s="9" t="str">
        <f>HYPERLINK("https://www.marklines.com/en/global/1655","Stellantis, Fiat Auto Poland S.A., Tychy Plant")</f>
        <v>Stellantis, Fiat Auto Poland S.A., Tychy Plant</v>
      </c>
      <c r="E981" s="8" t="s">
        <v>165</v>
      </c>
      <c r="F981" s="8" t="s">
        <v>21</v>
      </c>
      <c r="G981" s="8" t="s">
        <v>93</v>
      </c>
      <c r="H981" s="8"/>
      <c r="I981" s="10">
        <v>44851</v>
      </c>
      <c r="J981" s="8" t="s">
        <v>268</v>
      </c>
    </row>
    <row r="982" spans="1:10" x14ac:dyDescent="0.15">
      <c r="A982" s="7">
        <v>44851</v>
      </c>
      <c r="B982" s="8" t="s">
        <v>59</v>
      </c>
      <c r="C982" s="8" t="s">
        <v>271</v>
      </c>
      <c r="D982" s="9" t="str">
        <f>HYPERLINK("https://www.marklines.com/en/global/1655","Stellantis, Fiat Auto Poland S.A., Tychy Plant")</f>
        <v>Stellantis, Fiat Auto Poland S.A., Tychy Plant</v>
      </c>
      <c r="E982" s="8" t="s">
        <v>165</v>
      </c>
      <c r="F982" s="8" t="s">
        <v>21</v>
      </c>
      <c r="G982" s="8" t="s">
        <v>93</v>
      </c>
      <c r="H982" s="8"/>
      <c r="I982" s="10">
        <v>44851</v>
      </c>
      <c r="J982" s="8" t="s">
        <v>268</v>
      </c>
    </row>
    <row r="983" spans="1:10" x14ac:dyDescent="0.15">
      <c r="A983" s="7">
        <v>44851</v>
      </c>
      <c r="B983" s="8" t="s">
        <v>87</v>
      </c>
      <c r="C983" s="8" t="s">
        <v>88</v>
      </c>
      <c r="D983" s="9" t="str">
        <f>HYPERLINK("https://www.marklines.com/en/global/3049","Mercedes-Benz U.S. International (MBUSI), Tuscaloosa (Vance) Plant")</f>
        <v>Mercedes-Benz U.S. International (MBUSI), Tuscaloosa (Vance) Plant</v>
      </c>
      <c r="E983" s="8" t="s">
        <v>272</v>
      </c>
      <c r="F983" s="8" t="s">
        <v>19</v>
      </c>
      <c r="G983" s="8" t="s">
        <v>12</v>
      </c>
      <c r="H983" s="8" t="s">
        <v>273</v>
      </c>
      <c r="I983" s="10">
        <v>44850</v>
      </c>
      <c r="J983" s="8" t="s">
        <v>274</v>
      </c>
    </row>
    <row r="984" spans="1:10" x14ac:dyDescent="0.15">
      <c r="A984" s="7">
        <v>44851</v>
      </c>
      <c r="B984" s="8" t="s">
        <v>87</v>
      </c>
      <c r="C984" s="8" t="s">
        <v>88</v>
      </c>
      <c r="D984" s="9" t="str">
        <f>HYPERLINK("https://www.marklines.com/en/global/9826","Mercedes-Benz Battery Plant (Woodstock)")</f>
        <v>Mercedes-Benz Battery Plant (Woodstock)</v>
      </c>
      <c r="E984" s="8" t="s">
        <v>275</v>
      </c>
      <c r="F984" s="8" t="s">
        <v>19</v>
      </c>
      <c r="G984" s="8" t="s">
        <v>12</v>
      </c>
      <c r="H984" s="8" t="s">
        <v>273</v>
      </c>
      <c r="I984" s="10">
        <v>44850</v>
      </c>
      <c r="J984" s="8" t="s">
        <v>274</v>
      </c>
    </row>
    <row r="985" spans="1:10" x14ac:dyDescent="0.15">
      <c r="A985" s="7">
        <v>44851</v>
      </c>
      <c r="B985" s="8" t="s">
        <v>59</v>
      </c>
      <c r="C985" s="8" t="s">
        <v>265</v>
      </c>
      <c r="D985" s="9" t="str">
        <f>HYPERLINK("https://www.marklines.com/en/global/1931","Stellantis, Opel Espana de Automoviles, S.A., Zaragoza Plant")</f>
        <v>Stellantis, Opel Espana de Automoviles, S.A., Zaragoza Plant</v>
      </c>
      <c r="E985" s="8" t="s">
        <v>276</v>
      </c>
      <c r="F985" s="8" t="s">
        <v>20</v>
      </c>
      <c r="G985" s="8" t="s">
        <v>277</v>
      </c>
      <c r="H985" s="8"/>
      <c r="I985" s="10">
        <v>44848</v>
      </c>
      <c r="J985" s="8" t="s">
        <v>278</v>
      </c>
    </row>
    <row r="986" spans="1:10" x14ac:dyDescent="0.15">
      <c r="A986" s="7">
        <v>44851</v>
      </c>
      <c r="B986" s="8" t="s">
        <v>59</v>
      </c>
      <c r="C986" s="8" t="s">
        <v>266</v>
      </c>
      <c r="D986" s="9" t="str">
        <f>HYPERLINK("https://www.marklines.com/en/global/1931","Stellantis, Opel Espana de Automoviles, S.A., Zaragoza Plant")</f>
        <v>Stellantis, Opel Espana de Automoviles, S.A., Zaragoza Plant</v>
      </c>
      <c r="E986" s="8" t="s">
        <v>276</v>
      </c>
      <c r="F986" s="8" t="s">
        <v>20</v>
      </c>
      <c r="G986" s="8" t="s">
        <v>277</v>
      </c>
      <c r="H986" s="8"/>
      <c r="I986" s="10">
        <v>44848</v>
      </c>
      <c r="J986" s="8" t="s">
        <v>278</v>
      </c>
    </row>
    <row r="987" spans="1:10" x14ac:dyDescent="0.15">
      <c r="A987" s="7">
        <v>44851</v>
      </c>
      <c r="B987" s="8" t="s">
        <v>59</v>
      </c>
      <c r="C987" s="8" t="s">
        <v>62</v>
      </c>
      <c r="D987" s="9" t="str">
        <f>HYPERLINK("https://www.marklines.com/en/global/1931","Stellantis, Opel Espana de Automoviles, S.A., Zaragoza Plant")</f>
        <v>Stellantis, Opel Espana de Automoviles, S.A., Zaragoza Plant</v>
      </c>
      <c r="E987" s="8" t="s">
        <v>276</v>
      </c>
      <c r="F987" s="8" t="s">
        <v>20</v>
      </c>
      <c r="G987" s="8" t="s">
        <v>277</v>
      </c>
      <c r="H987" s="8"/>
      <c r="I987" s="10">
        <v>44848</v>
      </c>
      <c r="J987" s="8" t="s">
        <v>278</v>
      </c>
    </row>
    <row r="988" spans="1:10" x14ac:dyDescent="0.15">
      <c r="A988" s="7">
        <v>44851</v>
      </c>
      <c r="B988" s="8" t="s">
        <v>279</v>
      </c>
      <c r="C988" s="8" t="s">
        <v>279</v>
      </c>
      <c r="D988" s="9" t="str">
        <f>HYPERLINK("https://www.marklines.com/en/global/671","ZAO AvtoTOR, Kaliningrad Plant")</f>
        <v>ZAO AvtoTOR, Kaliningrad Plant</v>
      </c>
      <c r="E988" s="8" t="s">
        <v>280</v>
      </c>
      <c r="F988" s="8" t="s">
        <v>21</v>
      </c>
      <c r="G988" s="8" t="s">
        <v>16</v>
      </c>
      <c r="H988" s="8"/>
      <c r="I988" s="10">
        <v>44848</v>
      </c>
      <c r="J988" s="8" t="s">
        <v>281</v>
      </c>
    </row>
    <row r="989" spans="1:10" x14ac:dyDescent="0.15">
      <c r="A989" s="7">
        <v>44851</v>
      </c>
      <c r="B989" s="8" t="s">
        <v>56</v>
      </c>
      <c r="C989" s="8" t="s">
        <v>56</v>
      </c>
      <c r="D989" s="9" t="str">
        <f>HYPERLINK("https://www.marklines.com/en/global/1901","Ford Motor Spain, Valencia Plant")</f>
        <v>Ford Motor Spain, Valencia Plant</v>
      </c>
      <c r="E989" s="8" t="s">
        <v>282</v>
      </c>
      <c r="F989" s="8" t="s">
        <v>20</v>
      </c>
      <c r="G989" s="8" t="s">
        <v>277</v>
      </c>
      <c r="H989" s="8"/>
      <c r="I989" s="10">
        <v>44848</v>
      </c>
      <c r="J989" s="8" t="s">
        <v>283</v>
      </c>
    </row>
    <row r="990" spans="1:10" x14ac:dyDescent="0.15">
      <c r="A990" s="7">
        <v>44851</v>
      </c>
      <c r="B990" s="8" t="s">
        <v>85</v>
      </c>
      <c r="C990" s="8" t="s">
        <v>85</v>
      </c>
      <c r="D990" s="9" t="str">
        <f>HYPERLINK("https://www.marklines.com/en/global/663","Volvo Southern Africa (Pty) Ltd., Durban (Umbogintweni) Plant")</f>
        <v>Volvo Southern Africa (Pty) Ltd., Durban (Umbogintweni) Plant</v>
      </c>
      <c r="E990" s="8" t="s">
        <v>284</v>
      </c>
      <c r="F990" s="8" t="s">
        <v>129</v>
      </c>
      <c r="G990" s="8" t="s">
        <v>130</v>
      </c>
      <c r="H990" s="8"/>
      <c r="I990" s="10">
        <v>44847</v>
      </c>
      <c r="J990" s="8" t="s">
        <v>285</v>
      </c>
    </row>
    <row r="991" spans="1:10" x14ac:dyDescent="0.15">
      <c r="A991" s="7">
        <v>44851</v>
      </c>
      <c r="B991" s="8" t="s">
        <v>85</v>
      </c>
      <c r="C991" s="8" t="s">
        <v>162</v>
      </c>
      <c r="D991" s="9" t="str">
        <f>HYPERLINK("https://www.marklines.com/en/global/663","Volvo Southern Africa (Pty) Ltd., Durban (Umbogintweni) Plant")</f>
        <v>Volvo Southern Africa (Pty) Ltd., Durban (Umbogintweni) Plant</v>
      </c>
      <c r="E991" s="8" t="s">
        <v>284</v>
      </c>
      <c r="F991" s="8" t="s">
        <v>129</v>
      </c>
      <c r="G991" s="8" t="s">
        <v>130</v>
      </c>
      <c r="H991" s="8"/>
      <c r="I991" s="10">
        <v>44847</v>
      </c>
      <c r="J991" s="8" t="s">
        <v>285</v>
      </c>
    </row>
    <row r="992" spans="1:10" x14ac:dyDescent="0.15">
      <c r="A992" s="7">
        <v>44851</v>
      </c>
      <c r="B992" s="8" t="s">
        <v>15</v>
      </c>
      <c r="C992" s="8" t="s">
        <v>286</v>
      </c>
      <c r="D992" s="9" t="str">
        <f>HYPERLINK("https://www.marklines.com/en/global/10434","Irizar e-mobility, Aduna Plant")</f>
        <v>Irizar e-mobility, Aduna Plant</v>
      </c>
      <c r="E992" s="8" t="s">
        <v>287</v>
      </c>
      <c r="F992" s="8" t="s">
        <v>20</v>
      </c>
      <c r="G992" s="8" t="s">
        <v>277</v>
      </c>
      <c r="H992" s="8"/>
      <c r="I992" s="10">
        <v>44847</v>
      </c>
      <c r="J992" s="8" t="s">
        <v>288</v>
      </c>
    </row>
    <row r="993" spans="1:10" x14ac:dyDescent="0.15">
      <c r="A993" s="7">
        <v>44848</v>
      </c>
      <c r="B993" s="8" t="s">
        <v>289</v>
      </c>
      <c r="C993" s="8" t="s">
        <v>289</v>
      </c>
      <c r="D993" s="9" t="str">
        <f>HYPERLINK("https://www.marklines.com/en/global/10412","PVI- Groupe Renault (Renault vehicle Innovation) (Gretz Armainvilliers)")</f>
        <v>PVI- Groupe Renault (Renault vehicle Innovation) (Gretz Armainvilliers)</v>
      </c>
      <c r="E993" s="8" t="s">
        <v>290</v>
      </c>
      <c r="F993" s="8" t="s">
        <v>20</v>
      </c>
      <c r="G993" s="8" t="s">
        <v>86</v>
      </c>
      <c r="H993" s="8"/>
      <c r="I993" s="10">
        <v>44848</v>
      </c>
      <c r="J993" s="8" t="s">
        <v>291</v>
      </c>
    </row>
    <row r="994" spans="1:10" x14ac:dyDescent="0.15">
      <c r="A994" s="7">
        <v>44848</v>
      </c>
      <c r="B994" s="8" t="s">
        <v>289</v>
      </c>
      <c r="C994" s="8" t="s">
        <v>289</v>
      </c>
      <c r="D994" s="9" t="str">
        <f>HYPERLINK("https://www.marklines.com/en/global/165","SOVAB, Batilly Plant")</f>
        <v>SOVAB, Batilly Plant</v>
      </c>
      <c r="E994" s="8" t="s">
        <v>292</v>
      </c>
      <c r="F994" s="8" t="s">
        <v>20</v>
      </c>
      <c r="G994" s="8" t="s">
        <v>86</v>
      </c>
      <c r="H994" s="8"/>
      <c r="I994" s="10">
        <v>44848</v>
      </c>
      <c r="J994" s="8" t="s">
        <v>291</v>
      </c>
    </row>
    <row r="995" spans="1:10" x14ac:dyDescent="0.15">
      <c r="A995" s="7">
        <v>44848</v>
      </c>
      <c r="B995" s="8" t="s">
        <v>289</v>
      </c>
      <c r="C995" s="8" t="s">
        <v>289</v>
      </c>
      <c r="D995" s="9" t="str">
        <f>HYPERLINK("https://www.marklines.com/en/global/171","Renault S.A., Flins Plant - Refactory")</f>
        <v>Renault S.A., Flins Plant - Refactory</v>
      </c>
      <c r="E995" s="8" t="s">
        <v>293</v>
      </c>
      <c r="F995" s="8" t="s">
        <v>20</v>
      </c>
      <c r="G995" s="8" t="s">
        <v>86</v>
      </c>
      <c r="H995" s="8"/>
      <c r="I995" s="10">
        <v>44848</v>
      </c>
      <c r="J995" s="8" t="s">
        <v>291</v>
      </c>
    </row>
    <row r="996" spans="1:10" x14ac:dyDescent="0.15">
      <c r="A996" s="7">
        <v>44848</v>
      </c>
      <c r="B996" s="8" t="s">
        <v>11</v>
      </c>
      <c r="C996" s="8" t="s">
        <v>176</v>
      </c>
      <c r="D996" s="9" t="str">
        <f>HYPERLINK("https://www.marklines.com/en/global/1440","Temsa Transportation Vehicles, Adana Plant (Formerly Temsa Termomekanik, Adana Plant)")</f>
        <v>Temsa Transportation Vehicles, Adana Plant (Formerly Temsa Termomekanik, Adana Plant)</v>
      </c>
      <c r="E996" s="8" t="s">
        <v>294</v>
      </c>
      <c r="F996" s="8" t="s">
        <v>295</v>
      </c>
      <c r="G996" s="8" t="s">
        <v>296</v>
      </c>
      <c r="H996" s="8"/>
      <c r="I996" s="10">
        <v>44847</v>
      </c>
      <c r="J996" s="8" t="s">
        <v>297</v>
      </c>
    </row>
    <row r="997" spans="1:10" x14ac:dyDescent="0.15">
      <c r="A997" s="7">
        <v>44848</v>
      </c>
      <c r="B997" s="8" t="s">
        <v>15</v>
      </c>
      <c r="C997" s="8" t="s">
        <v>298</v>
      </c>
      <c r="D997" s="9" t="str">
        <f>HYPERLINK("https://www.marklines.com/en/global/1440","Temsa Transportation Vehicles, Adana Plant (Formerly Temsa Termomekanik, Adana Plant)")</f>
        <v>Temsa Transportation Vehicles, Adana Plant (Formerly Temsa Termomekanik, Adana Plant)</v>
      </c>
      <c r="E997" s="8" t="s">
        <v>294</v>
      </c>
      <c r="F997" s="8" t="s">
        <v>295</v>
      </c>
      <c r="G997" s="8" t="s">
        <v>296</v>
      </c>
      <c r="H997" s="8"/>
      <c r="I997" s="10">
        <v>44847</v>
      </c>
      <c r="J997" s="8" t="s">
        <v>297</v>
      </c>
    </row>
    <row r="998" spans="1:10" x14ac:dyDescent="0.15">
      <c r="A998" s="7">
        <v>44848</v>
      </c>
      <c r="B998" s="8" t="s">
        <v>73</v>
      </c>
      <c r="C998" s="8" t="s">
        <v>299</v>
      </c>
      <c r="D998" s="9" t="str">
        <f>HYPERLINK("https://www.marklines.com/en/global/1440","Temsa Transportation Vehicles, Adana Plant (Formerly Temsa Termomekanik, Adana Plant)")</f>
        <v>Temsa Transportation Vehicles, Adana Plant (Formerly Temsa Termomekanik, Adana Plant)</v>
      </c>
      <c r="E998" s="8" t="s">
        <v>294</v>
      </c>
      <c r="F998" s="8" t="s">
        <v>295</v>
      </c>
      <c r="G998" s="8" t="s">
        <v>296</v>
      </c>
      <c r="H998" s="8"/>
      <c r="I998" s="10">
        <v>44847</v>
      </c>
      <c r="J998" s="8" t="s">
        <v>297</v>
      </c>
    </row>
    <row r="999" spans="1:10" x14ac:dyDescent="0.15">
      <c r="A999" s="7">
        <v>44848</v>
      </c>
      <c r="B999" s="8" t="s">
        <v>59</v>
      </c>
      <c r="C999" s="8" t="s">
        <v>63</v>
      </c>
      <c r="D999" s="9" t="str">
        <f>HYPERLINK("https://www.marklines.com/en/global/9883","Stellantis, Peugeot Citroen Production Algeria (PCPA)")</f>
        <v>Stellantis, Peugeot Citroen Production Algeria (PCPA)</v>
      </c>
      <c r="E999" s="8" t="s">
        <v>300</v>
      </c>
      <c r="F999" s="8"/>
      <c r="G999" s="8" t="s">
        <v>301</v>
      </c>
      <c r="H999" s="8"/>
      <c r="I999" s="10">
        <v>44847</v>
      </c>
      <c r="J999" s="8" t="s">
        <v>302</v>
      </c>
    </row>
    <row r="1000" spans="1:10" x14ac:dyDescent="0.15">
      <c r="A1000" s="7">
        <v>44848</v>
      </c>
      <c r="B1000" s="8" t="s">
        <v>59</v>
      </c>
      <c r="C1000" s="8" t="s">
        <v>59</v>
      </c>
      <c r="D1000" s="9" t="str">
        <f>HYPERLINK("https://www.marklines.com/en/global/9883","Stellantis, Peugeot Citroen Production Algeria (PCPA)")</f>
        <v>Stellantis, Peugeot Citroen Production Algeria (PCPA)</v>
      </c>
      <c r="E1000" s="8" t="s">
        <v>300</v>
      </c>
      <c r="F1000" s="8"/>
      <c r="G1000" s="8" t="s">
        <v>301</v>
      </c>
      <c r="H1000" s="8"/>
      <c r="I1000" s="10">
        <v>44847</v>
      </c>
      <c r="J1000" s="8" t="s">
        <v>302</v>
      </c>
    </row>
    <row r="1001" spans="1:10" x14ac:dyDescent="0.15">
      <c r="A1001" s="7">
        <v>44848</v>
      </c>
      <c r="B1001" s="8" t="s">
        <v>97</v>
      </c>
      <c r="C1001" s="8" t="s">
        <v>97</v>
      </c>
      <c r="D1001" s="9" t="str">
        <f>HYPERLINK("https://www.marklines.com/en/global/171","Renault S.A., Flins Plant - Refactory")</f>
        <v>Renault S.A., Flins Plant - Refactory</v>
      </c>
      <c r="E1001" s="8" t="s">
        <v>293</v>
      </c>
      <c r="F1001" s="8" t="s">
        <v>20</v>
      </c>
      <c r="G1001" s="8" t="s">
        <v>86</v>
      </c>
      <c r="H1001" s="8"/>
      <c r="I1001" s="10">
        <v>44847</v>
      </c>
      <c r="J1001" s="8" t="s">
        <v>303</v>
      </c>
    </row>
    <row r="1002" spans="1:10" x14ac:dyDescent="0.15">
      <c r="A1002" s="7">
        <v>44848</v>
      </c>
      <c r="B1002" s="8" t="s">
        <v>289</v>
      </c>
      <c r="C1002" s="8" t="s">
        <v>289</v>
      </c>
      <c r="D1002" s="9" t="str">
        <f>HYPERLINK("https://www.marklines.com/en/global/171","Renault S.A., Flins Plant - Refactory")</f>
        <v>Renault S.A., Flins Plant - Refactory</v>
      </c>
      <c r="E1002" s="8" t="s">
        <v>293</v>
      </c>
      <c r="F1002" s="8" t="s">
        <v>20</v>
      </c>
      <c r="G1002" s="8" t="s">
        <v>86</v>
      </c>
      <c r="H1002" s="8"/>
      <c r="I1002" s="10">
        <v>44847</v>
      </c>
      <c r="J1002" s="8" t="s">
        <v>303</v>
      </c>
    </row>
    <row r="1003" spans="1:10" x14ac:dyDescent="0.15">
      <c r="A1003" s="7">
        <v>44848</v>
      </c>
      <c r="B1003" s="8" t="s">
        <v>17</v>
      </c>
      <c r="C1003" s="8" t="s">
        <v>17</v>
      </c>
      <c r="D1003" s="9" t="str">
        <f>HYPERLINK("https://www.marklines.com/en/global/3109","Honda of America Manufacturing Inc., Marysville Plant")</f>
        <v>Honda of America Manufacturing Inc., Marysville Plant</v>
      </c>
      <c r="E1003" s="8" t="s">
        <v>304</v>
      </c>
      <c r="F1003" s="8" t="s">
        <v>19</v>
      </c>
      <c r="G1003" s="8" t="s">
        <v>12</v>
      </c>
      <c r="H1003" s="8" t="s">
        <v>48</v>
      </c>
      <c r="I1003" s="10">
        <v>44847</v>
      </c>
      <c r="J1003" s="8" t="s">
        <v>305</v>
      </c>
    </row>
    <row r="1004" spans="1:10" x14ac:dyDescent="0.15">
      <c r="A1004" s="7">
        <v>44848</v>
      </c>
      <c r="B1004" s="8" t="s">
        <v>17</v>
      </c>
      <c r="C1004" s="8" t="s">
        <v>17</v>
      </c>
      <c r="D1004" s="9" t="str">
        <f>HYPERLINK("https://www.marklines.com/en/global/3111","Honda of America Manufacturing Inc., East Liberty Plant")</f>
        <v>Honda of America Manufacturing Inc., East Liberty Plant</v>
      </c>
      <c r="E1004" s="8" t="s">
        <v>306</v>
      </c>
      <c r="F1004" s="8" t="s">
        <v>19</v>
      </c>
      <c r="G1004" s="8" t="s">
        <v>12</v>
      </c>
      <c r="H1004" s="8" t="s">
        <v>48</v>
      </c>
      <c r="I1004" s="10">
        <v>44847</v>
      </c>
      <c r="J1004" s="8" t="s">
        <v>305</v>
      </c>
    </row>
    <row r="1005" spans="1:10" x14ac:dyDescent="0.15">
      <c r="A1005" s="7">
        <v>44848</v>
      </c>
      <c r="B1005" s="8" t="s">
        <v>17</v>
      </c>
      <c r="C1005" s="8" t="s">
        <v>17</v>
      </c>
      <c r="D1005" s="9" t="str">
        <f>HYPERLINK("https://www.marklines.com/en/global/3113","Honda of America Manufacturing Inc., Anna Plant")</f>
        <v>Honda of America Manufacturing Inc., Anna Plant</v>
      </c>
      <c r="E1005" s="8" t="s">
        <v>307</v>
      </c>
      <c r="F1005" s="8" t="s">
        <v>19</v>
      </c>
      <c r="G1005" s="8" t="s">
        <v>12</v>
      </c>
      <c r="H1005" s="8" t="s">
        <v>48</v>
      </c>
      <c r="I1005" s="10">
        <v>44847</v>
      </c>
      <c r="J1005" s="8" t="s">
        <v>305</v>
      </c>
    </row>
    <row r="1006" spans="1:10" x14ac:dyDescent="0.15">
      <c r="A1006" s="7">
        <v>44848</v>
      </c>
      <c r="B1006" s="8" t="s">
        <v>17</v>
      </c>
      <c r="C1006" s="8" t="s">
        <v>308</v>
      </c>
      <c r="D1006" s="9" t="str">
        <f>HYPERLINK("https://www.marklines.com/en/global/3109","Honda of America Manufacturing Inc., Marysville Plant")</f>
        <v>Honda of America Manufacturing Inc., Marysville Plant</v>
      </c>
      <c r="E1006" s="8" t="s">
        <v>304</v>
      </c>
      <c r="F1006" s="8" t="s">
        <v>19</v>
      </c>
      <c r="G1006" s="8" t="s">
        <v>12</v>
      </c>
      <c r="H1006" s="8" t="s">
        <v>48</v>
      </c>
      <c r="I1006" s="10">
        <v>44847</v>
      </c>
      <c r="J1006" s="8" t="s">
        <v>305</v>
      </c>
    </row>
    <row r="1007" spans="1:10" x14ac:dyDescent="0.15">
      <c r="A1007" s="7">
        <v>44848</v>
      </c>
      <c r="B1007" s="8" t="s">
        <v>17</v>
      </c>
      <c r="C1007" s="8" t="s">
        <v>308</v>
      </c>
      <c r="D1007" s="9" t="str">
        <f>HYPERLINK("https://www.marklines.com/en/global/3111","Honda of America Manufacturing Inc., East Liberty Plant")</f>
        <v>Honda of America Manufacturing Inc., East Liberty Plant</v>
      </c>
      <c r="E1007" s="8" t="s">
        <v>306</v>
      </c>
      <c r="F1007" s="8" t="s">
        <v>19</v>
      </c>
      <c r="G1007" s="8" t="s">
        <v>12</v>
      </c>
      <c r="H1007" s="8" t="s">
        <v>48</v>
      </c>
      <c r="I1007" s="10">
        <v>44847</v>
      </c>
      <c r="J1007" s="8" t="s">
        <v>305</v>
      </c>
    </row>
    <row r="1008" spans="1:10" x14ac:dyDescent="0.15">
      <c r="A1008" s="7">
        <v>44848</v>
      </c>
      <c r="B1008" s="8" t="s">
        <v>15</v>
      </c>
      <c r="C1008" s="8" t="s">
        <v>111</v>
      </c>
      <c r="D1008" s="9" t="str">
        <f>HYPERLINK("https://www.marklines.com/en/global/1695","Solaris Bus &amp; Coach sp. z o.o., Bolechowo Plant (formerly Solaris Bus &amp; Coach S.A.) ")</f>
        <v xml:space="preserve">Solaris Bus &amp; Coach sp. z o.o., Bolechowo Plant (formerly Solaris Bus &amp; Coach S.A.) </v>
      </c>
      <c r="E1008" s="8" t="s">
        <v>112</v>
      </c>
      <c r="F1008" s="8" t="s">
        <v>21</v>
      </c>
      <c r="G1008" s="8" t="s">
        <v>93</v>
      </c>
      <c r="H1008" s="8"/>
      <c r="I1008" s="10">
        <v>44846</v>
      </c>
      <c r="J1008" s="8" t="s">
        <v>309</v>
      </c>
    </row>
    <row r="1009" spans="1:10" x14ac:dyDescent="0.15">
      <c r="A1009" s="7">
        <v>44848</v>
      </c>
      <c r="B1009" s="8" t="s">
        <v>52</v>
      </c>
      <c r="C1009" s="8" t="s">
        <v>91</v>
      </c>
      <c r="D1009" s="9" t="str">
        <f>HYPERLINK("https://www.marklines.com/en/global/2647","Stellantis, FCA US, Warren Truck Assembly Plant")</f>
        <v>Stellantis, FCA US, Warren Truck Assembly Plant</v>
      </c>
      <c r="E1009" s="8" t="s">
        <v>310</v>
      </c>
      <c r="F1009" s="8" t="s">
        <v>19</v>
      </c>
      <c r="G1009" s="8" t="s">
        <v>12</v>
      </c>
      <c r="H1009" s="8" t="s">
        <v>13</v>
      </c>
      <c r="I1009" s="10">
        <v>44846</v>
      </c>
      <c r="J1009" s="8" t="s">
        <v>311</v>
      </c>
    </row>
    <row r="1010" spans="1:10" x14ac:dyDescent="0.15">
      <c r="A1010" s="7">
        <v>44848</v>
      </c>
      <c r="B1010" s="8" t="s">
        <v>52</v>
      </c>
      <c r="C1010" s="8" t="s">
        <v>312</v>
      </c>
      <c r="D1010" s="9" t="str">
        <f>HYPERLINK("https://www.marklines.com/en/global/2647","Stellantis, FCA US, Warren Truck Assembly Plant")</f>
        <v>Stellantis, FCA US, Warren Truck Assembly Plant</v>
      </c>
      <c r="E1010" s="8" t="s">
        <v>310</v>
      </c>
      <c r="F1010" s="8" t="s">
        <v>19</v>
      </c>
      <c r="G1010" s="8" t="s">
        <v>12</v>
      </c>
      <c r="H1010" s="8" t="s">
        <v>13</v>
      </c>
      <c r="I1010" s="10">
        <v>44846</v>
      </c>
      <c r="J1010" s="8" t="s">
        <v>311</v>
      </c>
    </row>
    <row r="1011" spans="1:10" x14ac:dyDescent="0.15">
      <c r="A1011" s="7">
        <v>44848</v>
      </c>
      <c r="B1011" s="8" t="s">
        <v>59</v>
      </c>
      <c r="C1011" s="8" t="s">
        <v>59</v>
      </c>
      <c r="D1011" s="9" t="str">
        <f>HYPERLINK("https://www.marklines.com/en/global/2647","Stellantis, FCA US, Warren Truck Assembly Plant")</f>
        <v>Stellantis, FCA US, Warren Truck Assembly Plant</v>
      </c>
      <c r="E1011" s="8" t="s">
        <v>310</v>
      </c>
      <c r="F1011" s="8" t="s">
        <v>19</v>
      </c>
      <c r="G1011" s="8" t="s">
        <v>12</v>
      </c>
      <c r="H1011" s="8" t="s">
        <v>13</v>
      </c>
      <c r="I1011" s="10">
        <v>44846</v>
      </c>
      <c r="J1011" s="8" t="s">
        <v>311</v>
      </c>
    </row>
    <row r="1012" spans="1:10" x14ac:dyDescent="0.15">
      <c r="A1012" s="7">
        <v>44848</v>
      </c>
      <c r="B1012" s="8" t="s">
        <v>73</v>
      </c>
      <c r="C1012" s="8" t="s">
        <v>313</v>
      </c>
      <c r="D1012" s="9" t="str">
        <f>HYPERLINK("https://www.marklines.com/en/global/3069","Thomas Built Buses, Inc., High Point Plant")</f>
        <v>Thomas Built Buses, Inc., High Point Plant</v>
      </c>
      <c r="E1012" s="8" t="s">
        <v>314</v>
      </c>
      <c r="F1012" s="8" t="s">
        <v>19</v>
      </c>
      <c r="G1012" s="8" t="s">
        <v>12</v>
      </c>
      <c r="H1012" s="8" t="s">
        <v>315</v>
      </c>
      <c r="I1012" s="10">
        <v>44846</v>
      </c>
      <c r="J1012" s="8" t="s">
        <v>316</v>
      </c>
    </row>
    <row r="1013" spans="1:10" x14ac:dyDescent="0.15">
      <c r="A1013" s="7">
        <v>44848</v>
      </c>
      <c r="B1013" s="8" t="s">
        <v>319</v>
      </c>
      <c r="C1013" s="8" t="s">
        <v>319</v>
      </c>
      <c r="D1013" s="9" t="str">
        <f>HYPERLINK("https://www.marklines.com/en/global/9","China Motor, Hsinchu Plant")</f>
        <v>China Motor, Hsinchu Plant</v>
      </c>
      <c r="E1013" s="8" t="s">
        <v>317</v>
      </c>
      <c r="F1013" s="8" t="s">
        <v>25</v>
      </c>
      <c r="G1013" s="8" t="s">
        <v>318</v>
      </c>
      <c r="H1013" s="8"/>
      <c r="I1013" s="10">
        <v>44841</v>
      </c>
      <c r="J1013" s="8" t="s">
        <v>626</v>
      </c>
    </row>
    <row r="1014" spans="1:10" x14ac:dyDescent="0.15">
      <c r="A1014" s="7">
        <v>44848</v>
      </c>
      <c r="B1014" s="8" t="s">
        <v>30</v>
      </c>
      <c r="C1014" s="8" t="s">
        <v>320</v>
      </c>
      <c r="D1014" s="9" t="str">
        <f>HYPERLINK("https://www.marklines.com/en/global/539","Daihatsu Motor, Head (Ikeda) Plant")</f>
        <v>Daihatsu Motor, Head (Ikeda) Plant</v>
      </c>
      <c r="E1014" s="8" t="s">
        <v>321</v>
      </c>
      <c r="F1014" s="8" t="s">
        <v>25</v>
      </c>
      <c r="G1014" s="8" t="s">
        <v>31</v>
      </c>
      <c r="H1014" s="8" t="s">
        <v>322</v>
      </c>
      <c r="I1014" s="10">
        <v>44841</v>
      </c>
      <c r="J1014" s="8" t="s">
        <v>323</v>
      </c>
    </row>
    <row r="1015" spans="1:10" x14ac:dyDescent="0.15">
      <c r="A1015" s="7">
        <v>44848</v>
      </c>
      <c r="B1015" s="8" t="s">
        <v>30</v>
      </c>
      <c r="C1015" s="8" t="s">
        <v>320</v>
      </c>
      <c r="D1015" s="9" t="str">
        <f>HYPERLINK("https://www.marklines.com/en/global/541","Daihatsu Motor, Kyoto (Oyamazaki) Plant")</f>
        <v>Daihatsu Motor, Kyoto (Oyamazaki) Plant</v>
      </c>
      <c r="E1015" s="8" t="s">
        <v>324</v>
      </c>
      <c r="F1015" s="8" t="s">
        <v>25</v>
      </c>
      <c r="G1015" s="8" t="s">
        <v>31</v>
      </c>
      <c r="H1015" s="8" t="s">
        <v>325</v>
      </c>
      <c r="I1015" s="10">
        <v>44841</v>
      </c>
      <c r="J1015" s="8" t="s">
        <v>323</v>
      </c>
    </row>
    <row r="1016" spans="1:10" x14ac:dyDescent="0.15">
      <c r="A1016" s="7">
        <v>44848</v>
      </c>
      <c r="B1016" s="8" t="s">
        <v>30</v>
      </c>
      <c r="C1016" s="8" t="s">
        <v>30</v>
      </c>
      <c r="D1016" s="9" t="str">
        <f>HYPERLINK("https://www.marklines.com/en/global/373","Toyota Motor, Motomachi Plant")</f>
        <v>Toyota Motor, Motomachi Plant</v>
      </c>
      <c r="E1016" s="8" t="s">
        <v>36</v>
      </c>
      <c r="F1016" s="8" t="s">
        <v>25</v>
      </c>
      <c r="G1016" s="8" t="s">
        <v>31</v>
      </c>
      <c r="H1016" s="8" t="s">
        <v>32</v>
      </c>
      <c r="I1016" s="10">
        <v>44840</v>
      </c>
      <c r="J1016" s="8" t="s">
        <v>326</v>
      </c>
    </row>
    <row r="1017" spans="1:10" x14ac:dyDescent="0.15">
      <c r="A1017" s="7">
        <v>44848</v>
      </c>
      <c r="B1017" s="8" t="s">
        <v>327</v>
      </c>
      <c r="C1017" s="8" t="s">
        <v>327</v>
      </c>
      <c r="D1017" s="9" t="str">
        <f>HYPERLINK("https://www.marklines.com/en/global/4512","Tesla Gigafactory")</f>
        <v>Tesla Gigafactory</v>
      </c>
      <c r="E1017" s="8" t="s">
        <v>328</v>
      </c>
      <c r="F1017" s="8" t="s">
        <v>19</v>
      </c>
      <c r="G1017" s="8" t="s">
        <v>12</v>
      </c>
      <c r="H1017" s="8" t="s">
        <v>329</v>
      </c>
      <c r="I1017" s="10">
        <v>44840</v>
      </c>
      <c r="J1017" s="8" t="s">
        <v>330</v>
      </c>
    </row>
    <row r="1018" spans="1:10" x14ac:dyDescent="0.15">
      <c r="A1018" s="7">
        <v>44848</v>
      </c>
      <c r="B1018" s="8" t="s">
        <v>327</v>
      </c>
      <c r="C1018" s="8" t="s">
        <v>327</v>
      </c>
      <c r="D1018" s="9" t="str">
        <f>HYPERLINK("https://www.marklines.com/en/global/10321","Tesla Gigafactory Texas")</f>
        <v>Tesla Gigafactory Texas</v>
      </c>
      <c r="E1018" s="8" t="s">
        <v>331</v>
      </c>
      <c r="F1018" s="8" t="s">
        <v>19</v>
      </c>
      <c r="G1018" s="8" t="s">
        <v>12</v>
      </c>
      <c r="H1018" s="8" t="s">
        <v>332</v>
      </c>
      <c r="I1018" s="10">
        <v>44840</v>
      </c>
      <c r="J1018" s="8" t="s">
        <v>330</v>
      </c>
    </row>
    <row r="1019" spans="1:10" x14ac:dyDescent="0.15">
      <c r="A1019" s="7">
        <v>44848</v>
      </c>
      <c r="B1019" s="8" t="s">
        <v>11</v>
      </c>
      <c r="C1019" s="8" t="s">
        <v>333</v>
      </c>
      <c r="D1019" s="9" t="str">
        <f>HYPERLINK("https://www.marklines.com/en/global/2881","Volkswagen Truck &amp; Bus (VWTB) / Volkswagen Caminhões e Ônibus (VWCO), Resende Plant (formerly MAN Latin America Indústira e Comércio de Veículos, Ltda.)")</f>
        <v>Volkswagen Truck &amp; Bus (VWTB) / Volkswagen Caminhões e Ônibus (VWCO), Resende Plant (formerly MAN Latin America Indústira e Comércio de Veículos, Ltda.)</v>
      </c>
      <c r="E1019" s="8" t="s">
        <v>334</v>
      </c>
      <c r="F1019" s="8" t="s">
        <v>24</v>
      </c>
      <c r="G1019" s="8" t="s">
        <v>68</v>
      </c>
      <c r="H1019" s="8"/>
      <c r="I1019" s="10">
        <v>44840</v>
      </c>
      <c r="J1019" s="8" t="s">
        <v>335</v>
      </c>
    </row>
    <row r="1020" spans="1:10" x14ac:dyDescent="0.15">
      <c r="A1020" s="7">
        <v>44848</v>
      </c>
      <c r="B1020" s="8" t="s">
        <v>11</v>
      </c>
      <c r="C1020" s="8" t="s">
        <v>336</v>
      </c>
      <c r="D1020" s="9" t="str">
        <f>HYPERLINK("https://www.marklines.com/en/global/2881","Volkswagen Truck &amp; Bus (VWTB) / Volkswagen Caminhões e Ônibus (VWCO), Resende Plant (formerly MAN Latin America Indústira e Comércio de Veículos, Ltda.)")</f>
        <v>Volkswagen Truck &amp; Bus (VWTB) / Volkswagen Caminhões e Ônibus (VWCO), Resende Plant (formerly MAN Latin America Indústira e Comércio de Veículos, Ltda.)</v>
      </c>
      <c r="E1020" s="8" t="s">
        <v>334</v>
      </c>
      <c r="F1020" s="8" t="s">
        <v>24</v>
      </c>
      <c r="G1020" s="8" t="s">
        <v>68</v>
      </c>
      <c r="H1020" s="8"/>
      <c r="I1020" s="10">
        <v>44840</v>
      </c>
      <c r="J1020" s="8" t="s">
        <v>335</v>
      </c>
    </row>
    <row r="1021" spans="1:10" x14ac:dyDescent="0.15">
      <c r="A1021" s="7">
        <v>44847</v>
      </c>
      <c r="B1021" s="8" t="s">
        <v>87</v>
      </c>
      <c r="C1021" s="8" t="s">
        <v>88</v>
      </c>
      <c r="D1021" s="9" t="str">
        <f>HYPERLINK("https://www.marklines.com/en/global/10274","Automotive Cell Company (ACC)")</f>
        <v>Automotive Cell Company (ACC)</v>
      </c>
      <c r="E1021" s="8" t="s">
        <v>206</v>
      </c>
      <c r="F1021" s="8" t="s">
        <v>20</v>
      </c>
      <c r="G1021" s="8" t="s">
        <v>86</v>
      </c>
      <c r="H1021" s="8"/>
      <c r="I1021" s="10">
        <v>44847</v>
      </c>
      <c r="J1021" s="8" t="s">
        <v>337</v>
      </c>
    </row>
    <row r="1022" spans="1:10" x14ac:dyDescent="0.15">
      <c r="A1022" s="7">
        <v>44847</v>
      </c>
      <c r="B1022" s="8" t="s">
        <v>59</v>
      </c>
      <c r="C1022" s="8" t="s">
        <v>265</v>
      </c>
      <c r="D1022" s="9" t="str">
        <f>HYPERLINK("https://www.marklines.com/en/global/10274","Automotive Cell Company (ACC)")</f>
        <v>Automotive Cell Company (ACC)</v>
      </c>
      <c r="E1022" s="8" t="s">
        <v>206</v>
      </c>
      <c r="F1022" s="8" t="s">
        <v>20</v>
      </c>
      <c r="G1022" s="8" t="s">
        <v>86</v>
      </c>
      <c r="H1022" s="8"/>
      <c r="I1022" s="10">
        <v>44847</v>
      </c>
      <c r="J1022" s="8" t="s">
        <v>337</v>
      </c>
    </row>
    <row r="1023" spans="1:10" x14ac:dyDescent="0.15">
      <c r="A1023" s="7">
        <v>44847</v>
      </c>
      <c r="B1023" s="8" t="s">
        <v>59</v>
      </c>
      <c r="C1023" s="8" t="s">
        <v>265</v>
      </c>
      <c r="D1023" s="9" t="str">
        <f>HYPERLINK("https://www.marklines.com/en/global/2257","Stellantis, Opel Automobile GmbH, Kaiserslautern Powertrain Plant (Former GM Powertrain Germany, Kaiserslautern Powertrain Plant)")</f>
        <v>Stellantis, Opel Automobile GmbH, Kaiserslautern Powertrain Plant (Former GM Powertrain Germany, Kaiserslautern Powertrain Plant)</v>
      </c>
      <c r="E1023" s="8" t="s">
        <v>338</v>
      </c>
      <c r="F1023" s="8" t="s">
        <v>20</v>
      </c>
      <c r="G1023" s="8" t="s">
        <v>29</v>
      </c>
      <c r="H1023" s="8"/>
      <c r="I1023" s="10">
        <v>44847</v>
      </c>
      <c r="J1023" s="8" t="s">
        <v>337</v>
      </c>
    </row>
    <row r="1024" spans="1:10" x14ac:dyDescent="0.15">
      <c r="A1024" s="7">
        <v>44847</v>
      </c>
      <c r="B1024" s="8" t="s">
        <v>59</v>
      </c>
      <c r="C1024" s="8" t="s">
        <v>266</v>
      </c>
      <c r="D1024" s="9" t="str">
        <f>HYPERLINK("https://www.marklines.com/en/global/10274","Automotive Cell Company (ACC)")</f>
        <v>Automotive Cell Company (ACC)</v>
      </c>
      <c r="E1024" s="8" t="s">
        <v>206</v>
      </c>
      <c r="F1024" s="8" t="s">
        <v>20</v>
      </c>
      <c r="G1024" s="8" t="s">
        <v>86</v>
      </c>
      <c r="H1024" s="8"/>
      <c r="I1024" s="10">
        <v>44847</v>
      </c>
      <c r="J1024" s="8" t="s">
        <v>337</v>
      </c>
    </row>
    <row r="1025" spans="1:10" x14ac:dyDescent="0.15">
      <c r="A1025" s="7">
        <v>44847</v>
      </c>
      <c r="B1025" s="8" t="s">
        <v>59</v>
      </c>
      <c r="C1025" s="8" t="s">
        <v>60</v>
      </c>
      <c r="D1025" s="9" t="str">
        <f>HYPERLINK("https://www.marklines.com/en/global/10274","Automotive Cell Company (ACC)")</f>
        <v>Automotive Cell Company (ACC)</v>
      </c>
      <c r="E1025" s="8" t="s">
        <v>206</v>
      </c>
      <c r="F1025" s="8" t="s">
        <v>20</v>
      </c>
      <c r="G1025" s="8" t="s">
        <v>86</v>
      </c>
      <c r="H1025" s="8"/>
      <c r="I1025" s="10">
        <v>44847</v>
      </c>
      <c r="J1025" s="8" t="s">
        <v>337</v>
      </c>
    </row>
    <row r="1026" spans="1:10" x14ac:dyDescent="0.15">
      <c r="A1026" s="7">
        <v>44847</v>
      </c>
      <c r="B1026" s="8" t="s">
        <v>59</v>
      </c>
      <c r="C1026" s="8" t="s">
        <v>60</v>
      </c>
      <c r="D1026" s="9" t="str">
        <f>HYPERLINK("https://www.marklines.com/en/global/99","Stellantis, La Francaise de Mecanique, Douvrin Plant")</f>
        <v>Stellantis, La Francaise de Mecanique, Douvrin Plant</v>
      </c>
      <c r="E1026" s="8" t="s">
        <v>339</v>
      </c>
      <c r="F1026" s="8" t="s">
        <v>20</v>
      </c>
      <c r="G1026" s="8" t="s">
        <v>86</v>
      </c>
      <c r="H1026" s="8"/>
      <c r="I1026" s="10">
        <v>44847</v>
      </c>
      <c r="J1026" s="8" t="s">
        <v>337</v>
      </c>
    </row>
    <row r="1027" spans="1:10" x14ac:dyDescent="0.15">
      <c r="A1027" s="7">
        <v>44847</v>
      </c>
      <c r="B1027" s="8" t="s">
        <v>59</v>
      </c>
      <c r="C1027" s="8" t="s">
        <v>62</v>
      </c>
      <c r="D1027" s="9" t="str">
        <f>HYPERLINK("https://www.marklines.com/en/global/10274","Automotive Cell Company (ACC)")</f>
        <v>Automotive Cell Company (ACC)</v>
      </c>
      <c r="E1027" s="8" t="s">
        <v>206</v>
      </c>
      <c r="F1027" s="8" t="s">
        <v>20</v>
      </c>
      <c r="G1027" s="8" t="s">
        <v>86</v>
      </c>
      <c r="H1027" s="8"/>
      <c r="I1027" s="10">
        <v>44847</v>
      </c>
      <c r="J1027" s="8" t="s">
        <v>337</v>
      </c>
    </row>
    <row r="1028" spans="1:10" x14ac:dyDescent="0.15">
      <c r="A1028" s="7">
        <v>44847</v>
      </c>
      <c r="B1028" s="8" t="s">
        <v>59</v>
      </c>
      <c r="C1028" s="8" t="s">
        <v>62</v>
      </c>
      <c r="D1028" s="9" t="str">
        <f>HYPERLINK("https://www.marklines.com/en/global/99","Stellantis, La Francaise de Mecanique, Douvrin Plant")</f>
        <v>Stellantis, La Francaise de Mecanique, Douvrin Plant</v>
      </c>
      <c r="E1028" s="8" t="s">
        <v>339</v>
      </c>
      <c r="F1028" s="8" t="s">
        <v>20</v>
      </c>
      <c r="G1028" s="8" t="s">
        <v>86</v>
      </c>
      <c r="H1028" s="8"/>
      <c r="I1028" s="10">
        <v>44847</v>
      </c>
      <c r="J1028" s="8" t="s">
        <v>337</v>
      </c>
    </row>
    <row r="1029" spans="1:10" x14ac:dyDescent="0.15">
      <c r="A1029" s="7">
        <v>44847</v>
      </c>
      <c r="B1029" s="8" t="s">
        <v>59</v>
      </c>
      <c r="C1029" s="8" t="s">
        <v>159</v>
      </c>
      <c r="D1029" s="9" t="str">
        <f>HYPERLINK("https://www.marklines.com/en/global/10274","Automotive Cell Company (ACC)")</f>
        <v>Automotive Cell Company (ACC)</v>
      </c>
      <c r="E1029" s="8" t="s">
        <v>206</v>
      </c>
      <c r="F1029" s="8" t="s">
        <v>20</v>
      </c>
      <c r="G1029" s="8" t="s">
        <v>86</v>
      </c>
      <c r="H1029" s="8"/>
      <c r="I1029" s="10">
        <v>44847</v>
      </c>
      <c r="J1029" s="8" t="s">
        <v>337</v>
      </c>
    </row>
    <row r="1030" spans="1:10" x14ac:dyDescent="0.15">
      <c r="A1030" s="7">
        <v>44847</v>
      </c>
      <c r="B1030" s="8" t="s">
        <v>59</v>
      </c>
      <c r="C1030" s="8" t="s">
        <v>159</v>
      </c>
      <c r="D1030" s="9" t="str">
        <f>HYPERLINK("https://www.marklines.com/en/global/99","Stellantis, La Francaise de Mecanique, Douvrin Plant")</f>
        <v>Stellantis, La Francaise de Mecanique, Douvrin Plant</v>
      </c>
      <c r="E1030" s="8" t="s">
        <v>339</v>
      </c>
      <c r="F1030" s="8" t="s">
        <v>20</v>
      </c>
      <c r="G1030" s="8" t="s">
        <v>86</v>
      </c>
      <c r="H1030" s="8"/>
      <c r="I1030" s="10">
        <v>44847</v>
      </c>
      <c r="J1030" s="8" t="s">
        <v>337</v>
      </c>
    </row>
    <row r="1031" spans="1:10" x14ac:dyDescent="0.15">
      <c r="A1031" s="7">
        <v>44847</v>
      </c>
      <c r="B1031" s="8" t="s">
        <v>59</v>
      </c>
      <c r="C1031" s="8" t="s">
        <v>63</v>
      </c>
      <c r="D1031" s="9" t="str">
        <f>HYPERLINK("https://www.marklines.com/en/global/1343","Stellantis, Fiat Powertrain Technologies, Termoli Plant")</f>
        <v>Stellantis, Fiat Powertrain Technologies, Termoli Plant</v>
      </c>
      <c r="E1031" s="8" t="s">
        <v>340</v>
      </c>
      <c r="F1031" s="8" t="s">
        <v>20</v>
      </c>
      <c r="G1031" s="8" t="s">
        <v>110</v>
      </c>
      <c r="H1031" s="8"/>
      <c r="I1031" s="10">
        <v>44847</v>
      </c>
      <c r="J1031" s="8" t="s">
        <v>337</v>
      </c>
    </row>
    <row r="1032" spans="1:10" x14ac:dyDescent="0.15">
      <c r="A1032" s="7">
        <v>44847</v>
      </c>
      <c r="B1032" s="8" t="s">
        <v>59</v>
      </c>
      <c r="C1032" s="8" t="s">
        <v>169</v>
      </c>
      <c r="D1032" s="9" t="str">
        <f>HYPERLINK("https://www.marklines.com/en/global/1343","Stellantis, Fiat Powertrain Technologies, Termoli Plant")</f>
        <v>Stellantis, Fiat Powertrain Technologies, Termoli Plant</v>
      </c>
      <c r="E1032" s="8" t="s">
        <v>340</v>
      </c>
      <c r="F1032" s="8" t="s">
        <v>20</v>
      </c>
      <c r="G1032" s="8" t="s">
        <v>110</v>
      </c>
      <c r="H1032" s="8"/>
      <c r="I1032" s="10">
        <v>44847</v>
      </c>
      <c r="J1032" s="8" t="s">
        <v>337</v>
      </c>
    </row>
    <row r="1033" spans="1:10" x14ac:dyDescent="0.15">
      <c r="A1033" s="7">
        <v>44847</v>
      </c>
      <c r="B1033" s="8" t="s">
        <v>11</v>
      </c>
      <c r="C1033" s="8" t="s">
        <v>341</v>
      </c>
      <c r="D1033" s="9" t="str">
        <f>HYPERLINK("https://www.marklines.com/en/global/1679","MAN Bus Sp. z o.o. Starachowice Plant")</f>
        <v>MAN Bus Sp. z o.o. Starachowice Plant</v>
      </c>
      <c r="E1033" s="8" t="s">
        <v>342</v>
      </c>
      <c r="F1033" s="8" t="s">
        <v>21</v>
      </c>
      <c r="G1033" s="8" t="s">
        <v>93</v>
      </c>
      <c r="H1033" s="8"/>
      <c r="I1033" s="10">
        <v>44847</v>
      </c>
      <c r="J1033" s="8" t="s">
        <v>343</v>
      </c>
    </row>
    <row r="1034" spans="1:10" x14ac:dyDescent="0.15">
      <c r="A1034" s="7">
        <v>44847</v>
      </c>
      <c r="B1034" s="8" t="s">
        <v>344</v>
      </c>
      <c r="C1034" s="8" t="s">
        <v>345</v>
      </c>
      <c r="D1034" s="9" t="str">
        <f>HYPERLINK("https://www.marklines.com/en/global/675","AvtoVAZ, Togliatti Plant")</f>
        <v>AvtoVAZ, Togliatti Plant</v>
      </c>
      <c r="E1034" s="8" t="s">
        <v>346</v>
      </c>
      <c r="F1034" s="8" t="s">
        <v>21</v>
      </c>
      <c r="G1034" s="8" t="s">
        <v>16</v>
      </c>
      <c r="H1034" s="8"/>
      <c r="I1034" s="10">
        <v>44847</v>
      </c>
      <c r="J1034" s="8" t="s">
        <v>347</v>
      </c>
    </row>
    <row r="1035" spans="1:10" x14ac:dyDescent="0.15">
      <c r="A1035" s="7">
        <v>44847</v>
      </c>
      <c r="B1035" s="8" t="s">
        <v>344</v>
      </c>
      <c r="C1035" s="8" t="s">
        <v>345</v>
      </c>
      <c r="D1035" s="9" t="str">
        <f>HYPERLINK("https://www.marklines.com/en/global/729","LLC ""LADA Izhevsk"", LADA Izhevsk Automotive Plant (formerly OJSC Izh-Avto, Izhevsk Automobilny Zavod) ")</f>
        <v xml:space="preserve">LLC "LADA Izhevsk", LADA Izhevsk Automotive Plant (formerly OJSC Izh-Avto, Izhevsk Automobilny Zavod) </v>
      </c>
      <c r="E1035" s="8" t="s">
        <v>348</v>
      </c>
      <c r="F1035" s="8" t="s">
        <v>21</v>
      </c>
      <c r="G1035" s="8" t="s">
        <v>16</v>
      </c>
      <c r="H1035" s="8"/>
      <c r="I1035" s="10">
        <v>44847</v>
      </c>
      <c r="J1035" s="8" t="s">
        <v>347</v>
      </c>
    </row>
    <row r="1036" spans="1:10" x14ac:dyDescent="0.15">
      <c r="A1036" s="7">
        <v>44847</v>
      </c>
      <c r="B1036" s="8" t="s">
        <v>15</v>
      </c>
      <c r="C1036" s="8" t="s">
        <v>349</v>
      </c>
      <c r="D1036" s="9" t="str">
        <f>HYPERLINK("https://www.marklines.com/en/global/9363","Jiangxi Dorcen Automobile Co., Ltd. Jintan Branch  (Formerly Hunan Jiangnan Automobile Manufacturing Co., Ltd. Jintan Branch)")</f>
        <v>Jiangxi Dorcen Automobile Co., Ltd. Jintan Branch  (Formerly Hunan Jiangnan Automobile Manufacturing Co., Ltd. Jintan Branch)</v>
      </c>
      <c r="E1036" s="8" t="s">
        <v>350</v>
      </c>
      <c r="F1036" s="8" t="s">
        <v>25</v>
      </c>
      <c r="G1036" s="8" t="s">
        <v>71</v>
      </c>
      <c r="H1036" s="8" t="s">
        <v>351</v>
      </c>
      <c r="I1036" s="10">
        <v>44847</v>
      </c>
      <c r="J1036" s="8" t="s">
        <v>352</v>
      </c>
    </row>
    <row r="1037" spans="1:10" x14ac:dyDescent="0.15">
      <c r="A1037" s="7">
        <v>44847</v>
      </c>
      <c r="B1037" s="8" t="s">
        <v>353</v>
      </c>
      <c r="C1037" s="8" t="s">
        <v>353</v>
      </c>
      <c r="D1037" s="9" t="str">
        <f>HYPERLINK("https://www.marklines.com/en/global/9363","Jiangxi Dorcen Automobile Co., Ltd. Jintan Branch  (Formerly Hunan Jiangnan Automobile Manufacturing Co., Ltd. Jintan Branch)")</f>
        <v>Jiangxi Dorcen Automobile Co., Ltd. Jintan Branch  (Formerly Hunan Jiangnan Automobile Manufacturing Co., Ltd. Jintan Branch)</v>
      </c>
      <c r="E1037" s="8" t="s">
        <v>350</v>
      </c>
      <c r="F1037" s="8" t="s">
        <v>25</v>
      </c>
      <c r="G1037" s="8" t="s">
        <v>71</v>
      </c>
      <c r="H1037" s="8" t="s">
        <v>351</v>
      </c>
      <c r="I1037" s="10">
        <v>44847</v>
      </c>
      <c r="J1037" s="8" t="s">
        <v>352</v>
      </c>
    </row>
    <row r="1038" spans="1:10" x14ac:dyDescent="0.15">
      <c r="A1038" s="7">
        <v>44847</v>
      </c>
      <c r="B1038" s="8" t="s">
        <v>85</v>
      </c>
      <c r="C1038" s="8" t="s">
        <v>85</v>
      </c>
      <c r="D1038" s="9" t="str">
        <f>HYPERLINK("https://www.marklines.com/en/global/107","Renault Trucks, Blainville-sur-Orne plant")</f>
        <v>Renault Trucks, Blainville-sur-Orne plant</v>
      </c>
      <c r="E1038" s="8" t="s">
        <v>354</v>
      </c>
      <c r="F1038" s="8" t="s">
        <v>20</v>
      </c>
      <c r="G1038" s="8" t="s">
        <v>86</v>
      </c>
      <c r="H1038" s="8"/>
      <c r="I1038" s="10">
        <v>44846</v>
      </c>
      <c r="J1038" s="8" t="s">
        <v>355</v>
      </c>
    </row>
    <row r="1039" spans="1:10" x14ac:dyDescent="0.15">
      <c r="A1039" s="7">
        <v>44847</v>
      </c>
      <c r="B1039" s="8" t="s">
        <v>85</v>
      </c>
      <c r="C1039" s="8" t="s">
        <v>162</v>
      </c>
      <c r="D1039" s="9" t="str">
        <f>HYPERLINK("https://www.marklines.com/en/global/107","Renault Trucks, Blainville-sur-Orne plant")</f>
        <v>Renault Trucks, Blainville-sur-Orne plant</v>
      </c>
      <c r="E1039" s="8" t="s">
        <v>354</v>
      </c>
      <c r="F1039" s="8" t="s">
        <v>20</v>
      </c>
      <c r="G1039" s="8" t="s">
        <v>86</v>
      </c>
      <c r="H1039" s="8"/>
      <c r="I1039" s="10">
        <v>44846</v>
      </c>
      <c r="J1039" s="8" t="s">
        <v>355</v>
      </c>
    </row>
    <row r="1040" spans="1:10" x14ac:dyDescent="0.15">
      <c r="A1040" s="7">
        <v>44847</v>
      </c>
      <c r="B1040" s="8" t="s">
        <v>289</v>
      </c>
      <c r="C1040" s="8" t="s">
        <v>289</v>
      </c>
      <c r="D1040" s="9" t="str">
        <f>HYPERLINK("https://www.marklines.com/en/global/179","Renault S.A., Cléon Plant")</f>
        <v>Renault S.A., Cléon Plant</v>
      </c>
      <c r="E1040" s="8" t="s">
        <v>356</v>
      </c>
      <c r="F1040" s="8" t="s">
        <v>20</v>
      </c>
      <c r="G1040" s="8" t="s">
        <v>86</v>
      </c>
      <c r="H1040" s="8"/>
      <c r="I1040" s="10">
        <v>44846</v>
      </c>
      <c r="J1040" s="8" t="s">
        <v>357</v>
      </c>
    </row>
    <row r="1041" spans="1:10" x14ac:dyDescent="0.15">
      <c r="A1041" s="7">
        <v>44847</v>
      </c>
      <c r="B1041" s="8" t="s">
        <v>289</v>
      </c>
      <c r="C1041" s="8" t="s">
        <v>289</v>
      </c>
      <c r="D1041" s="9" t="str">
        <f>HYPERLINK("https://www.marklines.com/en/global/173","Maubeuge Construction Automobile (MCA), Maubeuge Plant")</f>
        <v>Maubeuge Construction Automobile (MCA), Maubeuge Plant</v>
      </c>
      <c r="E1041" s="8" t="s">
        <v>358</v>
      </c>
      <c r="F1041" s="8" t="s">
        <v>20</v>
      </c>
      <c r="G1041" s="8" t="s">
        <v>86</v>
      </c>
      <c r="H1041" s="8"/>
      <c r="I1041" s="10">
        <v>44846</v>
      </c>
      <c r="J1041" s="8" t="s">
        <v>357</v>
      </c>
    </row>
    <row r="1042" spans="1:10" x14ac:dyDescent="0.15">
      <c r="A1042" s="7">
        <v>44847</v>
      </c>
      <c r="B1042" s="8" t="s">
        <v>359</v>
      </c>
      <c r="C1042" s="8" t="s">
        <v>360</v>
      </c>
      <c r="D1042" s="9" t="str">
        <f>HYPERLINK("https://www.marklines.com/en/global/1265","Tata Motors, Pantnagar Plant")</f>
        <v>Tata Motors, Pantnagar Plant</v>
      </c>
      <c r="E1042" s="8" t="s">
        <v>361</v>
      </c>
      <c r="F1042" s="8" t="s">
        <v>69</v>
      </c>
      <c r="G1042" s="8" t="s">
        <v>70</v>
      </c>
      <c r="H1042" s="8" t="s">
        <v>362</v>
      </c>
      <c r="I1042" s="10">
        <v>44846</v>
      </c>
      <c r="J1042" s="8" t="s">
        <v>363</v>
      </c>
    </row>
    <row r="1043" spans="1:10" x14ac:dyDescent="0.15">
      <c r="A1043" s="7">
        <v>44847</v>
      </c>
      <c r="B1043" s="8" t="s">
        <v>52</v>
      </c>
      <c r="C1043" s="8" t="s">
        <v>267</v>
      </c>
      <c r="D1043" s="9" t="str">
        <f t="shared" ref="D1043:D1048" si="1">HYPERLINK("https://www.marklines.com/en/global/1655","Stellantis, Fiat Auto Poland S.A., Tychy Plant")</f>
        <v>Stellantis, Fiat Auto Poland S.A., Tychy Plant</v>
      </c>
      <c r="E1043" s="8" t="s">
        <v>165</v>
      </c>
      <c r="F1043" s="8" t="s">
        <v>21</v>
      </c>
      <c r="G1043" s="8" t="s">
        <v>93</v>
      </c>
      <c r="H1043" s="8"/>
      <c r="I1043" s="10">
        <v>44846</v>
      </c>
      <c r="J1043" s="8" t="s">
        <v>364</v>
      </c>
    </row>
    <row r="1044" spans="1:10" x14ac:dyDescent="0.15">
      <c r="A1044" s="7">
        <v>44847</v>
      </c>
      <c r="B1044" s="8" t="s">
        <v>52</v>
      </c>
      <c r="C1044" s="8" t="s">
        <v>91</v>
      </c>
      <c r="D1044" s="9" t="str">
        <f t="shared" si="1"/>
        <v>Stellantis, Fiat Auto Poland S.A., Tychy Plant</v>
      </c>
      <c r="E1044" s="8" t="s">
        <v>165</v>
      </c>
      <c r="F1044" s="8" t="s">
        <v>21</v>
      </c>
      <c r="G1044" s="8" t="s">
        <v>93</v>
      </c>
      <c r="H1044" s="8"/>
      <c r="I1044" s="10">
        <v>44846</v>
      </c>
      <c r="J1044" s="8" t="s">
        <v>364</v>
      </c>
    </row>
    <row r="1045" spans="1:10" x14ac:dyDescent="0.15">
      <c r="A1045" s="7">
        <v>44847</v>
      </c>
      <c r="B1045" s="8" t="s">
        <v>59</v>
      </c>
      <c r="C1045" s="8" t="s">
        <v>63</v>
      </c>
      <c r="D1045" s="9" t="str">
        <f t="shared" si="1"/>
        <v>Stellantis, Fiat Auto Poland S.A., Tychy Plant</v>
      </c>
      <c r="E1045" s="8" t="s">
        <v>165</v>
      </c>
      <c r="F1045" s="8" t="s">
        <v>21</v>
      </c>
      <c r="G1045" s="8" t="s">
        <v>93</v>
      </c>
      <c r="H1045" s="8"/>
      <c r="I1045" s="10">
        <v>44846</v>
      </c>
      <c r="J1045" s="8" t="s">
        <v>364</v>
      </c>
    </row>
    <row r="1046" spans="1:10" x14ac:dyDescent="0.15">
      <c r="A1046" s="7">
        <v>44847</v>
      </c>
      <c r="B1046" s="8" t="s">
        <v>59</v>
      </c>
      <c r="C1046" s="8" t="s">
        <v>270</v>
      </c>
      <c r="D1046" s="9" t="str">
        <f t="shared" si="1"/>
        <v>Stellantis, Fiat Auto Poland S.A., Tychy Plant</v>
      </c>
      <c r="E1046" s="8" t="s">
        <v>165</v>
      </c>
      <c r="F1046" s="8" t="s">
        <v>21</v>
      </c>
      <c r="G1046" s="8" t="s">
        <v>93</v>
      </c>
      <c r="H1046" s="8"/>
      <c r="I1046" s="10">
        <v>44846</v>
      </c>
      <c r="J1046" s="8" t="s">
        <v>364</v>
      </c>
    </row>
    <row r="1047" spans="1:10" x14ac:dyDescent="0.15">
      <c r="A1047" s="7">
        <v>44847</v>
      </c>
      <c r="B1047" s="8" t="s">
        <v>59</v>
      </c>
      <c r="C1047" s="8" t="s">
        <v>271</v>
      </c>
      <c r="D1047" s="9" t="str">
        <f t="shared" si="1"/>
        <v>Stellantis, Fiat Auto Poland S.A., Tychy Plant</v>
      </c>
      <c r="E1047" s="8" t="s">
        <v>165</v>
      </c>
      <c r="F1047" s="8" t="s">
        <v>21</v>
      </c>
      <c r="G1047" s="8" t="s">
        <v>93</v>
      </c>
      <c r="H1047" s="8"/>
      <c r="I1047" s="10">
        <v>44846</v>
      </c>
      <c r="J1047" s="8" t="s">
        <v>364</v>
      </c>
    </row>
    <row r="1048" spans="1:10" x14ac:dyDescent="0.15">
      <c r="A1048" s="7">
        <v>44847</v>
      </c>
      <c r="B1048" s="8" t="s">
        <v>59</v>
      </c>
      <c r="C1048" s="8" t="s">
        <v>59</v>
      </c>
      <c r="D1048" s="9" t="str">
        <f t="shared" si="1"/>
        <v>Stellantis, Fiat Auto Poland S.A., Tychy Plant</v>
      </c>
      <c r="E1048" s="8" t="s">
        <v>165</v>
      </c>
      <c r="F1048" s="8" t="s">
        <v>21</v>
      </c>
      <c r="G1048" s="8" t="s">
        <v>93</v>
      </c>
      <c r="H1048" s="8"/>
      <c r="I1048" s="10">
        <v>44846</v>
      </c>
      <c r="J1048" s="8" t="s">
        <v>364</v>
      </c>
    </row>
    <row r="1049" spans="1:10" x14ac:dyDescent="0.15">
      <c r="A1049" s="7">
        <v>44847</v>
      </c>
      <c r="B1049" s="8" t="s">
        <v>76</v>
      </c>
      <c r="C1049" s="8" t="s">
        <v>365</v>
      </c>
      <c r="D1049" s="9" t="str">
        <f>HYPERLINK("https://www.marklines.com/en/global/4303","Volvo Car Chengdu Manufacturing Plant")</f>
        <v>Volvo Car Chengdu Manufacturing Plant</v>
      </c>
      <c r="E1049" s="8" t="s">
        <v>366</v>
      </c>
      <c r="F1049" s="8" t="s">
        <v>25</v>
      </c>
      <c r="G1049" s="8" t="s">
        <v>71</v>
      </c>
      <c r="H1049" s="8" t="s">
        <v>367</v>
      </c>
      <c r="I1049" s="10">
        <v>44846</v>
      </c>
      <c r="J1049" s="8" t="s">
        <v>368</v>
      </c>
    </row>
    <row r="1050" spans="1:10" x14ac:dyDescent="0.15">
      <c r="A1050" s="7">
        <v>44847</v>
      </c>
      <c r="B1050" s="8" t="s">
        <v>76</v>
      </c>
      <c r="C1050" s="8" t="s">
        <v>365</v>
      </c>
      <c r="D1050" s="9" t="str">
        <f>HYPERLINK("https://www.marklines.com/en/global/9324","Volvo Cars, Ridgeville Plant")</f>
        <v>Volvo Cars, Ridgeville Plant</v>
      </c>
      <c r="E1050" s="8" t="s">
        <v>259</v>
      </c>
      <c r="F1050" s="8" t="s">
        <v>19</v>
      </c>
      <c r="G1050" s="8" t="s">
        <v>12</v>
      </c>
      <c r="H1050" s="8" t="s">
        <v>144</v>
      </c>
      <c r="I1050" s="10">
        <v>44846</v>
      </c>
      <c r="J1050" s="8" t="s">
        <v>368</v>
      </c>
    </row>
    <row r="1051" spans="1:10" x14ac:dyDescent="0.15">
      <c r="A1051" s="7">
        <v>44847</v>
      </c>
      <c r="B1051" s="8" t="s">
        <v>17</v>
      </c>
      <c r="C1051" s="8" t="s">
        <v>17</v>
      </c>
      <c r="D1051" s="9" t="str">
        <f>HYPERLINK("https://www.marklines.com/en/global/1029","Honda Atlas Cars (Pakistan) Ltd., Lahore Plant")</f>
        <v>Honda Atlas Cars (Pakistan) Ltd., Lahore Plant</v>
      </c>
      <c r="E1051" s="8" t="s">
        <v>233</v>
      </c>
      <c r="F1051" s="8" t="s">
        <v>69</v>
      </c>
      <c r="G1051" s="8" t="s">
        <v>96</v>
      </c>
      <c r="H1051" s="8"/>
      <c r="I1051" s="10">
        <v>44845</v>
      </c>
      <c r="J1051" s="8" t="s">
        <v>369</v>
      </c>
    </row>
    <row r="1052" spans="1:10" x14ac:dyDescent="0.15">
      <c r="A1052" s="7">
        <v>44847</v>
      </c>
      <c r="B1052" s="8" t="s">
        <v>30</v>
      </c>
      <c r="C1052" s="8" t="s">
        <v>30</v>
      </c>
      <c r="D1052" s="9" t="str">
        <f>HYPERLINK("https://www.marklines.com/en/global/10503","GAC Toyota Motor Co., Ltd. (GTMC) Nansha Plant Fifth Production Line")</f>
        <v>GAC Toyota Motor Co., Ltd. (GTMC) Nansha Plant Fifth Production Line</v>
      </c>
      <c r="E1052" s="8" t="s">
        <v>370</v>
      </c>
      <c r="F1052" s="8" t="s">
        <v>25</v>
      </c>
      <c r="G1052" s="8" t="s">
        <v>71</v>
      </c>
      <c r="H1052" s="8" t="s">
        <v>83</v>
      </c>
      <c r="I1052" s="10">
        <v>44844</v>
      </c>
      <c r="J1052" s="8" t="s">
        <v>371</v>
      </c>
    </row>
    <row r="1053" spans="1:10" x14ac:dyDescent="0.15">
      <c r="A1053" s="7">
        <v>44847</v>
      </c>
      <c r="B1053" s="8" t="s">
        <v>82</v>
      </c>
      <c r="C1053" s="8" t="s">
        <v>82</v>
      </c>
      <c r="D1053" s="9" t="str">
        <f>HYPERLINK("https://www.marklines.com/en/global/10503","GAC Toyota Motor Co., Ltd. (GTMC) Nansha Plant Fifth Production Line")</f>
        <v>GAC Toyota Motor Co., Ltd. (GTMC) Nansha Plant Fifth Production Line</v>
      </c>
      <c r="E1053" s="8" t="s">
        <v>370</v>
      </c>
      <c r="F1053" s="8" t="s">
        <v>25</v>
      </c>
      <c r="G1053" s="8" t="s">
        <v>71</v>
      </c>
      <c r="H1053" s="8" t="s">
        <v>83</v>
      </c>
      <c r="I1053" s="10">
        <v>44844</v>
      </c>
      <c r="J1053" s="8" t="s">
        <v>371</v>
      </c>
    </row>
    <row r="1054" spans="1:10" x14ac:dyDescent="0.15">
      <c r="A1054" s="7">
        <v>44847</v>
      </c>
      <c r="B1054" s="8" t="s">
        <v>30</v>
      </c>
      <c r="C1054" s="8" t="s">
        <v>30</v>
      </c>
      <c r="D1054" s="9" t="str">
        <f>HYPERLINK("https://www.marklines.com/en/global/543","Daihatsu Motor, Shiga (Ryuo) Plant")</f>
        <v>Daihatsu Motor, Shiga (Ryuo) Plant</v>
      </c>
      <c r="E1054" s="8" t="s">
        <v>372</v>
      </c>
      <c r="F1054" s="8" t="s">
        <v>25</v>
      </c>
      <c r="G1054" s="8" t="s">
        <v>31</v>
      </c>
      <c r="H1054" s="8" t="s">
        <v>373</v>
      </c>
      <c r="I1054" s="10">
        <v>44837</v>
      </c>
      <c r="J1054" s="8" t="s">
        <v>1202</v>
      </c>
    </row>
    <row r="1055" spans="1:10" x14ac:dyDescent="0.15">
      <c r="A1055" s="7">
        <v>44847</v>
      </c>
      <c r="B1055" s="8" t="s">
        <v>30</v>
      </c>
      <c r="C1055" s="8" t="s">
        <v>320</v>
      </c>
      <c r="D1055" s="9" t="str">
        <f>HYPERLINK("https://www.marklines.com/en/global/543","Daihatsu Motor, Shiga (Ryuo) Plant")</f>
        <v>Daihatsu Motor, Shiga (Ryuo) Plant</v>
      </c>
      <c r="E1055" s="8" t="s">
        <v>372</v>
      </c>
      <c r="F1055" s="8" t="s">
        <v>25</v>
      </c>
      <c r="G1055" s="8" t="s">
        <v>31</v>
      </c>
      <c r="H1055" s="8" t="s">
        <v>373</v>
      </c>
      <c r="I1055" s="10">
        <v>44837</v>
      </c>
      <c r="J1055" s="8" t="s">
        <v>374</v>
      </c>
    </row>
    <row r="1056" spans="1:10" x14ac:dyDescent="0.15">
      <c r="A1056" s="7">
        <v>44847</v>
      </c>
      <c r="B1056" s="8" t="s">
        <v>375</v>
      </c>
      <c r="C1056" s="8" t="s">
        <v>375</v>
      </c>
      <c r="D1056" s="9" t="str">
        <f>HYPERLINK("https://www.marklines.com/en/global/543","Daihatsu Motor, Shiga (Ryuo) Plant")</f>
        <v>Daihatsu Motor, Shiga (Ryuo) Plant</v>
      </c>
      <c r="E1056" s="8" t="s">
        <v>372</v>
      </c>
      <c r="F1056" s="8" t="s">
        <v>25</v>
      </c>
      <c r="G1056" s="8" t="s">
        <v>31</v>
      </c>
      <c r="H1056" s="8" t="s">
        <v>373</v>
      </c>
      <c r="I1056" s="10">
        <v>44837</v>
      </c>
      <c r="J1056" s="8" t="s">
        <v>374</v>
      </c>
    </row>
    <row r="1057" spans="1:10" x14ac:dyDescent="0.15">
      <c r="A1057" s="7">
        <v>44846</v>
      </c>
      <c r="B1057" s="8" t="s">
        <v>87</v>
      </c>
      <c r="C1057" s="8" t="s">
        <v>87</v>
      </c>
      <c r="D1057" s="9" t="str">
        <f>HYPERLINK("https://www.marklines.com/en/global/2235","Mercedes-Benz Group AG, Berlin Plant")</f>
        <v>Mercedes-Benz Group AG, Berlin Plant</v>
      </c>
      <c r="E1057" s="8" t="s">
        <v>376</v>
      </c>
      <c r="F1057" s="8" t="s">
        <v>20</v>
      </c>
      <c r="G1057" s="8" t="s">
        <v>29</v>
      </c>
      <c r="H1057" s="8"/>
      <c r="I1057" s="10">
        <v>44846</v>
      </c>
      <c r="J1057" s="8" t="s">
        <v>377</v>
      </c>
    </row>
    <row r="1058" spans="1:10" x14ac:dyDescent="0.15">
      <c r="A1058" s="7">
        <v>44846</v>
      </c>
      <c r="B1058" s="8" t="s">
        <v>87</v>
      </c>
      <c r="C1058" s="8" t="s">
        <v>88</v>
      </c>
      <c r="D1058" s="9" t="str">
        <f>HYPERLINK("https://www.marklines.com/en/global/2235","Mercedes-Benz Group AG, Berlin Plant")</f>
        <v>Mercedes-Benz Group AG, Berlin Plant</v>
      </c>
      <c r="E1058" s="8" t="s">
        <v>376</v>
      </c>
      <c r="F1058" s="8" t="s">
        <v>20</v>
      </c>
      <c r="G1058" s="8" t="s">
        <v>29</v>
      </c>
      <c r="H1058" s="8"/>
      <c r="I1058" s="10">
        <v>44846</v>
      </c>
      <c r="J1058" s="8" t="s">
        <v>377</v>
      </c>
    </row>
    <row r="1059" spans="1:10" x14ac:dyDescent="0.15">
      <c r="A1059" s="7">
        <v>44846</v>
      </c>
      <c r="B1059" s="8" t="s">
        <v>94</v>
      </c>
      <c r="C1059" s="8" t="s">
        <v>94</v>
      </c>
      <c r="D1059" s="9" t="str">
        <f>HYPERLINK("https://www.marklines.com/en/global/1061","Pak Suzuki Motor Co., Ltd. (PSMCL), Karachi Plant")</f>
        <v>Pak Suzuki Motor Co., Ltd. (PSMCL), Karachi Plant</v>
      </c>
      <c r="E1059" s="8" t="s">
        <v>378</v>
      </c>
      <c r="F1059" s="8" t="s">
        <v>69</v>
      </c>
      <c r="G1059" s="8" t="s">
        <v>96</v>
      </c>
      <c r="H1059" s="8"/>
      <c r="I1059" s="10">
        <v>44845</v>
      </c>
      <c r="J1059" s="8" t="s">
        <v>379</v>
      </c>
    </row>
    <row r="1060" spans="1:10" x14ac:dyDescent="0.15">
      <c r="A1060" s="7">
        <v>44846</v>
      </c>
      <c r="B1060" s="8" t="s">
        <v>97</v>
      </c>
      <c r="C1060" s="8" t="s">
        <v>97</v>
      </c>
      <c r="D1060" s="9" t="str">
        <f>HYPERLINK("https://www.marklines.com/en/global/179","Renault S.A., Cléon Plant")</f>
        <v>Renault S.A., Cléon Plant</v>
      </c>
      <c r="E1060" s="8" t="s">
        <v>356</v>
      </c>
      <c r="F1060" s="8" t="s">
        <v>20</v>
      </c>
      <c r="G1060" s="8" t="s">
        <v>86</v>
      </c>
      <c r="H1060" s="8"/>
      <c r="I1060" s="10">
        <v>44845</v>
      </c>
      <c r="J1060" s="8" t="s">
        <v>380</v>
      </c>
    </row>
    <row r="1061" spans="1:10" x14ac:dyDescent="0.15">
      <c r="A1061" s="7">
        <v>44846</v>
      </c>
      <c r="B1061" s="8" t="s">
        <v>289</v>
      </c>
      <c r="C1061" s="8" t="s">
        <v>289</v>
      </c>
      <c r="D1061" s="9" t="str">
        <f>HYPERLINK("https://www.marklines.com/en/global/179","Renault S.A., Cléon Plant")</f>
        <v>Renault S.A., Cléon Plant</v>
      </c>
      <c r="E1061" s="8" t="s">
        <v>356</v>
      </c>
      <c r="F1061" s="8" t="s">
        <v>20</v>
      </c>
      <c r="G1061" s="8" t="s">
        <v>86</v>
      </c>
      <c r="H1061" s="8"/>
      <c r="I1061" s="10">
        <v>44845</v>
      </c>
      <c r="J1061" s="8" t="s">
        <v>380</v>
      </c>
    </row>
    <row r="1062" spans="1:10" x14ac:dyDescent="0.15">
      <c r="A1062" s="7">
        <v>44846</v>
      </c>
      <c r="B1062" s="8" t="s">
        <v>15</v>
      </c>
      <c r="C1062" s="8" t="s">
        <v>178</v>
      </c>
      <c r="D1062" s="9" t="str">
        <f>HYPERLINK("https://www.marklines.com/en/global/10553","Ebusco B.V., Deurne Plant")</f>
        <v>Ebusco B.V., Deurne Plant</v>
      </c>
      <c r="E1062" s="8" t="s">
        <v>179</v>
      </c>
      <c r="F1062" s="8" t="s">
        <v>20</v>
      </c>
      <c r="G1062" s="8" t="s">
        <v>147</v>
      </c>
      <c r="H1062" s="8"/>
      <c r="I1062" s="10">
        <v>44845</v>
      </c>
      <c r="J1062" s="8" t="s">
        <v>380</v>
      </c>
    </row>
    <row r="1063" spans="1:10" x14ac:dyDescent="0.15">
      <c r="A1063" s="7">
        <v>44846</v>
      </c>
      <c r="B1063" s="8" t="s">
        <v>97</v>
      </c>
      <c r="C1063" s="8" t="s">
        <v>97</v>
      </c>
      <c r="D1063" s="9" t="str">
        <f>HYPERLINK("https://www.marklines.com/en/global/749","Nissan Manufacturing Rus OOO, Kamenka (St. Petersburg) Plant")</f>
        <v>Nissan Manufacturing Rus OOO, Kamenka (St. Petersburg) Plant</v>
      </c>
      <c r="E1063" s="8" t="s">
        <v>381</v>
      </c>
      <c r="F1063" s="8" t="s">
        <v>21</v>
      </c>
      <c r="G1063" s="8" t="s">
        <v>16</v>
      </c>
      <c r="H1063" s="8"/>
      <c r="I1063" s="10">
        <v>44845</v>
      </c>
      <c r="J1063" s="8" t="s">
        <v>382</v>
      </c>
    </row>
    <row r="1064" spans="1:10" x14ac:dyDescent="0.15">
      <c r="A1064" s="7">
        <v>44846</v>
      </c>
      <c r="B1064" s="8" t="s">
        <v>17</v>
      </c>
      <c r="C1064" s="8" t="s">
        <v>17</v>
      </c>
      <c r="D1064" s="9" t="str">
        <f>HYPERLINK("https://www.marklines.com/en/global/3109","Honda of America Manufacturing Inc., Marysville Plant")</f>
        <v>Honda of America Manufacturing Inc., Marysville Plant</v>
      </c>
      <c r="E1064" s="8" t="s">
        <v>304</v>
      </c>
      <c r="F1064" s="8" t="s">
        <v>19</v>
      </c>
      <c r="G1064" s="8" t="s">
        <v>12</v>
      </c>
      <c r="H1064" s="8" t="s">
        <v>48</v>
      </c>
      <c r="I1064" s="10">
        <v>44845</v>
      </c>
      <c r="J1064" s="8" t="s">
        <v>383</v>
      </c>
    </row>
    <row r="1065" spans="1:10" x14ac:dyDescent="0.15">
      <c r="A1065" s="7">
        <v>44846</v>
      </c>
      <c r="B1065" s="8" t="s">
        <v>17</v>
      </c>
      <c r="C1065" s="8" t="s">
        <v>17</v>
      </c>
      <c r="D1065" s="9" t="str">
        <f>HYPERLINK("https://www.marklines.com/en/global/3111","Honda of America Manufacturing Inc., East Liberty Plant")</f>
        <v>Honda of America Manufacturing Inc., East Liberty Plant</v>
      </c>
      <c r="E1065" s="8" t="s">
        <v>306</v>
      </c>
      <c r="F1065" s="8" t="s">
        <v>19</v>
      </c>
      <c r="G1065" s="8" t="s">
        <v>12</v>
      </c>
      <c r="H1065" s="8" t="s">
        <v>48</v>
      </c>
      <c r="I1065" s="10">
        <v>44845</v>
      </c>
      <c r="J1065" s="8" t="s">
        <v>383</v>
      </c>
    </row>
    <row r="1066" spans="1:10" x14ac:dyDescent="0.15">
      <c r="A1066" s="7">
        <v>44846</v>
      </c>
      <c r="B1066" s="8" t="s">
        <v>17</v>
      </c>
      <c r="C1066" s="8" t="s">
        <v>17</v>
      </c>
      <c r="D1066" s="9" t="str">
        <f>HYPERLINK("https://www.marklines.com/en/global/3113","Honda of America Manufacturing Inc., Anna Plant")</f>
        <v>Honda of America Manufacturing Inc., Anna Plant</v>
      </c>
      <c r="E1066" s="8" t="s">
        <v>307</v>
      </c>
      <c r="F1066" s="8" t="s">
        <v>19</v>
      </c>
      <c r="G1066" s="8" t="s">
        <v>12</v>
      </c>
      <c r="H1066" s="8" t="s">
        <v>48</v>
      </c>
      <c r="I1066" s="10">
        <v>44845</v>
      </c>
      <c r="J1066" s="8" t="s">
        <v>383</v>
      </c>
    </row>
    <row r="1067" spans="1:10" x14ac:dyDescent="0.15">
      <c r="A1067" s="7">
        <v>44846</v>
      </c>
      <c r="B1067" s="8" t="s">
        <v>17</v>
      </c>
      <c r="C1067" s="8" t="s">
        <v>308</v>
      </c>
      <c r="D1067" s="9" t="str">
        <f>HYPERLINK("https://www.marklines.com/en/global/3109","Honda of America Manufacturing Inc., Marysville Plant")</f>
        <v>Honda of America Manufacturing Inc., Marysville Plant</v>
      </c>
      <c r="E1067" s="8" t="s">
        <v>304</v>
      </c>
      <c r="F1067" s="8" t="s">
        <v>19</v>
      </c>
      <c r="G1067" s="8" t="s">
        <v>12</v>
      </c>
      <c r="H1067" s="8" t="s">
        <v>48</v>
      </c>
      <c r="I1067" s="10">
        <v>44845</v>
      </c>
      <c r="J1067" s="8" t="s">
        <v>383</v>
      </c>
    </row>
    <row r="1068" spans="1:10" x14ac:dyDescent="0.15">
      <c r="A1068" s="7">
        <v>44846</v>
      </c>
      <c r="B1068" s="8" t="s">
        <v>17</v>
      </c>
      <c r="C1068" s="8" t="s">
        <v>308</v>
      </c>
      <c r="D1068" s="9" t="str">
        <f>HYPERLINK("https://www.marklines.com/en/global/3111","Honda of America Manufacturing Inc., East Liberty Plant")</f>
        <v>Honda of America Manufacturing Inc., East Liberty Plant</v>
      </c>
      <c r="E1068" s="8" t="s">
        <v>306</v>
      </c>
      <c r="F1068" s="8" t="s">
        <v>19</v>
      </c>
      <c r="G1068" s="8" t="s">
        <v>12</v>
      </c>
      <c r="H1068" s="8" t="s">
        <v>48</v>
      </c>
      <c r="I1068" s="10">
        <v>44845</v>
      </c>
      <c r="J1068" s="8" t="s">
        <v>383</v>
      </c>
    </row>
    <row r="1069" spans="1:10" x14ac:dyDescent="0.15">
      <c r="A1069" s="7">
        <v>44846</v>
      </c>
      <c r="B1069" s="8" t="s">
        <v>100</v>
      </c>
      <c r="C1069" s="8" t="s">
        <v>100</v>
      </c>
      <c r="D1069" s="9" t="str">
        <f>HYPERLINK("https://www.marklines.com/en/global/3609","SAIC Motor Corporation Limited")</f>
        <v>SAIC Motor Corporation Limited</v>
      </c>
      <c r="E1069" s="8" t="s">
        <v>384</v>
      </c>
      <c r="F1069" s="8" t="s">
        <v>25</v>
      </c>
      <c r="G1069" s="8" t="s">
        <v>71</v>
      </c>
      <c r="H1069" s="8" t="s">
        <v>72</v>
      </c>
      <c r="I1069" s="10">
        <v>44843</v>
      </c>
      <c r="J1069" s="8" t="s">
        <v>385</v>
      </c>
    </row>
    <row r="1070" spans="1:10" x14ac:dyDescent="0.15">
      <c r="A1070" s="7">
        <v>44846</v>
      </c>
      <c r="B1070" s="8" t="s">
        <v>58</v>
      </c>
      <c r="C1070" s="8" t="s">
        <v>58</v>
      </c>
      <c r="D1070" s="9" t="str">
        <f>HYPERLINK("https://www.marklines.com/en/global/9390","Chery New Energy Automotive Co., Ltd. (Formerly Chery New Energy Technology Automotive Co., Ltd.)")</f>
        <v>Chery New Energy Automotive Co., Ltd. (Formerly Chery New Energy Technology Automotive Co., Ltd.)</v>
      </c>
      <c r="E1070" s="8" t="s">
        <v>386</v>
      </c>
      <c r="F1070" s="8" t="s">
        <v>25</v>
      </c>
      <c r="G1070" s="8" t="s">
        <v>71</v>
      </c>
      <c r="H1070" s="8" t="s">
        <v>120</v>
      </c>
      <c r="I1070" s="10">
        <v>44842</v>
      </c>
      <c r="J1070" s="8" t="s">
        <v>387</v>
      </c>
    </row>
    <row r="1071" spans="1:10" x14ac:dyDescent="0.15">
      <c r="A1071" s="7">
        <v>44846</v>
      </c>
      <c r="B1071" s="8" t="s">
        <v>30</v>
      </c>
      <c r="C1071" s="8" t="s">
        <v>30</v>
      </c>
      <c r="D1071" s="9" t="str">
        <f>HYPERLINK("https://www.marklines.com/en/global/267","PT. Astra Daihatsu Motor (ADM), Sunter (Jakarta) Plant")</f>
        <v>PT. Astra Daihatsu Motor (ADM), Sunter (Jakarta) Plant</v>
      </c>
      <c r="E1071" s="8" t="s">
        <v>388</v>
      </c>
      <c r="F1071" s="8" t="s">
        <v>22</v>
      </c>
      <c r="G1071" s="8" t="s">
        <v>53</v>
      </c>
      <c r="H1071" s="8"/>
      <c r="I1071" s="10">
        <v>44841</v>
      </c>
      <c r="J1071" s="8" t="s">
        <v>389</v>
      </c>
    </row>
    <row r="1072" spans="1:10" x14ac:dyDescent="0.15">
      <c r="A1072" s="7">
        <v>44846</v>
      </c>
      <c r="B1072" s="8" t="s">
        <v>30</v>
      </c>
      <c r="C1072" s="8" t="s">
        <v>30</v>
      </c>
      <c r="D1072" s="9" t="str">
        <f>HYPERLINK("https://www.marklines.com/en/global/4301","PT. Astra Daihatsu Motor (ADM), Karawang Assembly Plant")</f>
        <v>PT. Astra Daihatsu Motor (ADM), Karawang Assembly Plant</v>
      </c>
      <c r="E1072" s="8" t="s">
        <v>390</v>
      </c>
      <c r="F1072" s="8" t="s">
        <v>22</v>
      </c>
      <c r="G1072" s="8" t="s">
        <v>53</v>
      </c>
      <c r="H1072" s="8"/>
      <c r="I1072" s="10">
        <v>44841</v>
      </c>
      <c r="J1072" s="8" t="s">
        <v>389</v>
      </c>
    </row>
    <row r="1073" spans="1:10" x14ac:dyDescent="0.15">
      <c r="A1073" s="7">
        <v>44846</v>
      </c>
      <c r="B1073" s="8" t="s">
        <v>30</v>
      </c>
      <c r="C1073" s="8" t="s">
        <v>320</v>
      </c>
      <c r="D1073" s="9" t="str">
        <f>HYPERLINK("https://www.marklines.com/en/global/267","PT. Astra Daihatsu Motor (ADM), Sunter (Jakarta) Plant")</f>
        <v>PT. Astra Daihatsu Motor (ADM), Sunter (Jakarta) Plant</v>
      </c>
      <c r="E1073" s="8" t="s">
        <v>388</v>
      </c>
      <c r="F1073" s="8" t="s">
        <v>22</v>
      </c>
      <c r="G1073" s="8" t="s">
        <v>53</v>
      </c>
      <c r="H1073" s="8"/>
      <c r="I1073" s="10">
        <v>44841</v>
      </c>
      <c r="J1073" s="8" t="s">
        <v>389</v>
      </c>
    </row>
    <row r="1074" spans="1:10" x14ac:dyDescent="0.15">
      <c r="A1074" s="7">
        <v>44846</v>
      </c>
      <c r="B1074" s="8" t="s">
        <v>30</v>
      </c>
      <c r="C1074" s="8" t="s">
        <v>320</v>
      </c>
      <c r="D1074" s="9" t="str">
        <f>HYPERLINK("https://www.marklines.com/en/global/4301","PT. Astra Daihatsu Motor (ADM), Karawang Assembly Plant")</f>
        <v>PT. Astra Daihatsu Motor (ADM), Karawang Assembly Plant</v>
      </c>
      <c r="E1074" s="8" t="s">
        <v>390</v>
      </c>
      <c r="F1074" s="8" t="s">
        <v>22</v>
      </c>
      <c r="G1074" s="8" t="s">
        <v>53</v>
      </c>
      <c r="H1074" s="8"/>
      <c r="I1074" s="10">
        <v>44841</v>
      </c>
      <c r="J1074" s="8" t="s">
        <v>389</v>
      </c>
    </row>
    <row r="1075" spans="1:10" x14ac:dyDescent="0.15">
      <c r="A1075" s="7">
        <v>44846</v>
      </c>
      <c r="B1075" s="8" t="s">
        <v>38</v>
      </c>
      <c r="C1075" s="8" t="s">
        <v>38</v>
      </c>
      <c r="D1075" s="9" t="str">
        <f>HYPERLINK("https://www.marklines.com/en/global/267","PT. Astra Daihatsu Motor (ADM), Sunter (Jakarta) Plant")</f>
        <v>PT. Astra Daihatsu Motor (ADM), Sunter (Jakarta) Plant</v>
      </c>
      <c r="E1075" s="8" t="s">
        <v>388</v>
      </c>
      <c r="F1075" s="8" t="s">
        <v>22</v>
      </c>
      <c r="G1075" s="8" t="s">
        <v>53</v>
      </c>
      <c r="H1075" s="8"/>
      <c r="I1075" s="10">
        <v>44841</v>
      </c>
      <c r="J1075" s="8" t="s">
        <v>389</v>
      </c>
    </row>
    <row r="1076" spans="1:10" x14ac:dyDescent="0.15">
      <c r="A1076" s="7">
        <v>44846</v>
      </c>
      <c r="B1076" s="8" t="s">
        <v>15</v>
      </c>
      <c r="C1076" s="8" t="s">
        <v>391</v>
      </c>
      <c r="D1076" s="9" t="str">
        <f>HYPERLINK("https://www.marklines.com/en/global/267","PT. Astra Daihatsu Motor (ADM), Sunter (Jakarta) Plant")</f>
        <v>PT. Astra Daihatsu Motor (ADM), Sunter (Jakarta) Plant</v>
      </c>
      <c r="E1076" s="8" t="s">
        <v>388</v>
      </c>
      <c r="F1076" s="8" t="s">
        <v>22</v>
      </c>
      <c r="G1076" s="8" t="s">
        <v>53</v>
      </c>
      <c r="H1076" s="8"/>
      <c r="I1076" s="10">
        <v>44841</v>
      </c>
      <c r="J1076" s="8" t="s">
        <v>389</v>
      </c>
    </row>
    <row r="1077" spans="1:10" x14ac:dyDescent="0.15">
      <c r="A1077" s="7">
        <v>44846</v>
      </c>
      <c r="B1077" s="8" t="s">
        <v>15</v>
      </c>
      <c r="C1077" s="8" t="s">
        <v>391</v>
      </c>
      <c r="D1077" s="9" t="str">
        <f>HYPERLINK("https://www.marklines.com/en/global/4301","PT. Astra Daihatsu Motor (ADM), Karawang Assembly Plant")</f>
        <v>PT. Astra Daihatsu Motor (ADM), Karawang Assembly Plant</v>
      </c>
      <c r="E1077" s="8" t="s">
        <v>390</v>
      </c>
      <c r="F1077" s="8" t="s">
        <v>22</v>
      </c>
      <c r="G1077" s="8" t="s">
        <v>53</v>
      </c>
      <c r="H1077" s="8"/>
      <c r="I1077" s="10">
        <v>44841</v>
      </c>
      <c r="J1077" s="8" t="s">
        <v>389</v>
      </c>
    </row>
    <row r="1078" spans="1:10" x14ac:dyDescent="0.15">
      <c r="A1078" s="7">
        <v>44846</v>
      </c>
      <c r="B1078" s="8" t="s">
        <v>65</v>
      </c>
      <c r="C1078" s="8" t="s">
        <v>65</v>
      </c>
      <c r="D1078" s="9" t="str">
        <f>HYPERLINK("https://www.marklines.com/en/global/3153","Rivian Automotive LLC, Normal Plant (former Mitsubishi Motors North America, Normal Plant)")</f>
        <v>Rivian Automotive LLC, Normal Plant (former Mitsubishi Motors North America, Normal Plant)</v>
      </c>
      <c r="E1078" s="8" t="s">
        <v>66</v>
      </c>
      <c r="F1078" s="8" t="s">
        <v>19</v>
      </c>
      <c r="G1078" s="8" t="s">
        <v>12</v>
      </c>
      <c r="H1078" s="8" t="s">
        <v>67</v>
      </c>
      <c r="I1078" s="10">
        <v>44841</v>
      </c>
      <c r="J1078" s="8" t="s">
        <v>392</v>
      </c>
    </row>
    <row r="1079" spans="1:10" x14ac:dyDescent="0.15">
      <c r="A1079" s="7">
        <v>44846</v>
      </c>
      <c r="B1079" s="8" t="s">
        <v>17</v>
      </c>
      <c r="C1079" s="8" t="s">
        <v>17</v>
      </c>
      <c r="D1079" s="9" t="str">
        <f>HYPERLINK("https://www.marklines.com/en/global/443","Honda Motor, Suzuka Factory")</f>
        <v>Honda Motor, Suzuka Factory</v>
      </c>
      <c r="E1079" s="8" t="s">
        <v>43</v>
      </c>
      <c r="F1079" s="8" t="s">
        <v>25</v>
      </c>
      <c r="G1079" s="8" t="s">
        <v>31</v>
      </c>
      <c r="H1079" s="8" t="s">
        <v>44</v>
      </c>
      <c r="I1079" s="10">
        <v>44840</v>
      </c>
      <c r="J1079" s="8" t="s">
        <v>393</v>
      </c>
    </row>
    <row r="1080" spans="1:10" x14ac:dyDescent="0.15">
      <c r="A1080" s="7">
        <v>44846</v>
      </c>
      <c r="B1080" s="8" t="s">
        <v>17</v>
      </c>
      <c r="C1080" s="8" t="s">
        <v>17</v>
      </c>
      <c r="D1080" s="9" t="str">
        <f>HYPERLINK("https://www.marklines.com/en/global/439","Honda Motor, Saitama Factory Automobile Plant")</f>
        <v>Honda Motor, Saitama Factory Automobile Plant</v>
      </c>
      <c r="E1080" s="8" t="s">
        <v>45</v>
      </c>
      <c r="F1080" s="8" t="s">
        <v>25</v>
      </c>
      <c r="G1080" s="8" t="s">
        <v>31</v>
      </c>
      <c r="H1080" s="8" t="s">
        <v>46</v>
      </c>
      <c r="I1080" s="10">
        <v>44840</v>
      </c>
      <c r="J1080" s="8" t="s">
        <v>393</v>
      </c>
    </row>
    <row r="1081" spans="1:10" x14ac:dyDescent="0.15">
      <c r="A1081" s="7">
        <v>44846</v>
      </c>
      <c r="B1081" s="8" t="s">
        <v>17</v>
      </c>
      <c r="C1081" s="8" t="s">
        <v>17</v>
      </c>
      <c r="D1081" s="9" t="str">
        <f>HYPERLINK("https://www.marklines.com/en/global/443","Honda Motor, Suzuka Factory")</f>
        <v>Honda Motor, Suzuka Factory</v>
      </c>
      <c r="E1081" s="8" t="s">
        <v>43</v>
      </c>
      <c r="F1081" s="8" t="s">
        <v>25</v>
      </c>
      <c r="G1081" s="8" t="s">
        <v>31</v>
      </c>
      <c r="H1081" s="8" t="s">
        <v>44</v>
      </c>
      <c r="I1081" s="10">
        <v>44840</v>
      </c>
      <c r="J1081" s="8" t="s">
        <v>394</v>
      </c>
    </row>
    <row r="1082" spans="1:10" x14ac:dyDescent="0.15">
      <c r="A1082" s="7">
        <v>44846</v>
      </c>
      <c r="B1082" s="8" t="s">
        <v>97</v>
      </c>
      <c r="C1082" s="8" t="s">
        <v>97</v>
      </c>
      <c r="D1082" s="9" t="str">
        <f>HYPERLINK("https://www.marklines.com/en/global/553","Isuzu Motors, Fujisawa Plant")</f>
        <v>Isuzu Motors, Fujisawa Plant</v>
      </c>
      <c r="E1082" s="8" t="s">
        <v>395</v>
      </c>
      <c r="F1082" s="8" t="s">
        <v>25</v>
      </c>
      <c r="G1082" s="8" t="s">
        <v>31</v>
      </c>
      <c r="H1082" s="8" t="s">
        <v>396</v>
      </c>
      <c r="I1082" s="10">
        <v>44838</v>
      </c>
      <c r="J1082" s="8" t="s">
        <v>397</v>
      </c>
    </row>
    <row r="1083" spans="1:10" x14ac:dyDescent="0.15">
      <c r="A1083" s="7">
        <v>44846</v>
      </c>
      <c r="B1083" s="8" t="s">
        <v>398</v>
      </c>
      <c r="C1083" s="8" t="s">
        <v>398</v>
      </c>
      <c r="D1083" s="9" t="str">
        <f>HYPERLINK("https://www.marklines.com/en/global/553","Isuzu Motors, Fujisawa Plant")</f>
        <v>Isuzu Motors, Fujisawa Plant</v>
      </c>
      <c r="E1083" s="8" t="s">
        <v>395</v>
      </c>
      <c r="F1083" s="8" t="s">
        <v>25</v>
      </c>
      <c r="G1083" s="8" t="s">
        <v>31</v>
      </c>
      <c r="H1083" s="8" t="s">
        <v>396</v>
      </c>
      <c r="I1083" s="10">
        <v>44838</v>
      </c>
      <c r="J1083" s="8" t="s">
        <v>397</v>
      </c>
    </row>
    <row r="1084" spans="1:10" x14ac:dyDescent="0.15">
      <c r="A1084" s="7">
        <v>44846</v>
      </c>
      <c r="B1084" s="8" t="s">
        <v>398</v>
      </c>
      <c r="C1084" s="8" t="s">
        <v>399</v>
      </c>
      <c r="D1084" s="9" t="str">
        <f>HYPERLINK("https://www.marklines.com/en/global/553","Isuzu Motors, Fujisawa Plant")</f>
        <v>Isuzu Motors, Fujisawa Plant</v>
      </c>
      <c r="E1084" s="8" t="s">
        <v>395</v>
      </c>
      <c r="F1084" s="8" t="s">
        <v>25</v>
      </c>
      <c r="G1084" s="8" t="s">
        <v>31</v>
      </c>
      <c r="H1084" s="8" t="s">
        <v>396</v>
      </c>
      <c r="I1084" s="10">
        <v>44838</v>
      </c>
      <c r="J1084" s="8" t="s">
        <v>397</v>
      </c>
    </row>
    <row r="1085" spans="1:10" x14ac:dyDescent="0.15">
      <c r="A1085" s="7">
        <v>44846</v>
      </c>
      <c r="B1085" s="8" t="s">
        <v>30</v>
      </c>
      <c r="C1085" s="8" t="s">
        <v>30</v>
      </c>
      <c r="D1085" s="9" t="str">
        <f>HYPERLINK("https://www.marklines.com/en/global/433","Toyota Industries Corporation, Nagakusa Plant")</f>
        <v>Toyota Industries Corporation, Nagakusa Plant</v>
      </c>
      <c r="E1085" s="8" t="s">
        <v>119</v>
      </c>
      <c r="F1085" s="8" t="s">
        <v>25</v>
      </c>
      <c r="G1085" s="8" t="s">
        <v>31</v>
      </c>
      <c r="H1085" s="8" t="s">
        <v>32</v>
      </c>
      <c r="I1085" s="10">
        <v>44838</v>
      </c>
      <c r="J1085" s="8" t="s">
        <v>400</v>
      </c>
    </row>
    <row r="1086" spans="1:10" x14ac:dyDescent="0.15">
      <c r="A1086" s="7">
        <v>44846</v>
      </c>
      <c r="B1086" s="8" t="s">
        <v>30</v>
      </c>
      <c r="C1086" s="8" t="s">
        <v>30</v>
      </c>
      <c r="D1086" s="9" t="str">
        <f>HYPERLINK("https://www.marklines.com/en/global/375","Toyota Motor, Takaoka Plant")</f>
        <v>Toyota Motor, Takaoka Plant</v>
      </c>
      <c r="E1086" s="8" t="s">
        <v>51</v>
      </c>
      <c r="F1086" s="8" t="s">
        <v>25</v>
      </c>
      <c r="G1086" s="8" t="s">
        <v>31</v>
      </c>
      <c r="H1086" s="8" t="s">
        <v>32</v>
      </c>
      <c r="I1086" s="10">
        <v>44837</v>
      </c>
      <c r="J1086" s="8" t="s">
        <v>401</v>
      </c>
    </row>
    <row r="1087" spans="1:10" x14ac:dyDescent="0.15">
      <c r="A1087" s="7">
        <v>44846</v>
      </c>
      <c r="B1087" s="8" t="s">
        <v>30</v>
      </c>
      <c r="C1087" s="8" t="s">
        <v>30</v>
      </c>
      <c r="D1087" s="9" t="str">
        <f>HYPERLINK("https://www.marklines.com/en/global/379","Toyota Motor, Tsutsumi Plant")</f>
        <v>Toyota Motor, Tsutsumi Plant</v>
      </c>
      <c r="E1087" s="8" t="s">
        <v>105</v>
      </c>
      <c r="F1087" s="8" t="s">
        <v>25</v>
      </c>
      <c r="G1087" s="8" t="s">
        <v>31</v>
      </c>
      <c r="H1087" s="8" t="s">
        <v>32</v>
      </c>
      <c r="I1087" s="10">
        <v>44837</v>
      </c>
      <c r="J1087" s="8" t="s">
        <v>401</v>
      </c>
    </row>
    <row r="1088" spans="1:10" x14ac:dyDescent="0.15">
      <c r="A1088" s="7">
        <v>44846</v>
      </c>
      <c r="B1088" s="8" t="s">
        <v>30</v>
      </c>
      <c r="C1088" s="8" t="s">
        <v>402</v>
      </c>
      <c r="D1088" s="9" t="str">
        <f>HYPERLINK("https://www.marklines.com/en/global/379","Toyota Motor, Tsutsumi Plant")</f>
        <v>Toyota Motor, Tsutsumi Plant</v>
      </c>
      <c r="E1088" s="8" t="s">
        <v>105</v>
      </c>
      <c r="F1088" s="8" t="s">
        <v>25</v>
      </c>
      <c r="G1088" s="8" t="s">
        <v>31</v>
      </c>
      <c r="H1088" s="8" t="s">
        <v>32</v>
      </c>
      <c r="I1088" s="10">
        <v>44837</v>
      </c>
      <c r="J1088" s="8" t="s">
        <v>401</v>
      </c>
    </row>
    <row r="1089" spans="1:10" x14ac:dyDescent="0.15">
      <c r="A1089" s="7">
        <v>44846</v>
      </c>
      <c r="B1089" s="8" t="s">
        <v>30</v>
      </c>
      <c r="C1089" s="8" t="s">
        <v>320</v>
      </c>
      <c r="D1089" s="9" t="str">
        <f>HYPERLINK("https://www.marklines.com/en/global/379","Toyota Motor, Tsutsumi Plant")</f>
        <v>Toyota Motor, Tsutsumi Plant</v>
      </c>
      <c r="E1089" s="8" t="s">
        <v>105</v>
      </c>
      <c r="F1089" s="8" t="s">
        <v>25</v>
      </c>
      <c r="G1089" s="8" t="s">
        <v>31</v>
      </c>
      <c r="H1089" s="8" t="s">
        <v>32</v>
      </c>
      <c r="I1089" s="10">
        <v>44837</v>
      </c>
      <c r="J1089" s="8" t="s">
        <v>401</v>
      </c>
    </row>
    <row r="1090" spans="1:10" x14ac:dyDescent="0.15">
      <c r="A1090" s="7">
        <v>44846</v>
      </c>
      <c r="B1090" s="8" t="s">
        <v>30</v>
      </c>
      <c r="C1090" s="8" t="s">
        <v>30</v>
      </c>
      <c r="D1090" s="9" t="str">
        <f>HYPERLINK("https://www.marklines.com/en/global/373","Toyota Motor, Motomachi Plant")</f>
        <v>Toyota Motor, Motomachi Plant</v>
      </c>
      <c r="E1090" s="8" t="s">
        <v>36</v>
      </c>
      <c r="F1090" s="8" t="s">
        <v>25</v>
      </c>
      <c r="G1090" s="8" t="s">
        <v>31</v>
      </c>
      <c r="H1090" s="8" t="s">
        <v>32</v>
      </c>
      <c r="I1090" s="10">
        <v>44837</v>
      </c>
      <c r="J1090" s="8" t="s">
        <v>403</v>
      </c>
    </row>
    <row r="1091" spans="1:10" x14ac:dyDescent="0.15">
      <c r="A1091" s="7">
        <v>44846</v>
      </c>
      <c r="B1091" s="8" t="s">
        <v>30</v>
      </c>
      <c r="C1091" s="8" t="s">
        <v>402</v>
      </c>
      <c r="D1091" s="9" t="str">
        <f>HYPERLINK("https://www.marklines.com/en/global/373","Toyota Motor, Motomachi Plant")</f>
        <v>Toyota Motor, Motomachi Plant</v>
      </c>
      <c r="E1091" s="8" t="s">
        <v>36</v>
      </c>
      <c r="F1091" s="8" t="s">
        <v>25</v>
      </c>
      <c r="G1091" s="8" t="s">
        <v>31</v>
      </c>
      <c r="H1091" s="8" t="s">
        <v>32</v>
      </c>
      <c r="I1091" s="10">
        <v>44837</v>
      </c>
      <c r="J1091" s="8" t="s">
        <v>403</v>
      </c>
    </row>
    <row r="1092" spans="1:10" x14ac:dyDescent="0.15">
      <c r="A1092" s="7">
        <v>44846</v>
      </c>
      <c r="B1092" s="8" t="s">
        <v>375</v>
      </c>
      <c r="C1092" s="8" t="s">
        <v>375</v>
      </c>
      <c r="D1092" s="9" t="str">
        <f>HYPERLINK("https://www.marklines.com/en/global/373","Toyota Motor, Motomachi Plant")</f>
        <v>Toyota Motor, Motomachi Plant</v>
      </c>
      <c r="E1092" s="8" t="s">
        <v>36</v>
      </c>
      <c r="F1092" s="8" t="s">
        <v>25</v>
      </c>
      <c r="G1092" s="8" t="s">
        <v>31</v>
      </c>
      <c r="H1092" s="8" t="s">
        <v>32</v>
      </c>
      <c r="I1092" s="10">
        <v>44837</v>
      </c>
      <c r="J1092" s="8" t="s">
        <v>403</v>
      </c>
    </row>
    <row r="1093" spans="1:10" x14ac:dyDescent="0.15">
      <c r="A1093" s="7">
        <v>44846</v>
      </c>
      <c r="B1093" s="8" t="s">
        <v>404</v>
      </c>
      <c r="C1093" s="8" t="s">
        <v>404</v>
      </c>
      <c r="D1093" s="9" t="str">
        <f>HYPERLINK("https://www.marklines.com/en/global/9530","Chongqing Li Auto Automobile Co., Ltd. Changzhou Branch (formerly Jiangsu CHJ Automobile Co., Ltd.)")</f>
        <v>Chongqing Li Auto Automobile Co., Ltd. Changzhou Branch (formerly Jiangsu CHJ Automobile Co., Ltd.)</v>
      </c>
      <c r="E1093" s="8" t="s">
        <v>405</v>
      </c>
      <c r="F1093" s="8" t="s">
        <v>25</v>
      </c>
      <c r="G1093" s="8" t="s">
        <v>71</v>
      </c>
      <c r="H1093" s="8" t="s">
        <v>351</v>
      </c>
      <c r="I1093" s="10">
        <v>44834</v>
      </c>
      <c r="J1093" s="8" t="s">
        <v>406</v>
      </c>
    </row>
    <row r="1094" spans="1:10" x14ac:dyDescent="0.15">
      <c r="A1094" s="7">
        <v>44846</v>
      </c>
      <c r="B1094" s="8" t="s">
        <v>404</v>
      </c>
      <c r="C1094" s="8" t="s">
        <v>404</v>
      </c>
      <c r="D1094" s="9" t="str">
        <f>HYPERLINK("https://www.marklines.com/en/global/9530","Chongqing Li Auto Automobile Co., Ltd. Changzhou Branch (formerly Jiangsu CHJ Automobile Co., Ltd.)")</f>
        <v>Chongqing Li Auto Automobile Co., Ltd. Changzhou Branch (formerly Jiangsu CHJ Automobile Co., Ltd.)</v>
      </c>
      <c r="E1094" s="8" t="s">
        <v>405</v>
      </c>
      <c r="F1094" s="8" t="s">
        <v>25</v>
      </c>
      <c r="G1094" s="8" t="s">
        <v>71</v>
      </c>
      <c r="H1094" s="8" t="s">
        <v>351</v>
      </c>
      <c r="I1094" s="10">
        <v>44834</v>
      </c>
      <c r="J1094" s="8" t="s">
        <v>407</v>
      </c>
    </row>
    <row r="1095" spans="1:10" x14ac:dyDescent="0.15">
      <c r="A1095" s="7">
        <v>44846</v>
      </c>
      <c r="B1095" s="8" t="s">
        <v>17</v>
      </c>
      <c r="C1095" s="8" t="s">
        <v>17</v>
      </c>
      <c r="D1095" s="9" t="str">
        <f>HYPERLINK("https://www.marklines.com/en/global/3981","Dongfeng Honda Automobile Co., Ltd. ")</f>
        <v xml:space="preserve">Dongfeng Honda Automobile Co., Ltd. </v>
      </c>
      <c r="E1095" s="8" t="s">
        <v>408</v>
      </c>
      <c r="F1095" s="8" t="s">
        <v>25</v>
      </c>
      <c r="G1095" s="8" t="s">
        <v>71</v>
      </c>
      <c r="H1095" s="8" t="s">
        <v>90</v>
      </c>
      <c r="I1095" s="10">
        <v>44832</v>
      </c>
      <c r="J1095" s="8" t="s">
        <v>409</v>
      </c>
    </row>
    <row r="1096" spans="1:10" x14ac:dyDescent="0.15">
      <c r="A1096" s="7">
        <v>44846</v>
      </c>
      <c r="B1096" s="8" t="s">
        <v>101</v>
      </c>
      <c r="C1096" s="8" t="s">
        <v>101</v>
      </c>
      <c r="D1096" s="9" t="str">
        <f>HYPERLINK("https://www.marklines.com/en/global/3981","Dongfeng Honda Automobile Co., Ltd. ")</f>
        <v xml:space="preserve">Dongfeng Honda Automobile Co., Ltd. </v>
      </c>
      <c r="E1096" s="8" t="s">
        <v>408</v>
      </c>
      <c r="F1096" s="8" t="s">
        <v>25</v>
      </c>
      <c r="G1096" s="8" t="s">
        <v>71</v>
      </c>
      <c r="H1096" s="8" t="s">
        <v>90</v>
      </c>
      <c r="I1096" s="10">
        <v>44832</v>
      </c>
      <c r="J1096" s="8" t="s">
        <v>409</v>
      </c>
    </row>
    <row r="1097" spans="1:10" x14ac:dyDescent="0.15">
      <c r="A1097" s="7">
        <v>44845</v>
      </c>
      <c r="B1097" s="8" t="s">
        <v>289</v>
      </c>
      <c r="C1097" s="8" t="s">
        <v>289</v>
      </c>
      <c r="D1097" s="9" t="str">
        <f>HYPERLINK("https://www.marklines.com/en/global/10189","Renault Technology Korea (RTK) Seoul")</f>
        <v>Renault Technology Korea (RTK) Seoul</v>
      </c>
      <c r="E1097" s="8" t="s">
        <v>410</v>
      </c>
      <c r="F1097" s="8" t="s">
        <v>25</v>
      </c>
      <c r="G1097" s="8" t="s">
        <v>411</v>
      </c>
      <c r="H1097" s="8"/>
      <c r="I1097" s="10">
        <v>44845</v>
      </c>
      <c r="J1097" s="8" t="s">
        <v>412</v>
      </c>
    </row>
    <row r="1098" spans="1:10" x14ac:dyDescent="0.15">
      <c r="A1098" s="7">
        <v>44845</v>
      </c>
      <c r="B1098" s="8" t="s">
        <v>289</v>
      </c>
      <c r="C1098" s="8" t="s">
        <v>289</v>
      </c>
      <c r="D1098" s="9" t="str">
        <f>HYPERLINK("https://www.marklines.com/en/global/10191","Renault Design Center (Seoul)")</f>
        <v>Renault Design Center (Seoul)</v>
      </c>
      <c r="E1098" s="8" t="s">
        <v>413</v>
      </c>
      <c r="F1098" s="8" t="s">
        <v>25</v>
      </c>
      <c r="G1098" s="8" t="s">
        <v>411</v>
      </c>
      <c r="H1098" s="8"/>
      <c r="I1098" s="10">
        <v>44845</v>
      </c>
      <c r="J1098" s="8" t="s">
        <v>412</v>
      </c>
    </row>
    <row r="1099" spans="1:10" x14ac:dyDescent="0.15">
      <c r="A1099" s="7">
        <v>44845</v>
      </c>
      <c r="B1099" s="8" t="s">
        <v>289</v>
      </c>
      <c r="C1099" s="8" t="s">
        <v>289</v>
      </c>
      <c r="D1099" s="9" t="str">
        <f>HYPERLINK("https://www.marklines.com/en/global/2423","Renault Korea Motors ")</f>
        <v xml:space="preserve">Renault Korea Motors </v>
      </c>
      <c r="E1099" s="8" t="s">
        <v>414</v>
      </c>
      <c r="F1099" s="8" t="s">
        <v>25</v>
      </c>
      <c r="G1099" s="8" t="s">
        <v>411</v>
      </c>
      <c r="H1099" s="8"/>
      <c r="I1099" s="10">
        <v>44845</v>
      </c>
      <c r="J1099" s="8" t="s">
        <v>412</v>
      </c>
    </row>
    <row r="1100" spans="1:10" x14ac:dyDescent="0.15">
      <c r="A1100" s="7">
        <v>44845</v>
      </c>
      <c r="B1100" s="8" t="s">
        <v>289</v>
      </c>
      <c r="C1100" s="8" t="s">
        <v>289</v>
      </c>
      <c r="D1100" s="9" t="str">
        <f>HYPERLINK("https://www.marklines.com/en/global/2425","Renault Korea Motors (formerly Renault Samsung), Busan Plant")</f>
        <v>Renault Korea Motors (formerly Renault Samsung), Busan Plant</v>
      </c>
      <c r="E1100" s="8" t="s">
        <v>415</v>
      </c>
      <c r="F1100" s="8" t="s">
        <v>25</v>
      </c>
      <c r="G1100" s="8" t="s">
        <v>411</v>
      </c>
      <c r="H1100" s="8"/>
      <c r="I1100" s="10">
        <v>44845</v>
      </c>
      <c r="J1100" s="8" t="s">
        <v>412</v>
      </c>
    </row>
    <row r="1101" spans="1:10" x14ac:dyDescent="0.15">
      <c r="A1101" s="7">
        <v>44845</v>
      </c>
      <c r="B1101" s="8" t="s">
        <v>416</v>
      </c>
      <c r="C1101" s="8" t="s">
        <v>416</v>
      </c>
      <c r="D1101" s="9" t="str">
        <f>HYPERLINK("https://www.marklines.com/en/global/9057","Neftekamsk Motor Plant OJSC (OAO Neftekamskij avtozavod (NefAZ))")</f>
        <v>Neftekamsk Motor Plant OJSC (OAO Neftekamskij avtozavod (NefAZ))</v>
      </c>
      <c r="E1101" s="8" t="s">
        <v>417</v>
      </c>
      <c r="F1101" s="8" t="s">
        <v>21</v>
      </c>
      <c r="G1101" s="8" t="s">
        <v>16</v>
      </c>
      <c r="H1101" s="8"/>
      <c r="I1101" s="10">
        <v>44845</v>
      </c>
      <c r="J1101" s="8" t="s">
        <v>418</v>
      </c>
    </row>
    <row r="1102" spans="1:10" x14ac:dyDescent="0.15">
      <c r="A1102" s="7">
        <v>44845</v>
      </c>
      <c r="B1102" s="8" t="s">
        <v>15</v>
      </c>
      <c r="C1102" s="8" t="s">
        <v>419</v>
      </c>
      <c r="D1102" s="9" t="str">
        <f>HYPERLINK("https://www.marklines.com/en/global/9057","Neftekamsk Motor Plant OJSC (OAO Neftekamskij avtozavod (NefAZ))")</f>
        <v>Neftekamsk Motor Plant OJSC (OAO Neftekamskij avtozavod (NefAZ))</v>
      </c>
      <c r="E1102" s="8" t="s">
        <v>417</v>
      </c>
      <c r="F1102" s="8" t="s">
        <v>21</v>
      </c>
      <c r="G1102" s="8" t="s">
        <v>16</v>
      </c>
      <c r="H1102" s="8"/>
      <c r="I1102" s="10">
        <v>44845</v>
      </c>
      <c r="J1102" s="8" t="s">
        <v>418</v>
      </c>
    </row>
    <row r="1103" spans="1:10" x14ac:dyDescent="0.15">
      <c r="A1103" s="7">
        <v>44845</v>
      </c>
      <c r="B1103" s="8" t="s">
        <v>59</v>
      </c>
      <c r="C1103" s="8" t="s">
        <v>265</v>
      </c>
      <c r="D1103" s="9" t="str">
        <f>HYPERLINK("https://www.marklines.com/en/global/137","Stellantis, PSA, Poissy Plant")</f>
        <v>Stellantis, PSA, Poissy Plant</v>
      </c>
      <c r="E1103" s="8" t="s">
        <v>420</v>
      </c>
      <c r="F1103" s="8" t="s">
        <v>20</v>
      </c>
      <c r="G1103" s="8" t="s">
        <v>86</v>
      </c>
      <c r="H1103" s="8"/>
      <c r="I1103" s="10">
        <v>44844</v>
      </c>
      <c r="J1103" s="8" t="s">
        <v>421</v>
      </c>
    </row>
    <row r="1104" spans="1:10" x14ac:dyDescent="0.15">
      <c r="A1104" s="7">
        <v>44845</v>
      </c>
      <c r="B1104" s="8" t="s">
        <v>59</v>
      </c>
      <c r="C1104" s="8" t="s">
        <v>266</v>
      </c>
      <c r="D1104" s="9" t="str">
        <f>HYPERLINK("https://www.marklines.com/en/global/137","Stellantis, PSA, Poissy Plant")</f>
        <v>Stellantis, PSA, Poissy Plant</v>
      </c>
      <c r="E1104" s="8" t="s">
        <v>420</v>
      </c>
      <c r="F1104" s="8" t="s">
        <v>20</v>
      </c>
      <c r="G1104" s="8" t="s">
        <v>86</v>
      </c>
      <c r="H1104" s="8"/>
      <c r="I1104" s="10">
        <v>44844</v>
      </c>
      <c r="J1104" s="8" t="s">
        <v>421</v>
      </c>
    </row>
    <row r="1105" spans="1:10" x14ac:dyDescent="0.15">
      <c r="A1105" s="7">
        <v>44845</v>
      </c>
      <c r="B1105" s="8" t="s">
        <v>59</v>
      </c>
      <c r="C1105" s="8" t="s">
        <v>60</v>
      </c>
      <c r="D1105" s="9" t="str">
        <f>HYPERLINK("https://www.marklines.com/en/global/137","Stellantis, PSA, Poissy Plant")</f>
        <v>Stellantis, PSA, Poissy Plant</v>
      </c>
      <c r="E1105" s="8" t="s">
        <v>420</v>
      </c>
      <c r="F1105" s="8" t="s">
        <v>20</v>
      </c>
      <c r="G1105" s="8" t="s">
        <v>86</v>
      </c>
      <c r="H1105" s="8"/>
      <c r="I1105" s="10">
        <v>44844</v>
      </c>
      <c r="J1105" s="8" t="s">
        <v>421</v>
      </c>
    </row>
    <row r="1106" spans="1:10" x14ac:dyDescent="0.15">
      <c r="A1106" s="7">
        <v>44845</v>
      </c>
      <c r="B1106" s="8" t="s">
        <v>59</v>
      </c>
      <c r="C1106" s="8" t="s">
        <v>60</v>
      </c>
      <c r="D1106" s="9" t="str">
        <f>HYPERLINK("https://www.marklines.com/en/global/139","Stellantis, PSA, Mulhouse Plant")</f>
        <v>Stellantis, PSA, Mulhouse Plant</v>
      </c>
      <c r="E1106" s="8" t="s">
        <v>422</v>
      </c>
      <c r="F1106" s="8" t="s">
        <v>20</v>
      </c>
      <c r="G1106" s="8" t="s">
        <v>86</v>
      </c>
      <c r="H1106" s="8"/>
      <c r="I1106" s="10">
        <v>44844</v>
      </c>
      <c r="J1106" s="8" t="s">
        <v>421</v>
      </c>
    </row>
    <row r="1107" spans="1:10" x14ac:dyDescent="0.15">
      <c r="A1107" s="7">
        <v>44845</v>
      </c>
      <c r="B1107" s="8" t="s">
        <v>59</v>
      </c>
      <c r="C1107" s="8" t="s">
        <v>62</v>
      </c>
      <c r="D1107" s="9" t="str">
        <f>HYPERLINK("https://www.marklines.com/en/global/137","Stellantis, PSA, Poissy Plant")</f>
        <v>Stellantis, PSA, Poissy Plant</v>
      </c>
      <c r="E1107" s="8" t="s">
        <v>420</v>
      </c>
      <c r="F1107" s="8" t="s">
        <v>20</v>
      </c>
      <c r="G1107" s="8" t="s">
        <v>86</v>
      </c>
      <c r="H1107" s="8"/>
      <c r="I1107" s="10">
        <v>44844</v>
      </c>
      <c r="J1107" s="8" t="s">
        <v>421</v>
      </c>
    </row>
    <row r="1108" spans="1:10" x14ac:dyDescent="0.15">
      <c r="A1108" s="7">
        <v>44845</v>
      </c>
      <c r="B1108" s="8" t="s">
        <v>59</v>
      </c>
      <c r="C1108" s="8" t="s">
        <v>159</v>
      </c>
      <c r="D1108" s="9" t="str">
        <f>HYPERLINK("https://www.marklines.com/en/global/137","Stellantis, PSA, Poissy Plant")</f>
        <v>Stellantis, PSA, Poissy Plant</v>
      </c>
      <c r="E1108" s="8" t="s">
        <v>420</v>
      </c>
      <c r="F1108" s="8" t="s">
        <v>20</v>
      </c>
      <c r="G1108" s="8" t="s">
        <v>86</v>
      </c>
      <c r="H1108" s="8"/>
      <c r="I1108" s="10">
        <v>44844</v>
      </c>
      <c r="J1108" s="8" t="s">
        <v>421</v>
      </c>
    </row>
    <row r="1109" spans="1:10" x14ac:dyDescent="0.15">
      <c r="A1109" s="7">
        <v>44845</v>
      </c>
      <c r="B1109" s="8" t="s">
        <v>59</v>
      </c>
      <c r="C1109" s="8" t="s">
        <v>159</v>
      </c>
      <c r="D1109" s="9" t="str">
        <f>HYPERLINK("https://www.marklines.com/en/global/139","Stellantis, PSA, Mulhouse Plant")</f>
        <v>Stellantis, PSA, Mulhouse Plant</v>
      </c>
      <c r="E1109" s="8" t="s">
        <v>422</v>
      </c>
      <c r="F1109" s="8" t="s">
        <v>20</v>
      </c>
      <c r="G1109" s="8" t="s">
        <v>86</v>
      </c>
      <c r="H1109" s="8"/>
      <c r="I1109" s="10">
        <v>44844</v>
      </c>
      <c r="J1109" s="8" t="s">
        <v>421</v>
      </c>
    </row>
    <row r="1110" spans="1:10" x14ac:dyDescent="0.15">
      <c r="A1110" s="7">
        <v>44845</v>
      </c>
      <c r="B1110" s="8" t="s">
        <v>76</v>
      </c>
      <c r="C1110" s="8" t="s">
        <v>76</v>
      </c>
      <c r="D1110" s="9" t="str">
        <f>HYPERLINK("https://www.marklines.com/en/global/10535","Aurobay (Powertrain Engineering Sweden AB)")</f>
        <v>Aurobay (Powertrain Engineering Sweden AB)</v>
      </c>
      <c r="E1110" s="8" t="s">
        <v>248</v>
      </c>
      <c r="F1110" s="8" t="s">
        <v>20</v>
      </c>
      <c r="G1110" s="8" t="s">
        <v>34</v>
      </c>
      <c r="H1110" s="8"/>
      <c r="I1110" s="10">
        <v>44844</v>
      </c>
      <c r="J1110" s="8" t="s">
        <v>423</v>
      </c>
    </row>
    <row r="1111" spans="1:10" x14ac:dyDescent="0.15">
      <c r="A1111" s="7">
        <v>44845</v>
      </c>
      <c r="B1111" s="8" t="s">
        <v>76</v>
      </c>
      <c r="C1111" s="8" t="s">
        <v>76</v>
      </c>
      <c r="D1111" s="9" t="str">
        <f>HYPERLINK("https://www.marklines.com/en/global/9084","Volvo Cars Engine Skövde (VCES), Skövde Plant")</f>
        <v>Volvo Cars Engine Skövde (VCES), Skövde Plant</v>
      </c>
      <c r="E1111" s="8" t="s">
        <v>424</v>
      </c>
      <c r="F1111" s="8" t="s">
        <v>20</v>
      </c>
      <c r="G1111" s="8" t="s">
        <v>34</v>
      </c>
      <c r="H1111" s="8"/>
      <c r="I1111" s="10">
        <v>44844</v>
      </c>
      <c r="J1111" s="8" t="s">
        <v>423</v>
      </c>
    </row>
    <row r="1112" spans="1:10" x14ac:dyDescent="0.15">
      <c r="A1112" s="7">
        <v>44845</v>
      </c>
      <c r="B1112" s="8" t="s">
        <v>76</v>
      </c>
      <c r="C1112" s="8" t="s">
        <v>77</v>
      </c>
      <c r="D1112" s="9" t="str">
        <f>HYPERLINK("https://www.marklines.com/en/global/10535","Aurobay (Powertrain Engineering Sweden AB)")</f>
        <v>Aurobay (Powertrain Engineering Sweden AB)</v>
      </c>
      <c r="E1112" s="8" t="s">
        <v>248</v>
      </c>
      <c r="F1112" s="8" t="s">
        <v>20</v>
      </c>
      <c r="G1112" s="8" t="s">
        <v>34</v>
      </c>
      <c r="H1112" s="8"/>
      <c r="I1112" s="10">
        <v>44844</v>
      </c>
      <c r="J1112" s="8" t="s">
        <v>423</v>
      </c>
    </row>
    <row r="1113" spans="1:10" x14ac:dyDescent="0.15">
      <c r="A1113" s="7">
        <v>44845</v>
      </c>
      <c r="B1113" s="8" t="s">
        <v>76</v>
      </c>
      <c r="C1113" s="8" t="s">
        <v>77</v>
      </c>
      <c r="D1113" s="9" t="str">
        <f>HYPERLINK("https://www.marklines.com/en/global/9084","Volvo Cars Engine Skövde (VCES), Skövde Plant")</f>
        <v>Volvo Cars Engine Skövde (VCES), Skövde Plant</v>
      </c>
      <c r="E1113" s="8" t="s">
        <v>424</v>
      </c>
      <c r="F1113" s="8" t="s">
        <v>20</v>
      </c>
      <c r="G1113" s="8" t="s">
        <v>34</v>
      </c>
      <c r="H1113" s="8"/>
      <c r="I1113" s="10">
        <v>44844</v>
      </c>
      <c r="J1113" s="8" t="s">
        <v>423</v>
      </c>
    </row>
    <row r="1114" spans="1:10" x14ac:dyDescent="0.15">
      <c r="A1114" s="7">
        <v>44845</v>
      </c>
      <c r="B1114" s="8" t="s">
        <v>76</v>
      </c>
      <c r="C1114" s="8" t="s">
        <v>76</v>
      </c>
      <c r="D1114" s="9" t="str">
        <f>HYPERLINK("https://www.marklines.com/en/global/10536","Shandong Geely New Energy Commercial Vehicle Co., Ltd.")</f>
        <v>Shandong Geely New Energy Commercial Vehicle Co., Ltd.</v>
      </c>
      <c r="E1114" s="8" t="s">
        <v>425</v>
      </c>
      <c r="F1114" s="8" t="s">
        <v>25</v>
      </c>
      <c r="G1114" s="8" t="s">
        <v>71</v>
      </c>
      <c r="H1114" s="8" t="s">
        <v>104</v>
      </c>
      <c r="I1114" s="10">
        <v>44833</v>
      </c>
      <c r="J1114" s="8" t="s">
        <v>426</v>
      </c>
    </row>
    <row r="1115" spans="1:10" x14ac:dyDescent="0.15">
      <c r="A1115" s="7">
        <v>44845</v>
      </c>
      <c r="B1115" s="8" t="s">
        <v>97</v>
      </c>
      <c r="C1115" s="8" t="s">
        <v>97</v>
      </c>
      <c r="D1115" s="9" t="str">
        <f>HYPERLINK("https://www.marklines.com/en/global/9605","Dongfeng Motor Co., Ltd. Wuhan Branch (formerly Dongfeng Nissan Passenger Vehicle Company Wuhan Plant)")</f>
        <v>Dongfeng Motor Co., Ltd. Wuhan Branch (formerly Dongfeng Nissan Passenger Vehicle Company Wuhan Plant)</v>
      </c>
      <c r="E1115" s="8" t="s">
        <v>427</v>
      </c>
      <c r="F1115" s="8" t="s">
        <v>25</v>
      </c>
      <c r="G1115" s="8" t="s">
        <v>71</v>
      </c>
      <c r="H1115" s="8" t="s">
        <v>90</v>
      </c>
      <c r="I1115" s="10">
        <v>44831</v>
      </c>
      <c r="J1115" s="8" t="s">
        <v>428</v>
      </c>
    </row>
    <row r="1116" spans="1:10" x14ac:dyDescent="0.15">
      <c r="A1116" s="7">
        <v>44845</v>
      </c>
      <c r="B1116" s="8" t="s">
        <v>101</v>
      </c>
      <c r="C1116" s="8" t="s">
        <v>101</v>
      </c>
      <c r="D1116" s="9" t="str">
        <f>HYPERLINK("https://www.marklines.com/en/global/9605","Dongfeng Motor Co., Ltd. Wuhan Branch (formerly Dongfeng Nissan Passenger Vehicle Company Wuhan Plant)")</f>
        <v>Dongfeng Motor Co., Ltd. Wuhan Branch (formerly Dongfeng Nissan Passenger Vehicle Company Wuhan Plant)</v>
      </c>
      <c r="E1116" s="8" t="s">
        <v>427</v>
      </c>
      <c r="F1116" s="8" t="s">
        <v>25</v>
      </c>
      <c r="G1116" s="8" t="s">
        <v>71</v>
      </c>
      <c r="H1116" s="8" t="s">
        <v>90</v>
      </c>
      <c r="I1116" s="10">
        <v>44831</v>
      </c>
      <c r="J1116" s="8" t="s">
        <v>428</v>
      </c>
    </row>
    <row r="1117" spans="1:10" x14ac:dyDescent="0.15">
      <c r="A1117" s="7">
        <v>44844</v>
      </c>
      <c r="B1117" s="8" t="s">
        <v>52</v>
      </c>
      <c r="C1117" s="8" t="s">
        <v>91</v>
      </c>
      <c r="D1117" s="9" t="str">
        <f>HYPERLINK("https://www.marklines.com/en/global/1325","Stellantis, FCA Italy, Melfi Plant")</f>
        <v>Stellantis, FCA Italy, Melfi Plant</v>
      </c>
      <c r="E1117" s="8" t="s">
        <v>141</v>
      </c>
      <c r="F1117" s="8" t="s">
        <v>20</v>
      </c>
      <c r="G1117" s="8" t="s">
        <v>110</v>
      </c>
      <c r="H1117" s="8"/>
      <c r="I1117" s="10">
        <v>44841</v>
      </c>
      <c r="J1117" s="8" t="s">
        <v>182</v>
      </c>
    </row>
    <row r="1118" spans="1:10" x14ac:dyDescent="0.15">
      <c r="A1118" s="7">
        <v>44844</v>
      </c>
      <c r="B1118" s="8" t="s">
        <v>59</v>
      </c>
      <c r="C1118" s="8" t="s">
        <v>63</v>
      </c>
      <c r="D1118" s="9" t="str">
        <f>HYPERLINK("https://www.marklines.com/en/global/1325","Stellantis, FCA Italy, Melfi Plant")</f>
        <v>Stellantis, FCA Italy, Melfi Plant</v>
      </c>
      <c r="E1118" s="8" t="s">
        <v>141</v>
      </c>
      <c r="F1118" s="8" t="s">
        <v>20</v>
      </c>
      <c r="G1118" s="8" t="s">
        <v>110</v>
      </c>
      <c r="H1118" s="8"/>
      <c r="I1118" s="10">
        <v>44841</v>
      </c>
      <c r="J1118" s="8" t="s">
        <v>182</v>
      </c>
    </row>
    <row r="1119" spans="1:10" x14ac:dyDescent="0.15">
      <c r="A1119" s="7">
        <v>44844</v>
      </c>
      <c r="B1119" s="8" t="s">
        <v>30</v>
      </c>
      <c r="C1119" s="8" t="s">
        <v>30</v>
      </c>
      <c r="D1119" s="9" t="str">
        <f>HYPERLINK("https://www.marklines.com/en/global/2381","Toyota Motor Manufacturing (UK)Ltd. (TMUK), Deeside Plant")</f>
        <v>Toyota Motor Manufacturing (UK)Ltd. (TMUK), Deeside Plant</v>
      </c>
      <c r="E1119" s="8" t="s">
        <v>150</v>
      </c>
      <c r="F1119" s="8" t="s">
        <v>20</v>
      </c>
      <c r="G1119" s="8" t="s">
        <v>98</v>
      </c>
      <c r="H1119" s="8"/>
      <c r="I1119" s="10">
        <v>44841</v>
      </c>
      <c r="J1119" s="8" t="s">
        <v>183</v>
      </c>
    </row>
    <row r="1120" spans="1:10" x14ac:dyDescent="0.15">
      <c r="A1120" s="7">
        <v>44844</v>
      </c>
      <c r="B1120" s="8" t="s">
        <v>125</v>
      </c>
      <c r="C1120" s="8" t="s">
        <v>125</v>
      </c>
      <c r="D1120" s="9" t="str">
        <f>HYPERLINK("https://www.marklines.com/en/global/1534","Aston Martin Lagonda Ltd.")</f>
        <v>Aston Martin Lagonda Ltd.</v>
      </c>
      <c r="E1120" s="8" t="s">
        <v>124</v>
      </c>
      <c r="F1120" s="8" t="s">
        <v>20</v>
      </c>
      <c r="G1120" s="8" t="s">
        <v>98</v>
      </c>
      <c r="H1120" s="8"/>
      <c r="I1120" s="10">
        <v>44834</v>
      </c>
      <c r="J1120" s="8" t="s">
        <v>184</v>
      </c>
    </row>
    <row r="1121" spans="1:10" x14ac:dyDescent="0.15">
      <c r="A1121" s="7">
        <v>44844</v>
      </c>
      <c r="B1121" s="8" t="s">
        <v>76</v>
      </c>
      <c r="C1121" s="8" t="s">
        <v>76</v>
      </c>
      <c r="D1121" s="9" t="str">
        <f>HYPERLINK("https://www.marklines.com/en/global/1534","Aston Martin Lagonda Ltd.")</f>
        <v>Aston Martin Lagonda Ltd.</v>
      </c>
      <c r="E1121" s="8" t="s">
        <v>124</v>
      </c>
      <c r="F1121" s="8" t="s">
        <v>20</v>
      </c>
      <c r="G1121" s="8" t="s">
        <v>98</v>
      </c>
      <c r="H1121" s="8"/>
      <c r="I1121" s="10">
        <v>44834</v>
      </c>
      <c r="J1121" s="8" t="s">
        <v>184</v>
      </c>
    </row>
    <row r="1122" spans="1:10" x14ac:dyDescent="0.15">
      <c r="A1122" s="7">
        <v>44844</v>
      </c>
      <c r="B1122" s="8" t="s">
        <v>101</v>
      </c>
      <c r="C1122" s="8" t="s">
        <v>102</v>
      </c>
      <c r="D1122" s="9" t="str">
        <f>HYPERLINK("https://www.marklines.com/en/global/9578","Seres Group Co., Ltd. (formerly Chongqing Sokon Industrial Group Co., Ltd.)")</f>
        <v>Seres Group Co., Ltd. (formerly Chongqing Sokon Industrial Group Co., Ltd.)</v>
      </c>
      <c r="E1122" s="8" t="s">
        <v>103</v>
      </c>
      <c r="F1122" s="8" t="s">
        <v>25</v>
      </c>
      <c r="G1122" s="8" t="s">
        <v>71</v>
      </c>
      <c r="H1122" s="8" t="s">
        <v>81</v>
      </c>
      <c r="I1122" s="10">
        <v>44833</v>
      </c>
      <c r="J1122" s="8" t="s">
        <v>185</v>
      </c>
    </row>
    <row r="1123" spans="1:10" x14ac:dyDescent="0.15">
      <c r="A1123" s="7">
        <v>44844</v>
      </c>
      <c r="B1123" s="8" t="s">
        <v>173</v>
      </c>
      <c r="C1123" s="8" t="s">
        <v>173</v>
      </c>
      <c r="D1123" s="9" t="str">
        <f>HYPERLINK("https://www.marklines.com/en/global/9536","Zhejiang Leapmotor Technology Co., Ltd.")</f>
        <v>Zhejiang Leapmotor Technology Co., Ltd.</v>
      </c>
      <c r="E1123" s="8" t="s">
        <v>174</v>
      </c>
      <c r="F1123" s="8" t="s">
        <v>25</v>
      </c>
      <c r="G1123" s="8" t="s">
        <v>71</v>
      </c>
      <c r="H1123" s="8" t="s">
        <v>78</v>
      </c>
      <c r="I1123" s="10">
        <v>44833</v>
      </c>
      <c r="J1123" s="8" t="s">
        <v>186</v>
      </c>
    </row>
    <row r="1124" spans="1:10" x14ac:dyDescent="0.15">
      <c r="A1124" s="7">
        <v>44844</v>
      </c>
      <c r="B1124" s="8" t="s">
        <v>79</v>
      </c>
      <c r="C1124" s="8" t="s">
        <v>79</v>
      </c>
      <c r="D1124" s="9" t="str">
        <f>HYPERLINK("https://www.marklines.com/en/global/4163","Chongqing Changan Automobile Co., Ltd.")</f>
        <v>Chongqing Changan Automobile Co., Ltd.</v>
      </c>
      <c r="E1124" s="8" t="s">
        <v>80</v>
      </c>
      <c r="F1124" s="8" t="s">
        <v>25</v>
      </c>
      <c r="G1124" s="8" t="s">
        <v>71</v>
      </c>
      <c r="H1124" s="8" t="s">
        <v>81</v>
      </c>
      <c r="I1124" s="10">
        <v>44832</v>
      </c>
      <c r="J1124" s="8" t="s">
        <v>187</v>
      </c>
    </row>
    <row r="1125" spans="1:10" x14ac:dyDescent="0.15">
      <c r="A1125" s="7">
        <v>44844</v>
      </c>
      <c r="B1125" s="8" t="s">
        <v>89</v>
      </c>
      <c r="C1125" s="8" t="s">
        <v>95</v>
      </c>
      <c r="D1125" s="9" t="str">
        <f>HYPERLINK("https://www.marklines.com/en/global/9836","Great Wall Motor Co., Ltd. Xushui Branch")</f>
        <v>Great Wall Motor Co., Ltd. Xushui Branch</v>
      </c>
      <c r="E1125" s="8" t="s">
        <v>188</v>
      </c>
      <c r="F1125" s="8" t="s">
        <v>25</v>
      </c>
      <c r="G1125" s="8" t="s">
        <v>71</v>
      </c>
      <c r="H1125" s="8" t="s">
        <v>90</v>
      </c>
      <c r="I1125" s="10">
        <v>44832</v>
      </c>
      <c r="J1125" s="8" t="s">
        <v>189</v>
      </c>
    </row>
    <row r="1126" spans="1:10" x14ac:dyDescent="0.15">
      <c r="A1126" s="7">
        <v>44844</v>
      </c>
      <c r="B1126" s="8" t="s">
        <v>100</v>
      </c>
      <c r="C1126" s="8" t="s">
        <v>113</v>
      </c>
      <c r="D1126" s="9" t="str">
        <f>HYPERLINK("https://www.marklines.com/en/global/4153"," SAIC-GM-Wuling Automobile Co., Ltd. (SGMW)　")</f>
        <v xml:space="preserve"> SAIC-GM-Wuling Automobile Co., Ltd. (SGMW)　</v>
      </c>
      <c r="E1126" s="8" t="s">
        <v>121</v>
      </c>
      <c r="F1126" s="8" t="s">
        <v>25</v>
      </c>
      <c r="G1126" s="8" t="s">
        <v>71</v>
      </c>
      <c r="H1126" s="8" t="s">
        <v>122</v>
      </c>
      <c r="I1126" s="10">
        <v>44832</v>
      </c>
      <c r="J1126" s="8" t="s">
        <v>190</v>
      </c>
    </row>
    <row r="1127" spans="1:10" x14ac:dyDescent="0.15">
      <c r="A1127" s="7">
        <v>44844</v>
      </c>
      <c r="B1127" s="8" t="s">
        <v>100</v>
      </c>
      <c r="C1127" s="8" t="s">
        <v>113</v>
      </c>
      <c r="D1127" s="9" t="str">
        <f>HYPERLINK("https://www.marklines.com/en/global/3687","SAIC GM Wuling Automobile Co., Ltd. Qingdao Branch (SGMW Qingdao Branch)")</f>
        <v>SAIC GM Wuling Automobile Co., Ltd. Qingdao Branch (SGMW Qingdao Branch)</v>
      </c>
      <c r="E1127" s="8" t="s">
        <v>146</v>
      </c>
      <c r="F1127" s="8" t="s">
        <v>25</v>
      </c>
      <c r="G1127" s="8" t="s">
        <v>71</v>
      </c>
      <c r="H1127" s="8" t="s">
        <v>104</v>
      </c>
      <c r="I1127" s="10">
        <v>44832</v>
      </c>
      <c r="J1127" s="8" t="s">
        <v>190</v>
      </c>
    </row>
    <row r="1128" spans="1:10" x14ac:dyDescent="0.15">
      <c r="A1128" s="7">
        <v>44844</v>
      </c>
      <c r="B1128" s="8" t="s">
        <v>100</v>
      </c>
      <c r="C1128" s="8" t="s">
        <v>113</v>
      </c>
      <c r="D1128" s="9" t="str">
        <f>HYPERLINK("https://www.marklines.com/en/global/9039","SAIC GM Wuling Automobile Co., Ltd. Chongqing Branch (SGMW Chongqing Branch)")</f>
        <v>SAIC GM Wuling Automobile Co., Ltd. Chongqing Branch (SGMW Chongqing Branch)</v>
      </c>
      <c r="E1128" s="8" t="s">
        <v>145</v>
      </c>
      <c r="F1128" s="8" t="s">
        <v>25</v>
      </c>
      <c r="G1128" s="8" t="s">
        <v>71</v>
      </c>
      <c r="H1128" s="8" t="s">
        <v>81</v>
      </c>
      <c r="I1128" s="10">
        <v>44832</v>
      </c>
      <c r="J1128" s="8" t="s">
        <v>190</v>
      </c>
    </row>
    <row r="1129" spans="1:10" x14ac:dyDescent="0.15">
      <c r="A1129" s="7">
        <v>44844</v>
      </c>
      <c r="B1129" s="8" t="s">
        <v>82</v>
      </c>
      <c r="C1129" s="8" t="s">
        <v>133</v>
      </c>
      <c r="D1129" s="9" t="str">
        <f>HYPERLINK("https://www.marklines.com/en/global/9824","GAC Aion New Energy Automobile Co., Ltd.")</f>
        <v>GAC Aion New Energy Automobile Co., Ltd.</v>
      </c>
      <c r="E1129" s="8" t="s">
        <v>134</v>
      </c>
      <c r="F1129" s="8" t="s">
        <v>25</v>
      </c>
      <c r="G1129" s="8" t="s">
        <v>71</v>
      </c>
      <c r="H1129" s="8" t="s">
        <v>83</v>
      </c>
      <c r="I1129" s="10">
        <v>44832</v>
      </c>
      <c r="J1129" s="8" t="s">
        <v>191</v>
      </c>
    </row>
    <row r="1130" spans="1:10" x14ac:dyDescent="0.15">
      <c r="A1130" s="7">
        <v>44844</v>
      </c>
      <c r="B1130" s="8" t="s">
        <v>173</v>
      </c>
      <c r="C1130" s="8" t="s">
        <v>173</v>
      </c>
      <c r="D1130" s="9" t="str">
        <f>HYPERLINK("https://www.marklines.com/en/global/9553","Leapmotor Co., Ltd. ")</f>
        <v xml:space="preserve">Leapmotor Co., Ltd. </v>
      </c>
      <c r="E1130" s="8" t="s">
        <v>175</v>
      </c>
      <c r="F1130" s="8" t="s">
        <v>25</v>
      </c>
      <c r="G1130" s="8" t="s">
        <v>71</v>
      </c>
      <c r="H1130" s="8" t="s">
        <v>78</v>
      </c>
      <c r="I1130" s="10">
        <v>44832</v>
      </c>
      <c r="J1130" s="8" t="s">
        <v>192</v>
      </c>
    </row>
    <row r="1131" spans="1:10" x14ac:dyDescent="0.15">
      <c r="A1131" s="7">
        <v>44844</v>
      </c>
      <c r="B1131" s="8" t="s">
        <v>139</v>
      </c>
      <c r="C1131" s="8" t="s">
        <v>139</v>
      </c>
      <c r="D1131" s="9" t="str">
        <f>HYPERLINK("https://www.marklines.com/en/global/3865","Anhui Jianghuai Automobile Group Corp., Ltd. (JAC)")</f>
        <v>Anhui Jianghuai Automobile Group Corp., Ltd. (JAC)</v>
      </c>
      <c r="E1131" s="8" t="s">
        <v>140</v>
      </c>
      <c r="F1131" s="8" t="s">
        <v>25</v>
      </c>
      <c r="G1131" s="8" t="s">
        <v>71</v>
      </c>
      <c r="H1131" s="8" t="s">
        <v>120</v>
      </c>
      <c r="I1131" s="10">
        <v>44831</v>
      </c>
      <c r="J1131" s="8" t="s">
        <v>193</v>
      </c>
    </row>
    <row r="1132" spans="1:10" x14ac:dyDescent="0.15">
      <c r="A1132" s="7">
        <v>44842</v>
      </c>
      <c r="B1132" s="8" t="s">
        <v>30</v>
      </c>
      <c r="C1132" s="8" t="s">
        <v>30</v>
      </c>
      <c r="D1132" s="9" t="str">
        <f>HYPERLINK("https://www.marklines.com/en/global/3237","Toyota Motor Manufacturing, Indiana,  Inc. (TMMI), Princeton Plant")</f>
        <v>Toyota Motor Manufacturing, Indiana,  Inc. (TMMI), Princeton Plant</v>
      </c>
      <c r="E1132" s="8" t="s">
        <v>114</v>
      </c>
      <c r="F1132" s="8" t="s">
        <v>19</v>
      </c>
      <c r="G1132" s="8" t="s">
        <v>12</v>
      </c>
      <c r="H1132" s="8" t="s">
        <v>39</v>
      </c>
      <c r="I1132" s="10">
        <v>44840</v>
      </c>
      <c r="J1132" s="8" t="s">
        <v>194</v>
      </c>
    </row>
    <row r="1133" spans="1:10" x14ac:dyDescent="0.15">
      <c r="A1133" s="7">
        <v>44842</v>
      </c>
      <c r="B1133" s="8" t="s">
        <v>148</v>
      </c>
      <c r="C1133" s="8" t="s">
        <v>148</v>
      </c>
      <c r="D1133" s="9" t="str">
        <f>HYPERLINK("https://www.marklines.com/en/global/2495","Foxconn EV Ohio plant (former GM Lordstown plant)")</f>
        <v>Foxconn EV Ohio plant (former GM Lordstown plant)</v>
      </c>
      <c r="E1133" s="8" t="s">
        <v>149</v>
      </c>
      <c r="F1133" s="8" t="s">
        <v>19</v>
      </c>
      <c r="G1133" s="8" t="s">
        <v>12</v>
      </c>
      <c r="H1133" s="8" t="s">
        <v>48</v>
      </c>
      <c r="I1133" s="10">
        <v>44839</v>
      </c>
      <c r="J1133" s="8" t="s">
        <v>195</v>
      </c>
    </row>
    <row r="1134" spans="1:10" x14ac:dyDescent="0.15">
      <c r="A1134" s="7">
        <v>44842</v>
      </c>
      <c r="B1134" s="8" t="s">
        <v>14</v>
      </c>
      <c r="C1134" s="8" t="s">
        <v>23</v>
      </c>
      <c r="D1134" s="9" t="str">
        <f>HYPERLINK("https://www.marklines.com/en/global/2845","General Motors Brazil, Sao Caetano do Sul Plant")</f>
        <v>General Motors Brazil, Sao Caetano do Sul Plant</v>
      </c>
      <c r="E1134" s="8" t="s">
        <v>92</v>
      </c>
      <c r="F1134" s="8" t="s">
        <v>24</v>
      </c>
      <c r="G1134" s="8" t="s">
        <v>68</v>
      </c>
      <c r="H1134" s="8"/>
      <c r="I1134" s="10">
        <v>44838</v>
      </c>
      <c r="J1134" s="8" t="s">
        <v>196</v>
      </c>
    </row>
    <row r="1135" spans="1:10" x14ac:dyDescent="0.15">
      <c r="A1135" s="7">
        <v>44842</v>
      </c>
      <c r="B1135" s="8" t="s">
        <v>14</v>
      </c>
      <c r="C1135" s="8" t="s">
        <v>23</v>
      </c>
      <c r="D1135" s="9" t="str">
        <f>HYPERLINK("https://www.marklines.com/en/global/2781","General Motors Argentina, Rosario Plant")</f>
        <v>General Motors Argentina, Rosario Plant</v>
      </c>
      <c r="E1135" s="8" t="s">
        <v>142</v>
      </c>
      <c r="F1135" s="8" t="s">
        <v>24</v>
      </c>
      <c r="G1135" s="8" t="s">
        <v>18</v>
      </c>
      <c r="H1135" s="8"/>
      <c r="I1135" s="10">
        <v>44838</v>
      </c>
      <c r="J1135" s="8" t="s">
        <v>196</v>
      </c>
    </row>
    <row r="1136" spans="1:10" x14ac:dyDescent="0.15">
      <c r="A1136" s="7">
        <v>44842</v>
      </c>
      <c r="B1136" s="8" t="s">
        <v>14</v>
      </c>
      <c r="C1136" s="8" t="s">
        <v>23</v>
      </c>
      <c r="D1136" s="9" t="str">
        <f>HYPERLINK("https://www.marklines.com/en/global/3371","SAIC-GM (Shenyang) Norsom Motors Co., Ltd.")</f>
        <v>SAIC-GM (Shenyang) Norsom Motors Co., Ltd.</v>
      </c>
      <c r="E1136" s="8" t="s">
        <v>137</v>
      </c>
      <c r="F1136" s="8" t="s">
        <v>25</v>
      </c>
      <c r="G1136" s="8" t="s">
        <v>71</v>
      </c>
      <c r="H1136" s="8" t="s">
        <v>84</v>
      </c>
      <c r="I1136" s="10">
        <v>44838</v>
      </c>
      <c r="J1136" s="8" t="s">
        <v>196</v>
      </c>
    </row>
    <row r="1137" spans="1:10" x14ac:dyDescent="0.15">
      <c r="A1137" s="7">
        <v>44842</v>
      </c>
      <c r="B1137" s="8" t="s">
        <v>11</v>
      </c>
      <c r="C1137" s="8" t="s">
        <v>108</v>
      </c>
      <c r="D1137" s="9" t="str">
        <f>HYPERLINK("https://www.marklines.com/en/global/8739","Audi Mexico S.A. de C.V., San José Chiapa Plant")</f>
        <v>Audi Mexico S.A. de C.V., San José Chiapa Plant</v>
      </c>
      <c r="E1137" s="8" t="s">
        <v>197</v>
      </c>
      <c r="F1137" s="8" t="s">
        <v>19</v>
      </c>
      <c r="G1137" s="8" t="s">
        <v>47</v>
      </c>
      <c r="H1137" s="8"/>
      <c r="I1137" s="10">
        <v>44833</v>
      </c>
      <c r="J1137" s="8" t="s">
        <v>198</v>
      </c>
    </row>
    <row r="1138" spans="1:10" x14ac:dyDescent="0.15">
      <c r="A1138" s="7">
        <v>44841</v>
      </c>
      <c r="B1138" s="8" t="s">
        <v>11</v>
      </c>
      <c r="C1138" s="8" t="s">
        <v>176</v>
      </c>
      <c r="D1138" s="9" t="str">
        <f>HYPERLINK("https://www.marklines.com/en/global/1303","ŠKODA AUTO Volkswagen India Pvt. Ltd. (SAVWIPL), Pune (Chakan) Plant (formerly Volkswagen India, Pune (Chakan) Plant)")</f>
        <v>ŠKODA AUTO Volkswagen India Pvt. Ltd. (SAVWIPL), Pune (Chakan) Plant (formerly Volkswagen India, Pune (Chakan) Plant)</v>
      </c>
      <c r="E1138" s="8" t="s">
        <v>177</v>
      </c>
      <c r="F1138" s="8" t="s">
        <v>69</v>
      </c>
      <c r="G1138" s="8" t="s">
        <v>70</v>
      </c>
      <c r="H1138" s="8" t="s">
        <v>99</v>
      </c>
      <c r="I1138" s="10">
        <v>44841</v>
      </c>
      <c r="J1138" s="8" t="s">
        <v>199</v>
      </c>
    </row>
    <row r="1139" spans="1:10" x14ac:dyDescent="0.15">
      <c r="A1139" s="7">
        <v>44841</v>
      </c>
      <c r="B1139" s="8" t="s">
        <v>15</v>
      </c>
      <c r="C1139" s="8" t="s">
        <v>200</v>
      </c>
      <c r="D1139" s="9" t="str">
        <f>HYPERLINK("https://www.marklines.com/en/global/1386","CaetanoBus S.A., Vila Nova de Gaia Plant")</f>
        <v>CaetanoBus S.A., Vila Nova de Gaia Plant</v>
      </c>
      <c r="E1139" s="8" t="s">
        <v>201</v>
      </c>
      <c r="F1139" s="8" t="s">
        <v>20</v>
      </c>
      <c r="G1139" s="8" t="s">
        <v>61</v>
      </c>
      <c r="H1139" s="8"/>
      <c r="I1139" s="10">
        <v>44840</v>
      </c>
      <c r="J1139" s="8" t="s">
        <v>202</v>
      </c>
    </row>
    <row r="1140" spans="1:10" x14ac:dyDescent="0.15">
      <c r="A1140" s="7">
        <v>44841</v>
      </c>
      <c r="B1140" s="8" t="s">
        <v>85</v>
      </c>
      <c r="C1140" s="8" t="s">
        <v>85</v>
      </c>
      <c r="D1140" s="9" t="str">
        <f>HYPERLINK("https://www.marklines.com/en/global/1510","Volvo Europa Truck N.V., Gent (Ghent) Plant")</f>
        <v>Volvo Europa Truck N.V., Gent (Ghent) Plant</v>
      </c>
      <c r="E1140" s="8" t="s">
        <v>180</v>
      </c>
      <c r="F1140" s="8" t="s">
        <v>20</v>
      </c>
      <c r="G1140" s="8" t="s">
        <v>109</v>
      </c>
      <c r="H1140" s="8"/>
      <c r="I1140" s="10">
        <v>44840</v>
      </c>
      <c r="J1140" s="8" t="s">
        <v>203</v>
      </c>
    </row>
    <row r="1141" spans="1:10" x14ac:dyDescent="0.15">
      <c r="A1141" s="7">
        <v>44841</v>
      </c>
      <c r="B1141" s="8" t="s">
        <v>85</v>
      </c>
      <c r="C1141" s="8" t="s">
        <v>162</v>
      </c>
      <c r="D1141" s="9" t="str">
        <f>HYPERLINK("https://www.marklines.com/en/global/109","Renault Trucks, Bourg en Bresse Plant")</f>
        <v>Renault Trucks, Bourg en Bresse Plant</v>
      </c>
      <c r="E1141" s="8" t="s">
        <v>204</v>
      </c>
      <c r="F1141" s="8" t="s">
        <v>20</v>
      </c>
      <c r="G1141" s="8" t="s">
        <v>86</v>
      </c>
      <c r="H1141" s="8"/>
      <c r="I1141" s="10">
        <v>44840</v>
      </c>
      <c r="J1141" s="8" t="s">
        <v>203</v>
      </c>
    </row>
    <row r="1142" spans="1:10" x14ac:dyDescent="0.15">
      <c r="A1142" s="7">
        <v>44841</v>
      </c>
      <c r="B1142" s="8" t="s">
        <v>170</v>
      </c>
      <c r="C1142" s="8" t="s">
        <v>171</v>
      </c>
      <c r="D1142" s="9" t="str">
        <f>HYPERLINK("https://www.marklines.com/en/global/1483","DAF Trucks N.V., Eindhoven Plant")</f>
        <v>DAF Trucks N.V., Eindhoven Plant</v>
      </c>
      <c r="E1142" s="8" t="s">
        <v>172</v>
      </c>
      <c r="F1142" s="8" t="s">
        <v>20</v>
      </c>
      <c r="G1142" s="8" t="s">
        <v>147</v>
      </c>
      <c r="H1142" s="8"/>
      <c r="I1142" s="10">
        <v>44840</v>
      </c>
      <c r="J1142" s="8" t="s">
        <v>205</v>
      </c>
    </row>
    <row r="1143" spans="1:10" x14ac:dyDescent="0.15">
      <c r="A1143" s="7">
        <v>44841</v>
      </c>
      <c r="B1143" s="8" t="s">
        <v>170</v>
      </c>
      <c r="C1143" s="8" t="s">
        <v>170</v>
      </c>
      <c r="D1143" s="9" t="str">
        <f>HYPERLINK("https://www.marklines.com/en/global/1483","DAF Trucks N.V., Eindhoven Plant")</f>
        <v>DAF Trucks N.V., Eindhoven Plant</v>
      </c>
      <c r="E1143" s="8" t="s">
        <v>172</v>
      </c>
      <c r="F1143" s="8" t="s">
        <v>20</v>
      </c>
      <c r="G1143" s="8" t="s">
        <v>147</v>
      </c>
      <c r="H1143" s="8"/>
      <c r="I1143" s="10">
        <v>44840</v>
      </c>
      <c r="J1143" s="8" t="s">
        <v>205</v>
      </c>
    </row>
    <row r="1144" spans="1:10" x14ac:dyDescent="0.15">
      <c r="A1144" s="7">
        <v>44841</v>
      </c>
      <c r="B1144" s="8" t="s">
        <v>59</v>
      </c>
      <c r="C1144" s="8" t="s">
        <v>60</v>
      </c>
      <c r="D1144" s="9" t="str">
        <f>HYPERLINK("https://www.marklines.com/en/global/99","Stellantis, La Francaise de Mecanique, Douvrin Plant")</f>
        <v>Stellantis, La Francaise de Mecanique, Douvrin Plant</v>
      </c>
      <c r="E1144" s="8" t="s">
        <v>206</v>
      </c>
      <c r="F1144" s="8" t="s">
        <v>20</v>
      </c>
      <c r="G1144" s="8" t="s">
        <v>86</v>
      </c>
      <c r="H1144" s="8"/>
      <c r="I1144" s="10">
        <v>44840</v>
      </c>
      <c r="J1144" s="8" t="s">
        <v>207</v>
      </c>
    </row>
    <row r="1145" spans="1:10" x14ac:dyDescent="0.15">
      <c r="A1145" s="7">
        <v>44841</v>
      </c>
      <c r="B1145" s="8" t="s">
        <v>59</v>
      </c>
      <c r="C1145" s="8" t="s">
        <v>62</v>
      </c>
      <c r="D1145" s="9" t="str">
        <f>HYPERLINK("https://www.marklines.com/en/global/99","Stellantis, La Francaise de Mecanique, Douvrin Plant")</f>
        <v>Stellantis, La Francaise de Mecanique, Douvrin Plant</v>
      </c>
      <c r="E1145" s="8" t="s">
        <v>206</v>
      </c>
      <c r="F1145" s="8" t="s">
        <v>20</v>
      </c>
      <c r="G1145" s="8" t="s">
        <v>86</v>
      </c>
      <c r="H1145" s="8"/>
      <c r="I1145" s="10">
        <v>44840</v>
      </c>
      <c r="J1145" s="8" t="s">
        <v>207</v>
      </c>
    </row>
    <row r="1146" spans="1:10" x14ac:dyDescent="0.15">
      <c r="A1146" s="7">
        <v>44841</v>
      </c>
      <c r="B1146" s="8" t="s">
        <v>59</v>
      </c>
      <c r="C1146" s="8" t="s">
        <v>159</v>
      </c>
      <c r="D1146" s="9" t="str">
        <f>HYPERLINK("https://www.marklines.com/en/global/99","Stellantis, La Francaise de Mecanique, Douvrin Plant")</f>
        <v>Stellantis, La Francaise de Mecanique, Douvrin Plant</v>
      </c>
      <c r="E1146" s="8" t="s">
        <v>206</v>
      </c>
      <c r="F1146" s="8" t="s">
        <v>20</v>
      </c>
      <c r="G1146" s="8" t="s">
        <v>86</v>
      </c>
      <c r="H1146" s="8"/>
      <c r="I1146" s="10">
        <v>44840</v>
      </c>
      <c r="J1146" s="8" t="s">
        <v>207</v>
      </c>
    </row>
    <row r="1147" spans="1:10" x14ac:dyDescent="0.15">
      <c r="A1147" s="7">
        <v>44841</v>
      </c>
      <c r="B1147" s="8" t="s">
        <v>59</v>
      </c>
      <c r="C1147" s="8" t="s">
        <v>59</v>
      </c>
      <c r="D1147" s="9" t="str">
        <f>HYPERLINK("https://www.marklines.com/en/global/10274","Automotive Cell Company (ACC)")</f>
        <v>Automotive Cell Company (ACC)</v>
      </c>
      <c r="E1147" s="8" t="s">
        <v>206</v>
      </c>
      <c r="F1147" s="8" t="s">
        <v>20</v>
      </c>
      <c r="G1147" s="8" t="s">
        <v>86</v>
      </c>
      <c r="H1147" s="8"/>
      <c r="I1147" s="10">
        <v>44840</v>
      </c>
      <c r="J1147" s="8" t="s">
        <v>207</v>
      </c>
    </row>
    <row r="1148" spans="1:10" x14ac:dyDescent="0.15">
      <c r="A1148" s="7">
        <v>44841</v>
      </c>
      <c r="B1148" s="8" t="s">
        <v>97</v>
      </c>
      <c r="C1148" s="8" t="s">
        <v>97</v>
      </c>
      <c r="D1148" s="9" t="str">
        <f>HYPERLINK("https://www.marklines.com/en/global/3187","Nissan North America, Canton Plant")</f>
        <v>Nissan North America, Canton Plant</v>
      </c>
      <c r="E1148" s="8" t="s">
        <v>208</v>
      </c>
      <c r="F1148" s="8" t="s">
        <v>19</v>
      </c>
      <c r="G1148" s="8" t="s">
        <v>12</v>
      </c>
      <c r="H1148" s="8" t="s">
        <v>209</v>
      </c>
      <c r="I1148" s="10">
        <v>44840</v>
      </c>
      <c r="J1148" s="8" t="s">
        <v>210</v>
      </c>
    </row>
    <row r="1149" spans="1:10" x14ac:dyDescent="0.15">
      <c r="A1149" s="7">
        <v>44841</v>
      </c>
      <c r="B1149" s="8" t="s">
        <v>30</v>
      </c>
      <c r="C1149" s="8" t="s">
        <v>30</v>
      </c>
      <c r="D1149" s="9" t="str">
        <f>HYPERLINK("https://www.marklines.com/en/global/401","Toyota Motor Hokkaido, Tomakomai Plant")</f>
        <v>Toyota Motor Hokkaido, Tomakomai Plant</v>
      </c>
      <c r="E1149" s="8" t="s">
        <v>211</v>
      </c>
      <c r="F1149" s="8" t="s">
        <v>25</v>
      </c>
      <c r="G1149" s="8" t="s">
        <v>31</v>
      </c>
      <c r="H1149" s="8" t="s">
        <v>55</v>
      </c>
      <c r="I1149" s="10">
        <v>44832</v>
      </c>
      <c r="J1149" s="8" t="s">
        <v>212</v>
      </c>
    </row>
    <row r="1150" spans="1:10" x14ac:dyDescent="0.15">
      <c r="A1150" s="7">
        <v>44840</v>
      </c>
      <c r="B1150" s="8" t="s">
        <v>38</v>
      </c>
      <c r="C1150" s="8" t="s">
        <v>38</v>
      </c>
      <c r="D1150" s="9" t="str">
        <f>HYPERLINK("https://www.marklines.com/en/global/8480","Mazda Motor Manufacturing de Mexico S.A. de C.V. (MMMdM), Salamanca Plant")</f>
        <v>Mazda Motor Manufacturing de Mexico S.A. de C.V. (MMMdM), Salamanca Plant</v>
      </c>
      <c r="E1150" s="8" t="s">
        <v>167</v>
      </c>
      <c r="F1150" s="8" t="s">
        <v>19</v>
      </c>
      <c r="G1150" s="8" t="s">
        <v>47</v>
      </c>
      <c r="H1150" s="8"/>
      <c r="I1150" s="10">
        <v>44839</v>
      </c>
      <c r="J1150" s="8" t="s">
        <v>213</v>
      </c>
    </row>
    <row r="1151" spans="1:10" x14ac:dyDescent="0.15">
      <c r="A1151" s="7">
        <v>44840</v>
      </c>
      <c r="B1151" s="8" t="s">
        <v>14</v>
      </c>
      <c r="C1151" s="8" t="s">
        <v>23</v>
      </c>
      <c r="D1151" s="9" t="str">
        <f>HYPERLINK("https://www.marklines.com/en/global/2853","General Motors Brazil, Joinville Plant")</f>
        <v>General Motors Brazil, Joinville Plant</v>
      </c>
      <c r="E1151" s="8" t="s">
        <v>214</v>
      </c>
      <c r="F1151" s="8" t="s">
        <v>24</v>
      </c>
      <c r="G1151" s="8" t="s">
        <v>68</v>
      </c>
      <c r="H1151" s="8"/>
      <c r="I1151" s="10">
        <v>44839</v>
      </c>
      <c r="J1151" s="8" t="s">
        <v>215</v>
      </c>
    </row>
    <row r="1152" spans="1:10" x14ac:dyDescent="0.15">
      <c r="A1152" s="7">
        <v>44840</v>
      </c>
      <c r="B1152" s="8" t="s">
        <v>14</v>
      </c>
      <c r="C1152" s="8" t="s">
        <v>23</v>
      </c>
      <c r="D1152" s="9" t="str">
        <f>HYPERLINK("https://www.marklines.com/en/global/2845","General Motors Brazil, Sao Caetano do Sul Plant")</f>
        <v>General Motors Brazil, Sao Caetano do Sul Plant</v>
      </c>
      <c r="E1152" s="8" t="s">
        <v>92</v>
      </c>
      <c r="F1152" s="8" t="s">
        <v>24</v>
      </c>
      <c r="G1152" s="8" t="s">
        <v>68</v>
      </c>
      <c r="H1152" s="8"/>
      <c r="I1152" s="10">
        <v>44839</v>
      </c>
      <c r="J1152" s="8" t="s">
        <v>215</v>
      </c>
    </row>
    <row r="1153" spans="1:10" x14ac:dyDescent="0.15">
      <c r="A1153" s="7">
        <v>44840</v>
      </c>
      <c r="B1153" s="8" t="s">
        <v>30</v>
      </c>
      <c r="C1153" s="8" t="s">
        <v>30</v>
      </c>
      <c r="D1153" s="9" t="str">
        <f>HYPERLINK("https://www.marklines.com/en/global/567","Hino Motors, Hamura Plant")</f>
        <v>Hino Motors, Hamura Plant</v>
      </c>
      <c r="E1153" s="8" t="s">
        <v>49</v>
      </c>
      <c r="F1153" s="8" t="s">
        <v>25</v>
      </c>
      <c r="G1153" s="8" t="s">
        <v>31</v>
      </c>
      <c r="H1153" s="8" t="s">
        <v>50</v>
      </c>
      <c r="I1153" s="10">
        <v>44834</v>
      </c>
      <c r="J1153" s="8" t="s">
        <v>216</v>
      </c>
    </row>
    <row r="1154" spans="1:10" x14ac:dyDescent="0.15">
      <c r="A1154" s="7">
        <v>44840</v>
      </c>
      <c r="B1154" s="8" t="s">
        <v>30</v>
      </c>
      <c r="C1154" s="8" t="s">
        <v>30</v>
      </c>
      <c r="D1154" s="9" t="str">
        <f>HYPERLINK("https://www.marklines.com/en/global/381","Toyota Motor, Tahara Plant")</f>
        <v>Toyota Motor, Tahara Plant</v>
      </c>
      <c r="E1154" s="8" t="s">
        <v>131</v>
      </c>
      <c r="F1154" s="8" t="s">
        <v>25</v>
      </c>
      <c r="G1154" s="8" t="s">
        <v>31</v>
      </c>
      <c r="H1154" s="8" t="s">
        <v>32</v>
      </c>
      <c r="I1154" s="10">
        <v>44834</v>
      </c>
      <c r="J1154" s="8" t="s">
        <v>216</v>
      </c>
    </row>
    <row r="1155" spans="1:10" x14ac:dyDescent="0.15">
      <c r="A1155" s="7">
        <v>44840</v>
      </c>
      <c r="B1155" s="8" t="s">
        <v>30</v>
      </c>
      <c r="C1155" s="8" t="s">
        <v>30</v>
      </c>
      <c r="D1155" s="9" t="str">
        <f>HYPERLINK("https://www.marklines.com/en/global/393","Toyota Motor Kyushu, Miyata Plant")</f>
        <v>Toyota Motor Kyushu, Miyata Plant</v>
      </c>
      <c r="E1155" s="8" t="s">
        <v>126</v>
      </c>
      <c r="F1155" s="8" t="s">
        <v>25</v>
      </c>
      <c r="G1155" s="8" t="s">
        <v>31</v>
      </c>
      <c r="H1155" s="8" t="s">
        <v>127</v>
      </c>
      <c r="I1155" s="10">
        <v>44834</v>
      </c>
      <c r="J1155" s="8" t="s">
        <v>216</v>
      </c>
    </row>
    <row r="1156" spans="1:10" x14ac:dyDescent="0.15">
      <c r="A1156" s="7">
        <v>44840</v>
      </c>
      <c r="B1156" s="8" t="s">
        <v>30</v>
      </c>
      <c r="C1156" s="8" t="s">
        <v>30</v>
      </c>
      <c r="D1156" s="9" t="str">
        <f>HYPERLINK("https://www.marklines.com/en/global/379","Toyota Motor, Tsutsumi Plant")</f>
        <v>Toyota Motor, Tsutsumi Plant</v>
      </c>
      <c r="E1156" s="8" t="s">
        <v>105</v>
      </c>
      <c r="F1156" s="8" t="s">
        <v>25</v>
      </c>
      <c r="G1156" s="8" t="s">
        <v>31</v>
      </c>
      <c r="H1156" s="8" t="s">
        <v>32</v>
      </c>
      <c r="I1156" s="10">
        <v>44834</v>
      </c>
      <c r="J1156" s="8" t="s">
        <v>216</v>
      </c>
    </row>
    <row r="1157" spans="1:10" x14ac:dyDescent="0.15">
      <c r="A1157" s="7">
        <v>44840</v>
      </c>
      <c r="B1157" s="8" t="s">
        <v>30</v>
      </c>
      <c r="C1157" s="8" t="s">
        <v>30</v>
      </c>
      <c r="D1157" s="9" t="str">
        <f>HYPERLINK("https://www.marklines.com/en/global/413","Toyota Auto Body, Inabe Plant")</f>
        <v>Toyota Auto Body, Inabe Plant</v>
      </c>
      <c r="E1157" s="8" t="s">
        <v>64</v>
      </c>
      <c r="F1157" s="8" t="s">
        <v>25</v>
      </c>
      <c r="G1157" s="8" t="s">
        <v>31</v>
      </c>
      <c r="H1157" s="8" t="s">
        <v>44</v>
      </c>
      <c r="I1157" s="10">
        <v>44834</v>
      </c>
      <c r="J1157" s="8" t="s">
        <v>216</v>
      </c>
    </row>
    <row r="1158" spans="1:10" x14ac:dyDescent="0.15">
      <c r="A1158" s="7">
        <v>44840</v>
      </c>
      <c r="B1158" s="8" t="s">
        <v>94</v>
      </c>
      <c r="C1158" s="8" t="s">
        <v>94</v>
      </c>
      <c r="D1158" s="9" t="str">
        <f>HYPERLINK("https://www.marklines.com/en/global/357","PT Suzuki Indomobil Motor (SIM), Cikarang Plant")</f>
        <v>PT Suzuki Indomobil Motor (SIM), Cikarang Plant</v>
      </c>
      <c r="E1158" s="8" t="s">
        <v>217</v>
      </c>
      <c r="F1158" s="8" t="s">
        <v>22</v>
      </c>
      <c r="G1158" s="8" t="s">
        <v>53</v>
      </c>
      <c r="H1158" s="8"/>
      <c r="I1158" s="10">
        <v>44833</v>
      </c>
      <c r="J1158" s="8" t="s">
        <v>218</v>
      </c>
    </row>
    <row r="1159" spans="1:10" x14ac:dyDescent="0.15">
      <c r="A1159" s="7">
        <v>44840</v>
      </c>
      <c r="B1159" s="8" t="s">
        <v>30</v>
      </c>
      <c r="C1159" s="8" t="s">
        <v>30</v>
      </c>
      <c r="D1159" s="9" t="str">
        <f>HYPERLINK("https://www.marklines.com/en/global/424","Toyota Motor East Japan, Iwate Plant")</f>
        <v>Toyota Motor East Japan, Iwate Plant</v>
      </c>
      <c r="E1159" s="8" t="s">
        <v>117</v>
      </c>
      <c r="F1159" s="8" t="s">
        <v>25</v>
      </c>
      <c r="G1159" s="8" t="s">
        <v>31</v>
      </c>
      <c r="H1159" s="8" t="s">
        <v>118</v>
      </c>
      <c r="I1159" s="10">
        <v>44832</v>
      </c>
      <c r="J1159" s="8" t="s">
        <v>219</v>
      </c>
    </row>
    <row r="1160" spans="1:10" x14ac:dyDescent="0.15">
      <c r="A1160" s="7">
        <v>44840</v>
      </c>
      <c r="B1160" s="8" t="s">
        <v>30</v>
      </c>
      <c r="C1160" s="8" t="s">
        <v>30</v>
      </c>
      <c r="D1160" s="9" t="str">
        <f>HYPERLINK("https://www.marklines.com/en/global/395","Toyota Motor Kyushu, Kanda Plant")</f>
        <v>Toyota Motor Kyushu, Kanda Plant</v>
      </c>
      <c r="E1160" s="8" t="s">
        <v>166</v>
      </c>
      <c r="F1160" s="8" t="s">
        <v>25</v>
      </c>
      <c r="G1160" s="8" t="s">
        <v>31</v>
      </c>
      <c r="H1160" s="8" t="s">
        <v>127</v>
      </c>
      <c r="I1160" s="10">
        <v>44832</v>
      </c>
      <c r="J1160" s="8" t="s">
        <v>220</v>
      </c>
    </row>
    <row r="1161" spans="1:10" x14ac:dyDescent="0.15">
      <c r="A1161" s="7">
        <v>44840</v>
      </c>
      <c r="B1161" s="8" t="s">
        <v>30</v>
      </c>
      <c r="C1161" s="8" t="s">
        <v>30</v>
      </c>
      <c r="D1161" s="9" t="str">
        <f>HYPERLINK("https://www.marklines.com/en/global/393","Toyota Motor Kyushu, Miyata Plant")</f>
        <v>Toyota Motor Kyushu, Miyata Plant</v>
      </c>
      <c r="E1161" s="8" t="s">
        <v>126</v>
      </c>
      <c r="F1161" s="8" t="s">
        <v>25</v>
      </c>
      <c r="G1161" s="8" t="s">
        <v>31</v>
      </c>
      <c r="H1161" s="8" t="s">
        <v>127</v>
      </c>
      <c r="I1161" s="10">
        <v>44832</v>
      </c>
      <c r="J1161" s="8" t="s">
        <v>220</v>
      </c>
    </row>
    <row r="1162" spans="1:10" x14ac:dyDescent="0.15">
      <c r="A1162" s="7">
        <v>44840</v>
      </c>
      <c r="B1162" s="8" t="s">
        <v>30</v>
      </c>
      <c r="C1162" s="8" t="s">
        <v>30</v>
      </c>
      <c r="D1162" s="9" t="str">
        <f>HYPERLINK("https://www.marklines.com/en/global/9925","Primearth EV Energy Co., Ltd., Omori Plant")</f>
        <v>Primearth EV Energy Co., Ltd., Omori Plant</v>
      </c>
      <c r="E1162" s="8" t="s">
        <v>221</v>
      </c>
      <c r="F1162" s="8" t="s">
        <v>25</v>
      </c>
      <c r="G1162" s="8" t="s">
        <v>31</v>
      </c>
      <c r="H1162" s="8" t="s">
        <v>161</v>
      </c>
      <c r="I1162" s="10">
        <v>44832</v>
      </c>
      <c r="J1162" s="8" t="s">
        <v>222</v>
      </c>
    </row>
    <row r="1163" spans="1:10" x14ac:dyDescent="0.15">
      <c r="A1163" s="7">
        <v>44840</v>
      </c>
      <c r="B1163" s="8" t="s">
        <v>30</v>
      </c>
      <c r="C1163" s="8" t="s">
        <v>30</v>
      </c>
      <c r="D1163" s="9" t="str">
        <f>HYPERLINK("https://www.marklines.com/en/global/9926","Primearth EV Energy, Sakaijuku Plant")</f>
        <v>Primearth EV Energy, Sakaijuku Plant</v>
      </c>
      <c r="E1163" s="8" t="s">
        <v>223</v>
      </c>
      <c r="F1163" s="8" t="s">
        <v>25</v>
      </c>
      <c r="G1163" s="8" t="s">
        <v>31</v>
      </c>
      <c r="H1163" s="8" t="s">
        <v>161</v>
      </c>
      <c r="I1163" s="10">
        <v>44832</v>
      </c>
      <c r="J1163" s="8" t="s">
        <v>222</v>
      </c>
    </row>
    <row r="1164" spans="1:10" x14ac:dyDescent="0.15">
      <c r="A1164" s="7">
        <v>44840</v>
      </c>
      <c r="B1164" s="8" t="s">
        <v>30</v>
      </c>
      <c r="C1164" s="8" t="s">
        <v>30</v>
      </c>
      <c r="D1164" s="9" t="str">
        <f>HYPERLINK("https://www.marklines.com/en/global/9927","Primearth EV Energy, Miyagi Plant")</f>
        <v>Primearth EV Energy, Miyagi Plant</v>
      </c>
      <c r="E1164" s="8" t="s">
        <v>224</v>
      </c>
      <c r="F1164" s="8" t="s">
        <v>25</v>
      </c>
      <c r="G1164" s="8" t="s">
        <v>31</v>
      </c>
      <c r="H1164" s="8" t="s">
        <v>160</v>
      </c>
      <c r="I1164" s="10">
        <v>44832</v>
      </c>
      <c r="J1164" s="8" t="s">
        <v>222</v>
      </c>
    </row>
    <row r="1165" spans="1:10" x14ac:dyDescent="0.15">
      <c r="A1165" s="7">
        <v>44840</v>
      </c>
      <c r="B1165" s="8" t="s">
        <v>30</v>
      </c>
      <c r="C1165" s="8" t="s">
        <v>30</v>
      </c>
      <c r="D1165" s="9" t="str">
        <f>HYPERLINK("https://www.marklines.com/en/global/10502","Primearth EV Energy, Arai Plant")</f>
        <v>Primearth EV Energy, Arai Plant</v>
      </c>
      <c r="E1165" s="8" t="s">
        <v>225</v>
      </c>
      <c r="F1165" s="8" t="s">
        <v>25</v>
      </c>
      <c r="G1165" s="8" t="s">
        <v>31</v>
      </c>
      <c r="H1165" s="8" t="s">
        <v>161</v>
      </c>
      <c r="I1165" s="10">
        <v>44832</v>
      </c>
      <c r="J1165" s="8" t="s">
        <v>222</v>
      </c>
    </row>
    <row r="1166" spans="1:10" x14ac:dyDescent="0.15">
      <c r="A1166" s="7">
        <v>44840</v>
      </c>
      <c r="B1166" s="8" t="s">
        <v>30</v>
      </c>
      <c r="C1166" s="8" t="s">
        <v>30</v>
      </c>
      <c r="D1166" s="9" t="str">
        <f>HYPERLINK("https://www.marklines.com/en/global/371","Toyota Motor, Honsha Plant")</f>
        <v>Toyota Motor, Honsha Plant</v>
      </c>
      <c r="E1166" s="8" t="s">
        <v>226</v>
      </c>
      <c r="F1166" s="8" t="s">
        <v>25</v>
      </c>
      <c r="G1166" s="8" t="s">
        <v>31</v>
      </c>
      <c r="H1166" s="8" t="s">
        <v>32</v>
      </c>
      <c r="I1166" s="10">
        <v>44832</v>
      </c>
      <c r="J1166" s="8" t="s">
        <v>227</v>
      </c>
    </row>
    <row r="1167" spans="1:10" x14ac:dyDescent="0.15">
      <c r="A1167" s="7">
        <v>44840</v>
      </c>
      <c r="B1167" s="8" t="s">
        <v>30</v>
      </c>
      <c r="C1167" s="8" t="s">
        <v>30</v>
      </c>
      <c r="D1167" s="9" t="str">
        <f>HYPERLINK("https://www.marklines.com/en/global/387","Toyota Motor, Shimoyama Plant")</f>
        <v>Toyota Motor, Shimoyama Plant</v>
      </c>
      <c r="E1167" s="8" t="s">
        <v>168</v>
      </c>
      <c r="F1167" s="8" t="s">
        <v>25</v>
      </c>
      <c r="G1167" s="8" t="s">
        <v>31</v>
      </c>
      <c r="H1167" s="8" t="s">
        <v>32</v>
      </c>
      <c r="I1167" s="10">
        <v>44832</v>
      </c>
      <c r="J1167" s="8" t="s">
        <v>227</v>
      </c>
    </row>
    <row r="1168" spans="1:10" x14ac:dyDescent="0.15">
      <c r="A1168" s="7">
        <v>44839</v>
      </c>
      <c r="B1168" s="8" t="s">
        <v>65</v>
      </c>
      <c r="C1168" s="8" t="s">
        <v>65</v>
      </c>
      <c r="D1168" s="9" t="str">
        <f>HYPERLINK("https://www.marklines.com/en/global/3153","Rivian Automotive LLC, Normal Plant (former Mitsubishi Motors North America, Normal Plant)")</f>
        <v>Rivian Automotive LLC, Normal Plant (former Mitsubishi Motors North America, Normal Plant)</v>
      </c>
      <c r="E1168" s="8" t="s">
        <v>66</v>
      </c>
      <c r="F1168" s="8" t="s">
        <v>19</v>
      </c>
      <c r="G1168" s="8" t="s">
        <v>12</v>
      </c>
      <c r="H1168" s="8" t="s">
        <v>67</v>
      </c>
      <c r="I1168" s="10">
        <v>44837</v>
      </c>
      <c r="J1168" s="8" t="s">
        <v>228</v>
      </c>
    </row>
    <row r="1169" spans="1:10" x14ac:dyDescent="0.15">
      <c r="A1169" s="7">
        <v>44839</v>
      </c>
      <c r="B1169" s="8" t="s">
        <v>27</v>
      </c>
      <c r="C1169" s="8" t="s">
        <v>27</v>
      </c>
      <c r="D1169" s="9" t="str">
        <f>HYPERLINK("https://www.marklines.com/en/global/3045","BMW Manufacturing Co., Spartanburg Plant")</f>
        <v>BMW Manufacturing Co., Spartanburg Plant</v>
      </c>
      <c r="E1169" s="8" t="s">
        <v>181</v>
      </c>
      <c r="F1169" s="8" t="s">
        <v>19</v>
      </c>
      <c r="G1169" s="8" t="s">
        <v>12</v>
      </c>
      <c r="H1169" s="8" t="s">
        <v>144</v>
      </c>
      <c r="I1169" s="10">
        <v>44834</v>
      </c>
      <c r="J1169" s="8" t="s">
        <v>229</v>
      </c>
    </row>
    <row r="1170" spans="1:10" x14ac:dyDescent="0.15">
      <c r="A1170" s="7">
        <v>44838</v>
      </c>
      <c r="B1170" s="8" t="s">
        <v>59</v>
      </c>
      <c r="C1170" s="8" t="s">
        <v>159</v>
      </c>
      <c r="D1170" s="9" t="str">
        <f>HYPERLINK("https://www.marklines.com/en/global/2251","Stellantis, Opel Automobile GmbH, Rüsselsheim Plant (Former Adam Opel AG, Russelsheim Plant)")</f>
        <v>Stellantis, Opel Automobile GmbH, Rüsselsheim Plant (Former Adam Opel AG, Russelsheim Plant)</v>
      </c>
      <c r="E1170" s="8" t="s">
        <v>123</v>
      </c>
      <c r="F1170" s="8" t="s">
        <v>20</v>
      </c>
      <c r="G1170" s="8" t="s">
        <v>29</v>
      </c>
      <c r="H1170" s="8"/>
      <c r="I1170" s="10">
        <v>44838</v>
      </c>
      <c r="J1170" s="8" t="s">
        <v>230</v>
      </c>
    </row>
    <row r="1171" spans="1:10" x14ac:dyDescent="0.15">
      <c r="A1171" s="7">
        <v>44838</v>
      </c>
      <c r="B1171" s="8" t="s">
        <v>59</v>
      </c>
      <c r="C1171" s="8" t="s">
        <v>169</v>
      </c>
      <c r="D1171" s="9" t="str">
        <f>HYPERLINK("https://www.marklines.com/en/global/1327","Stellantis, FCA Italy, Mirafiori (Turin) Plant")</f>
        <v>Stellantis, FCA Italy, Mirafiori (Turin) Plant</v>
      </c>
      <c r="E1171" s="8" t="s">
        <v>231</v>
      </c>
      <c r="F1171" s="8" t="s">
        <v>20</v>
      </c>
      <c r="G1171" s="8" t="s">
        <v>110</v>
      </c>
      <c r="H1171" s="8"/>
      <c r="I1171" s="10">
        <v>44837</v>
      </c>
      <c r="J1171" s="8" t="s">
        <v>232</v>
      </c>
    </row>
    <row r="1172" spans="1:10" x14ac:dyDescent="0.15">
      <c r="A1172" s="7">
        <v>44838</v>
      </c>
      <c r="B1172" s="8" t="s">
        <v>17</v>
      </c>
      <c r="C1172" s="8" t="s">
        <v>17</v>
      </c>
      <c r="D1172" s="9" t="str">
        <f>HYPERLINK("https://www.marklines.com/en/global/1029","Honda Atlas Cars (Pakistan) Ltd., Lahore Plant")</f>
        <v>Honda Atlas Cars (Pakistan) Ltd., Lahore Plant</v>
      </c>
      <c r="E1172" s="8" t="s">
        <v>233</v>
      </c>
      <c r="F1172" s="8" t="s">
        <v>69</v>
      </c>
      <c r="G1172" s="8" t="s">
        <v>96</v>
      </c>
      <c r="H1172" s="8"/>
      <c r="I1172" s="10">
        <v>44837</v>
      </c>
      <c r="J1172" s="8" t="s">
        <v>234</v>
      </c>
    </row>
    <row r="1173" spans="1:10" x14ac:dyDescent="0.15">
      <c r="A1173" s="7">
        <v>44838</v>
      </c>
      <c r="B1173" s="8" t="s">
        <v>14</v>
      </c>
      <c r="C1173" s="8" t="s">
        <v>23</v>
      </c>
      <c r="D1173" s="9" t="str">
        <f>HYPERLINK("https://www.marklines.com/en/global/2479","General Motors, Orion Assembly Plant")</f>
        <v>General Motors, Orion Assembly Plant</v>
      </c>
      <c r="E1173" s="8" t="s">
        <v>35</v>
      </c>
      <c r="F1173" s="8" t="s">
        <v>19</v>
      </c>
      <c r="G1173" s="8" t="s">
        <v>12</v>
      </c>
      <c r="H1173" s="8" t="s">
        <v>13</v>
      </c>
      <c r="I1173" s="10">
        <v>44837</v>
      </c>
      <c r="J1173" s="8" t="s">
        <v>235</v>
      </c>
    </row>
    <row r="1174" spans="1:10" x14ac:dyDescent="0.15">
      <c r="A1174" s="7">
        <v>44838</v>
      </c>
      <c r="B1174" s="8" t="s">
        <v>14</v>
      </c>
      <c r="C1174" s="8" t="s">
        <v>23</v>
      </c>
      <c r="D1174" s="9" t="str">
        <f>HYPERLINK("https://www.marklines.com/en/global/2459","General Motors, Factory ZERO (Detroit-Hamtramck Plant) ")</f>
        <v xml:space="preserve">General Motors, Factory ZERO (Detroit-Hamtramck Plant) </v>
      </c>
      <c r="E1174" s="8" t="s">
        <v>54</v>
      </c>
      <c r="F1174" s="8" t="s">
        <v>19</v>
      </c>
      <c r="G1174" s="8" t="s">
        <v>12</v>
      </c>
      <c r="H1174" s="8" t="s">
        <v>13</v>
      </c>
      <c r="I1174" s="10">
        <v>44837</v>
      </c>
      <c r="J1174" s="8" t="s">
        <v>235</v>
      </c>
    </row>
    <row r="1175" spans="1:10" x14ac:dyDescent="0.15">
      <c r="A1175" s="7">
        <v>44838</v>
      </c>
      <c r="B1175" s="8" t="s">
        <v>14</v>
      </c>
      <c r="C1175" s="8" t="s">
        <v>28</v>
      </c>
      <c r="D1175" s="9" t="str">
        <f>HYPERLINK("https://www.marklines.com/en/global/2459","General Motors, Factory ZERO (Detroit-Hamtramck Plant) ")</f>
        <v xml:space="preserve">General Motors, Factory ZERO (Detroit-Hamtramck Plant) </v>
      </c>
      <c r="E1175" s="8" t="s">
        <v>54</v>
      </c>
      <c r="F1175" s="8" t="s">
        <v>19</v>
      </c>
      <c r="G1175" s="8" t="s">
        <v>12</v>
      </c>
      <c r="H1175" s="8" t="s">
        <v>13</v>
      </c>
      <c r="I1175" s="10">
        <v>44837</v>
      </c>
      <c r="J1175" s="8" t="s">
        <v>235</v>
      </c>
    </row>
    <row r="1176" spans="1:10" x14ac:dyDescent="0.15">
      <c r="A1176" s="7">
        <v>44838</v>
      </c>
      <c r="B1176" s="8" t="s">
        <v>14</v>
      </c>
      <c r="C1176" s="8" t="s">
        <v>28</v>
      </c>
      <c r="D1176" s="9" t="str">
        <f>HYPERLINK("https://www.marklines.com/en/global/2523","General Motors, Spring Hill Manufacturing (formerly Spring Hill Assembly)")</f>
        <v>General Motors, Spring Hill Manufacturing (formerly Spring Hill Assembly)</v>
      </c>
      <c r="E1176" s="8" t="s">
        <v>236</v>
      </c>
      <c r="F1176" s="8" t="s">
        <v>19</v>
      </c>
      <c r="G1176" s="8" t="s">
        <v>12</v>
      </c>
      <c r="H1176" s="8" t="s">
        <v>107</v>
      </c>
      <c r="I1176" s="10">
        <v>44837</v>
      </c>
      <c r="J1176" s="8" t="s">
        <v>235</v>
      </c>
    </row>
    <row r="1177" spans="1:10" x14ac:dyDescent="0.15">
      <c r="A1177" s="7">
        <v>44838</v>
      </c>
      <c r="B1177" s="8" t="s">
        <v>14</v>
      </c>
      <c r="C1177" s="8" t="s">
        <v>40</v>
      </c>
      <c r="D1177" s="9" t="str">
        <f>HYPERLINK("https://www.marklines.com/en/global/2459","General Motors, Factory ZERO (Detroit-Hamtramck Plant) ")</f>
        <v xml:space="preserve">General Motors, Factory ZERO (Detroit-Hamtramck Plant) </v>
      </c>
      <c r="E1177" s="8" t="s">
        <v>54</v>
      </c>
      <c r="F1177" s="8" t="s">
        <v>19</v>
      </c>
      <c r="G1177" s="8" t="s">
        <v>12</v>
      </c>
      <c r="H1177" s="8" t="s">
        <v>13</v>
      </c>
      <c r="I1177" s="10">
        <v>44837</v>
      </c>
      <c r="J1177" s="8" t="s">
        <v>235</v>
      </c>
    </row>
    <row r="1178" spans="1:10" x14ac:dyDescent="0.15">
      <c r="A1178" s="7">
        <v>44838</v>
      </c>
      <c r="B1178" s="8" t="s">
        <v>56</v>
      </c>
      <c r="C1178" s="8" t="s">
        <v>56</v>
      </c>
      <c r="D1178" s="9" t="str">
        <f>HYPERLINK("https://www.marklines.com/en/global/613","Ford South Africa, Silverton Assembly Plant")</f>
        <v>Ford South Africa, Silverton Assembly Plant</v>
      </c>
      <c r="E1178" s="8" t="s">
        <v>128</v>
      </c>
      <c r="F1178" s="8" t="s">
        <v>129</v>
      </c>
      <c r="G1178" s="8" t="s">
        <v>130</v>
      </c>
      <c r="H1178" s="8"/>
      <c r="I1178" s="10">
        <v>44831</v>
      </c>
      <c r="J1178" s="8" t="s">
        <v>237</v>
      </c>
    </row>
    <row r="1179" spans="1:10" x14ac:dyDescent="0.15">
      <c r="A1179" s="7">
        <v>44837</v>
      </c>
      <c r="B1179" s="8" t="s">
        <v>11</v>
      </c>
      <c r="C1179" s="8" t="s">
        <v>176</v>
      </c>
      <c r="D1179" s="9" t="str">
        <f>HYPERLINK("https://www.marklines.com/en/global/1303","ŠKODA AUTO Volkswagen India Pvt. Ltd. (SAVWIPL), Pune (Chakan) Plant (formerly Volkswagen India, Pune (Chakan) Plant)")</f>
        <v>ŠKODA AUTO Volkswagen India Pvt. Ltd. (SAVWIPL), Pune (Chakan) Plant (formerly Volkswagen India, Pune (Chakan) Plant)</v>
      </c>
      <c r="E1179" s="8" t="s">
        <v>177</v>
      </c>
      <c r="F1179" s="8" t="s">
        <v>69</v>
      </c>
      <c r="G1179" s="8" t="s">
        <v>70</v>
      </c>
      <c r="H1179" s="8" t="s">
        <v>99</v>
      </c>
      <c r="I1179" s="10">
        <v>44837</v>
      </c>
      <c r="J1179" s="8" t="s">
        <v>238</v>
      </c>
    </row>
    <row r="1180" spans="1:10" x14ac:dyDescent="0.15">
      <c r="A1180" s="7">
        <v>44837</v>
      </c>
      <c r="B1180" s="8" t="s">
        <v>57</v>
      </c>
      <c r="C1180" s="8" t="s">
        <v>57</v>
      </c>
      <c r="D1180" s="9" t="str">
        <f>HYPERLINK("https://www.marklines.com/en/global/10326","Hyundai Motor Group Innovation Center in Singapore (HMGICS)")</f>
        <v>Hyundai Motor Group Innovation Center in Singapore (HMGICS)</v>
      </c>
      <c r="E1180" s="8" t="s">
        <v>239</v>
      </c>
      <c r="F1180" s="8" t="s">
        <v>22</v>
      </c>
      <c r="G1180" s="8" t="s">
        <v>240</v>
      </c>
      <c r="H1180" s="8"/>
      <c r="I1180" s="10">
        <v>44834</v>
      </c>
      <c r="J1180" s="8" t="s">
        <v>241</v>
      </c>
    </row>
    <row r="1181" spans="1:10" x14ac:dyDescent="0.15">
      <c r="A1181" s="7">
        <v>44837</v>
      </c>
      <c r="B1181" s="8" t="s">
        <v>15</v>
      </c>
      <c r="C1181" s="8" t="s">
        <v>178</v>
      </c>
      <c r="D1181" s="9" t="str">
        <f>HYPERLINK("https://www.marklines.com/en/global/10553","Ebusco B.V., Deurne Plant")</f>
        <v>Ebusco B.V., Deurne Plant</v>
      </c>
      <c r="E1181" s="8" t="s">
        <v>179</v>
      </c>
      <c r="F1181" s="8" t="s">
        <v>20</v>
      </c>
      <c r="G1181" s="8" t="s">
        <v>147</v>
      </c>
      <c r="H1181" s="8"/>
      <c r="I1181" s="10">
        <v>44834</v>
      </c>
      <c r="J1181" s="8" t="s">
        <v>242</v>
      </c>
    </row>
    <row r="1182" spans="1:10" x14ac:dyDescent="0.15">
      <c r="A1182" s="7">
        <v>44837</v>
      </c>
      <c r="B1182" s="8" t="s">
        <v>15</v>
      </c>
      <c r="C1182" s="8" t="s">
        <v>163</v>
      </c>
      <c r="D1182" s="9" t="str">
        <f>HYPERLINK("https://www.marklines.com/en/global/10552","Arrival Ltd., Bicester Plant")</f>
        <v>Arrival Ltd., Bicester Plant</v>
      </c>
      <c r="E1182" s="8" t="s">
        <v>164</v>
      </c>
      <c r="F1182" s="8" t="s">
        <v>20</v>
      </c>
      <c r="G1182" s="8" t="s">
        <v>98</v>
      </c>
      <c r="H1182" s="8"/>
      <c r="I1182" s="10">
        <v>44834</v>
      </c>
      <c r="J1182" s="8" t="s">
        <v>243</v>
      </c>
    </row>
    <row r="1183" spans="1:10" x14ac:dyDescent="0.15">
      <c r="A1183" s="7">
        <v>44837</v>
      </c>
      <c r="B1183" s="8" t="s">
        <v>52</v>
      </c>
      <c r="C1183" s="8" t="s">
        <v>91</v>
      </c>
      <c r="D1183" s="9" t="str">
        <f>HYPERLINK("https://www.marklines.com/en/global/1655","Stellantis, Fiat Auto Poland S.A., Tychy Plant")</f>
        <v>Stellantis, Fiat Auto Poland S.A., Tychy Plant</v>
      </c>
      <c r="E1183" s="8" t="s">
        <v>165</v>
      </c>
      <c r="F1183" s="8" t="s">
        <v>21</v>
      </c>
      <c r="G1183" s="8" t="s">
        <v>93</v>
      </c>
      <c r="H1183" s="8"/>
      <c r="I1183" s="10">
        <v>44834</v>
      </c>
      <c r="J1183" s="8" t="s">
        <v>244</v>
      </c>
    </row>
    <row r="1184" spans="1:10" x14ac:dyDescent="0.15">
      <c r="A1184" s="7">
        <v>44837</v>
      </c>
      <c r="B1184" s="8" t="s">
        <v>59</v>
      </c>
      <c r="C1184" s="8" t="s">
        <v>63</v>
      </c>
      <c r="D1184" s="9" t="str">
        <f>HYPERLINK("https://www.marklines.com/en/global/1655","Stellantis, Fiat Auto Poland S.A., Tychy Plant")</f>
        <v>Stellantis, Fiat Auto Poland S.A., Tychy Plant</v>
      </c>
      <c r="E1184" s="8" t="s">
        <v>165</v>
      </c>
      <c r="F1184" s="8" t="s">
        <v>21</v>
      </c>
      <c r="G1184" s="8" t="s">
        <v>93</v>
      </c>
      <c r="H1184" s="8"/>
      <c r="I1184" s="10">
        <v>44834</v>
      </c>
      <c r="J1184" s="8" t="s">
        <v>244</v>
      </c>
    </row>
    <row r="1185" spans="1:10" x14ac:dyDescent="0.15">
      <c r="A1185" s="7">
        <v>44837</v>
      </c>
      <c r="B1185" s="8" t="s">
        <v>15</v>
      </c>
      <c r="C1185" s="8" t="s">
        <v>135</v>
      </c>
      <c r="D1185" s="9" t="str">
        <f>HYPERLINK("https://www.marklines.com/en/global/687","Sollers-Yelabuga OOO, Yelabuga Plant")</f>
        <v>Sollers-Yelabuga OOO, Yelabuga Plant</v>
      </c>
      <c r="E1185" s="8" t="s">
        <v>136</v>
      </c>
      <c r="F1185" s="8" t="s">
        <v>21</v>
      </c>
      <c r="G1185" s="8" t="s">
        <v>16</v>
      </c>
      <c r="H1185" s="8"/>
      <c r="I1185" s="10">
        <v>44834</v>
      </c>
      <c r="J1185" s="8" t="s">
        <v>245</v>
      </c>
    </row>
    <row r="1186" spans="1:10" x14ac:dyDescent="0.15">
      <c r="A1186" s="7">
        <v>44837</v>
      </c>
      <c r="B1186" s="8" t="s">
        <v>27</v>
      </c>
      <c r="C1186" s="8" t="s">
        <v>27</v>
      </c>
      <c r="D1186" s="9" t="str">
        <f>HYPERLINK("https://www.marklines.com/en/global/2207","BMW AG, Dingolfing Plant")</f>
        <v>BMW AG, Dingolfing Plant</v>
      </c>
      <c r="E1186" s="8" t="s">
        <v>42</v>
      </c>
      <c r="F1186" s="8" t="s">
        <v>20</v>
      </c>
      <c r="G1186" s="8" t="s">
        <v>29</v>
      </c>
      <c r="H1186" s="8"/>
      <c r="I1186" s="10">
        <v>44834</v>
      </c>
      <c r="J1186" s="8" t="s">
        <v>246</v>
      </c>
    </row>
    <row r="1187" spans="1:10" x14ac:dyDescent="0.15">
      <c r="A1187" s="7">
        <v>44837</v>
      </c>
      <c r="B1187" s="8" t="s">
        <v>15</v>
      </c>
      <c r="C1187" s="8" t="s">
        <v>111</v>
      </c>
      <c r="D1187" s="9" t="str">
        <f>HYPERLINK("https://www.marklines.com/en/global/1695","Solaris Bus &amp; Coach sp. z o.o., Bolechowo Plant (formerly Solaris Bus &amp; Coach S.A.) ")</f>
        <v xml:space="preserve">Solaris Bus &amp; Coach sp. z o.o., Bolechowo Plant (formerly Solaris Bus &amp; Coach S.A.) </v>
      </c>
      <c r="E1187" s="8" t="s">
        <v>112</v>
      </c>
      <c r="F1187" s="8" t="s">
        <v>21</v>
      </c>
      <c r="G1187" s="8" t="s">
        <v>93</v>
      </c>
      <c r="H1187" s="8"/>
      <c r="I1187" s="10">
        <v>44833</v>
      </c>
      <c r="J1187" s="8" t="s">
        <v>247</v>
      </c>
    </row>
    <row r="1188" spans="1:10" x14ac:dyDescent="0.15">
      <c r="A1188" s="7">
        <v>44837</v>
      </c>
      <c r="B1188" s="8" t="s">
        <v>76</v>
      </c>
      <c r="C1188" s="8" t="s">
        <v>76</v>
      </c>
      <c r="D1188" s="9" t="str">
        <f>HYPERLINK("https://www.marklines.com/en/global/10535","Aurobay (Powertrain Engineering Sweden AB)")</f>
        <v>Aurobay (Powertrain Engineering Sweden AB)</v>
      </c>
      <c r="E1188" s="8" t="s">
        <v>248</v>
      </c>
      <c r="F1188" s="8" t="s">
        <v>20</v>
      </c>
      <c r="G1188" s="8" t="s">
        <v>34</v>
      </c>
      <c r="H1188" s="8"/>
      <c r="I1188" s="10">
        <v>44833</v>
      </c>
      <c r="J1188" s="8" t="s">
        <v>249</v>
      </c>
    </row>
    <row r="1189" spans="1:10" x14ac:dyDescent="0.15">
      <c r="A1189" s="7">
        <v>44837</v>
      </c>
      <c r="B1189" s="8" t="s">
        <v>76</v>
      </c>
      <c r="C1189" s="8" t="s">
        <v>77</v>
      </c>
      <c r="D1189" s="9" t="str">
        <f>HYPERLINK("https://www.marklines.com/en/global/10535","Aurobay (Powertrain Engineering Sweden AB)")</f>
        <v>Aurobay (Powertrain Engineering Sweden AB)</v>
      </c>
      <c r="E1189" s="8" t="s">
        <v>248</v>
      </c>
      <c r="F1189" s="8" t="s">
        <v>20</v>
      </c>
      <c r="G1189" s="8" t="s">
        <v>34</v>
      </c>
      <c r="H1189" s="8"/>
      <c r="I1189" s="10">
        <v>44833</v>
      </c>
      <c r="J1189" s="8" t="s">
        <v>249</v>
      </c>
    </row>
    <row r="1190" spans="1:10" x14ac:dyDescent="0.15">
      <c r="A1190" s="7">
        <v>44837</v>
      </c>
      <c r="B1190" s="8" t="s">
        <v>11</v>
      </c>
      <c r="C1190" s="8" t="s">
        <v>26</v>
      </c>
      <c r="D1190" s="9" t="str">
        <f>HYPERLINK("https://www.marklines.com/en/global/10365","Northvolt Ett")</f>
        <v>Northvolt Ett</v>
      </c>
      <c r="E1190" s="8" t="s">
        <v>41</v>
      </c>
      <c r="F1190" s="8" t="s">
        <v>20</v>
      </c>
      <c r="G1190" s="8" t="s">
        <v>34</v>
      </c>
      <c r="H1190" s="8"/>
      <c r="I1190" s="10">
        <v>44833</v>
      </c>
      <c r="J1190" s="8" t="s">
        <v>250</v>
      </c>
    </row>
    <row r="1191" spans="1:10" x14ac:dyDescent="0.15">
      <c r="A1191" s="7">
        <v>44837</v>
      </c>
      <c r="B1191" s="8" t="s">
        <v>58</v>
      </c>
      <c r="C1191" s="8" t="s">
        <v>58</v>
      </c>
      <c r="D1191" s="9" t="str">
        <f>HYPERLINK("https://www.marklines.com/en/global/297","PT Handal Indonesia Motor, Bekasi plant (formerly PT. Hyundai Indonesia Motor)")</f>
        <v>PT Handal Indonesia Motor, Bekasi plant (formerly PT. Hyundai Indonesia Motor)</v>
      </c>
      <c r="E1191" s="8" t="s">
        <v>157</v>
      </c>
      <c r="F1191" s="8" t="s">
        <v>22</v>
      </c>
      <c r="G1191" s="8" t="s">
        <v>53</v>
      </c>
      <c r="H1191" s="8"/>
      <c r="I1191" s="10">
        <v>44833</v>
      </c>
      <c r="J1191" s="8" t="s">
        <v>251</v>
      </c>
    </row>
    <row r="1192" spans="1:10" x14ac:dyDescent="0.15">
      <c r="A1192" s="7">
        <v>44837</v>
      </c>
      <c r="B1192" s="8" t="s">
        <v>30</v>
      </c>
      <c r="C1192" s="8" t="s">
        <v>30</v>
      </c>
      <c r="D1192" s="9" t="str">
        <f>HYPERLINK("https://www.marklines.com/en/global/375","Toyota Motor, Takaoka Plant")</f>
        <v>Toyota Motor, Takaoka Plant</v>
      </c>
      <c r="E1192" s="8" t="s">
        <v>51</v>
      </c>
      <c r="F1192" s="8" t="s">
        <v>25</v>
      </c>
      <c r="G1192" s="8" t="s">
        <v>31</v>
      </c>
      <c r="H1192" s="8" t="s">
        <v>32</v>
      </c>
      <c r="I1192" s="10">
        <v>44830</v>
      </c>
      <c r="J1192" s="8" t="s">
        <v>252</v>
      </c>
    </row>
    <row r="1193" spans="1:10" x14ac:dyDescent="0.15">
      <c r="A1193" s="7">
        <v>44837</v>
      </c>
      <c r="B1193" s="8" t="s">
        <v>97</v>
      </c>
      <c r="C1193" s="8" t="s">
        <v>97</v>
      </c>
      <c r="D1193" s="9" t="str">
        <f>HYPERLINK("https://www.marklines.com/en/global/463","Nissan Motor, Tochigi Plant")</f>
        <v>Nissan Motor, Tochigi Plant</v>
      </c>
      <c r="E1193" s="8" t="s">
        <v>138</v>
      </c>
      <c r="F1193" s="8" t="s">
        <v>25</v>
      </c>
      <c r="G1193" s="8" t="s">
        <v>31</v>
      </c>
      <c r="H1193" s="8" t="s">
        <v>33</v>
      </c>
      <c r="I1193" s="10">
        <v>44826</v>
      </c>
      <c r="J1193" s="8" t="s">
        <v>253</v>
      </c>
    </row>
    <row r="1194" spans="1:10" x14ac:dyDescent="0.15">
      <c r="A1194" s="7">
        <v>44837</v>
      </c>
      <c r="B1194" s="8" t="s">
        <v>17</v>
      </c>
      <c r="C1194" s="8" t="s">
        <v>17</v>
      </c>
      <c r="D1194" s="9" t="str">
        <f>HYPERLINK("https://www.marklines.com/en/global/439","Honda Motor, Saitama Factory Automobile Plant")</f>
        <v>Honda Motor, Saitama Factory Automobile Plant</v>
      </c>
      <c r="E1194" s="8" t="s">
        <v>45</v>
      </c>
      <c r="F1194" s="8" t="s">
        <v>25</v>
      </c>
      <c r="G1194" s="8" t="s">
        <v>31</v>
      </c>
      <c r="H1194" s="8" t="s">
        <v>46</v>
      </c>
      <c r="I1194" s="10">
        <v>44826</v>
      </c>
      <c r="J1194" s="8" t="s">
        <v>254</v>
      </c>
    </row>
    <row r="1195" spans="1:10" x14ac:dyDescent="0.15">
      <c r="A1195" s="7">
        <v>44837</v>
      </c>
      <c r="B1195" s="8" t="s">
        <v>17</v>
      </c>
      <c r="C1195" s="8" t="s">
        <v>17</v>
      </c>
      <c r="D1195" s="9" t="str">
        <f>HYPERLINK("https://www.marklines.com/en/global/443","Honda Motor, Suzuka Factory")</f>
        <v>Honda Motor, Suzuka Factory</v>
      </c>
      <c r="E1195" s="8" t="s">
        <v>43</v>
      </c>
      <c r="F1195" s="8" t="s">
        <v>25</v>
      </c>
      <c r="G1195" s="8" t="s">
        <v>31</v>
      </c>
      <c r="H1195" s="8" t="s">
        <v>44</v>
      </c>
      <c r="I1195" s="10">
        <v>44826</v>
      </c>
      <c r="J1195" s="8" t="s">
        <v>254</v>
      </c>
    </row>
    <row r="1196" spans="1:10" x14ac:dyDescent="0.15">
      <c r="A1196" s="7">
        <v>44837</v>
      </c>
      <c r="B1196" s="8" t="s">
        <v>30</v>
      </c>
      <c r="C1196" s="8" t="s">
        <v>37</v>
      </c>
      <c r="D1196" s="9" t="str">
        <f>HYPERLINK("https://www.marklines.com/en/global/569","Hino Motors, Nitta Plant")</f>
        <v>Hino Motors, Nitta Plant</v>
      </c>
      <c r="E1196" s="8" t="s">
        <v>153</v>
      </c>
      <c r="F1196" s="8" t="s">
        <v>25</v>
      </c>
      <c r="G1196" s="8" t="s">
        <v>31</v>
      </c>
      <c r="H1196" s="8" t="s">
        <v>154</v>
      </c>
      <c r="I1196" s="10">
        <v>44826</v>
      </c>
      <c r="J1196" s="8" t="s">
        <v>255</v>
      </c>
    </row>
    <row r="1197" spans="1:10" x14ac:dyDescent="0.15">
      <c r="A1197" s="7">
        <v>44837</v>
      </c>
      <c r="B1197" s="8" t="s">
        <v>30</v>
      </c>
      <c r="C1197" s="8" t="s">
        <v>37</v>
      </c>
      <c r="D1197" s="9" t="str">
        <f>HYPERLINK("https://www.marklines.com/en/global/570","Hino Motors, Koga Plant")</f>
        <v>Hino Motors, Koga Plant</v>
      </c>
      <c r="E1197" s="8" t="s">
        <v>115</v>
      </c>
      <c r="F1197" s="8" t="s">
        <v>25</v>
      </c>
      <c r="G1197" s="8" t="s">
        <v>31</v>
      </c>
      <c r="H1197" s="8" t="s">
        <v>116</v>
      </c>
      <c r="I1197" s="10">
        <v>44826</v>
      </c>
      <c r="J1197" s="8" t="s">
        <v>255</v>
      </c>
    </row>
    <row r="1198" spans="1:10" x14ac:dyDescent="0.15">
      <c r="A1198" s="7">
        <v>44837</v>
      </c>
      <c r="B1198" s="8" t="s">
        <v>30</v>
      </c>
      <c r="C1198" s="8" t="s">
        <v>37</v>
      </c>
      <c r="D1198" s="9" t="str">
        <f>HYPERLINK("https://www.marklines.com/en/global/593","J-Bus, Komatsu Plant")</f>
        <v>J-Bus, Komatsu Plant</v>
      </c>
      <c r="E1198" s="8" t="s">
        <v>155</v>
      </c>
      <c r="F1198" s="8" t="s">
        <v>25</v>
      </c>
      <c r="G1198" s="8" t="s">
        <v>31</v>
      </c>
      <c r="H1198" s="8" t="s">
        <v>156</v>
      </c>
      <c r="I1198" s="10">
        <v>44826</v>
      </c>
      <c r="J1198" s="8" t="s">
        <v>255</v>
      </c>
    </row>
    <row r="1199" spans="1:10" x14ac:dyDescent="0.15">
      <c r="A1199" s="7">
        <v>44837</v>
      </c>
      <c r="B1199" s="8" t="s">
        <v>17</v>
      </c>
      <c r="C1199" s="8" t="s">
        <v>17</v>
      </c>
      <c r="D1199" s="9" t="str">
        <f>HYPERLINK("https://www.marklines.com/en/global/443","Honda Motor, Suzuka Factory")</f>
        <v>Honda Motor, Suzuka Factory</v>
      </c>
      <c r="E1199" s="8" t="s">
        <v>43</v>
      </c>
      <c r="F1199" s="8" t="s">
        <v>25</v>
      </c>
      <c r="G1199" s="8" t="s">
        <v>31</v>
      </c>
      <c r="H1199" s="8" t="s">
        <v>44</v>
      </c>
      <c r="I1199" s="10">
        <v>44826</v>
      </c>
      <c r="J1199" s="8" t="s">
        <v>256</v>
      </c>
    </row>
    <row r="1200" spans="1:10" x14ac:dyDescent="0.15">
      <c r="A1200" s="7">
        <v>44837</v>
      </c>
      <c r="B1200" s="8" t="s">
        <v>30</v>
      </c>
      <c r="C1200" s="8" t="s">
        <v>30</v>
      </c>
      <c r="D1200" s="9" t="str">
        <f>HYPERLINK("https://www.marklines.com/en/global/567","Hino Motors, Hamura Plant")</f>
        <v>Hino Motors, Hamura Plant</v>
      </c>
      <c r="E1200" s="8" t="s">
        <v>49</v>
      </c>
      <c r="F1200" s="8" t="s">
        <v>25</v>
      </c>
      <c r="G1200" s="8" t="s">
        <v>31</v>
      </c>
      <c r="H1200" s="8" t="s">
        <v>50</v>
      </c>
      <c r="I1200" s="10">
        <v>44826</v>
      </c>
      <c r="J1200" s="8" t="s">
        <v>257</v>
      </c>
    </row>
    <row r="1201" spans="1:10" x14ac:dyDescent="0.15">
      <c r="A1201" s="7">
        <v>44837</v>
      </c>
      <c r="B1201" s="8" t="s">
        <v>30</v>
      </c>
      <c r="C1201" s="8" t="s">
        <v>30</v>
      </c>
      <c r="D1201" s="9" t="str">
        <f>HYPERLINK("https://www.marklines.com/en/global/375","Toyota Motor, Takaoka Plant")</f>
        <v>Toyota Motor, Takaoka Plant</v>
      </c>
      <c r="E1201" s="8" t="s">
        <v>51</v>
      </c>
      <c r="F1201" s="8" t="s">
        <v>25</v>
      </c>
      <c r="G1201" s="8" t="s">
        <v>31</v>
      </c>
      <c r="H1201" s="8" t="s">
        <v>32</v>
      </c>
      <c r="I1201" s="10">
        <v>44826</v>
      </c>
      <c r="J1201" s="8" t="s">
        <v>257</v>
      </c>
    </row>
    <row r="1202" spans="1:10" x14ac:dyDescent="0.15">
      <c r="A1202" s="7">
        <v>44837</v>
      </c>
      <c r="B1202" s="8" t="s">
        <v>30</v>
      </c>
      <c r="C1202" s="8" t="s">
        <v>30</v>
      </c>
      <c r="D1202" s="9" t="str">
        <f>HYPERLINK("https://www.marklines.com/en/global/381","Toyota Motor, Tahara Plant")</f>
        <v>Toyota Motor, Tahara Plant</v>
      </c>
      <c r="E1202" s="8" t="s">
        <v>131</v>
      </c>
      <c r="F1202" s="8" t="s">
        <v>25</v>
      </c>
      <c r="G1202" s="8" t="s">
        <v>31</v>
      </c>
      <c r="H1202" s="8" t="s">
        <v>32</v>
      </c>
      <c r="I1202" s="10">
        <v>44826</v>
      </c>
      <c r="J1202" s="8" t="s">
        <v>257</v>
      </c>
    </row>
    <row r="1203" spans="1:10" x14ac:dyDescent="0.15">
      <c r="A1203" s="7">
        <v>44837</v>
      </c>
      <c r="B1203" s="8" t="s">
        <v>30</v>
      </c>
      <c r="C1203" s="8" t="s">
        <v>30</v>
      </c>
      <c r="D1203" s="9" t="str">
        <f>HYPERLINK("https://www.marklines.com/en/global/393","Toyota Motor Kyushu, Miyata Plant")</f>
        <v>Toyota Motor Kyushu, Miyata Plant</v>
      </c>
      <c r="E1203" s="8" t="s">
        <v>126</v>
      </c>
      <c r="F1203" s="8" t="s">
        <v>25</v>
      </c>
      <c r="G1203" s="8" t="s">
        <v>31</v>
      </c>
      <c r="H1203" s="8" t="s">
        <v>127</v>
      </c>
      <c r="I1203" s="10">
        <v>44826</v>
      </c>
      <c r="J1203" s="8" t="s">
        <v>257</v>
      </c>
    </row>
    <row r="1204" spans="1:10" x14ac:dyDescent="0.15">
      <c r="A1204" s="7">
        <v>44837</v>
      </c>
      <c r="B1204" s="8" t="s">
        <v>30</v>
      </c>
      <c r="C1204" s="8" t="s">
        <v>30</v>
      </c>
      <c r="D1204" s="9" t="str">
        <f>HYPERLINK("https://www.marklines.com/en/global/379","Toyota Motor, Tsutsumi Plant")</f>
        <v>Toyota Motor, Tsutsumi Plant</v>
      </c>
      <c r="E1204" s="8" t="s">
        <v>105</v>
      </c>
      <c r="F1204" s="8" t="s">
        <v>25</v>
      </c>
      <c r="G1204" s="8" t="s">
        <v>31</v>
      </c>
      <c r="H1204" s="8" t="s">
        <v>32</v>
      </c>
      <c r="I1204" s="10">
        <v>44826</v>
      </c>
      <c r="J1204" s="8" t="s">
        <v>257</v>
      </c>
    </row>
    <row r="1205" spans="1:10" x14ac:dyDescent="0.15">
      <c r="A1205" s="7">
        <v>44837</v>
      </c>
      <c r="B1205" s="8" t="s">
        <v>30</v>
      </c>
      <c r="C1205" s="8" t="s">
        <v>30</v>
      </c>
      <c r="D1205" s="9" t="str">
        <f>HYPERLINK("https://www.marklines.com/en/global/433","Toyota Industries Corporation, Nagakusa Plant")</f>
        <v>Toyota Industries Corporation, Nagakusa Plant</v>
      </c>
      <c r="E1205" s="8" t="s">
        <v>119</v>
      </c>
      <c r="F1205" s="8" t="s">
        <v>25</v>
      </c>
      <c r="G1205" s="8" t="s">
        <v>31</v>
      </c>
      <c r="H1205" s="8" t="s">
        <v>32</v>
      </c>
      <c r="I1205" s="10">
        <v>44826</v>
      </c>
      <c r="J1205" s="8" t="s">
        <v>257</v>
      </c>
    </row>
    <row r="1206" spans="1:10" x14ac:dyDescent="0.15">
      <c r="A1206" s="7">
        <v>44837</v>
      </c>
      <c r="B1206" s="8" t="s">
        <v>30</v>
      </c>
      <c r="C1206" s="8" t="s">
        <v>30</v>
      </c>
      <c r="D1206" s="9" t="str">
        <f>HYPERLINK("https://www.marklines.com/en/global/373","Toyota Motor, Motomachi Plant")</f>
        <v>Toyota Motor, Motomachi Plant</v>
      </c>
      <c r="E1206" s="8" t="s">
        <v>36</v>
      </c>
      <c r="F1206" s="8" t="s">
        <v>25</v>
      </c>
      <c r="G1206" s="8" t="s">
        <v>31</v>
      </c>
      <c r="H1206" s="8" t="s">
        <v>32</v>
      </c>
      <c r="I1206" s="10">
        <v>44826</v>
      </c>
      <c r="J1206" s="8" t="s">
        <v>257</v>
      </c>
    </row>
    <row r="1207" spans="1:10" x14ac:dyDescent="0.15">
      <c r="A1207" s="7">
        <v>44835</v>
      </c>
      <c r="B1207" s="8" t="s">
        <v>87</v>
      </c>
      <c r="C1207" s="8" t="s">
        <v>88</v>
      </c>
      <c r="D1207" s="9" t="str">
        <f>HYPERLINK("https://www.marklines.com/en/global/3061","Mercedes-Benz Vans, LLC, North Charleston Plant")</f>
        <v>Mercedes-Benz Vans, LLC, North Charleston Plant</v>
      </c>
      <c r="E1207" s="8" t="s">
        <v>143</v>
      </c>
      <c r="F1207" s="8" t="s">
        <v>19</v>
      </c>
      <c r="G1207" s="8" t="s">
        <v>12</v>
      </c>
      <c r="H1207" s="8" t="s">
        <v>144</v>
      </c>
      <c r="I1207" s="10">
        <v>44833</v>
      </c>
      <c r="J1207" s="8" t="s">
        <v>258</v>
      </c>
    </row>
    <row r="1208" spans="1:10" x14ac:dyDescent="0.15">
      <c r="A1208" s="7">
        <v>44835</v>
      </c>
      <c r="B1208" s="8" t="s">
        <v>76</v>
      </c>
      <c r="C1208" s="8" t="s">
        <v>77</v>
      </c>
      <c r="D1208" s="9" t="str">
        <f>HYPERLINK("https://www.marklines.com/en/global/9324","Volvo Cars, Ridgeville Plant")</f>
        <v>Volvo Cars, Ridgeville Plant</v>
      </c>
      <c r="E1208" s="8" t="s">
        <v>259</v>
      </c>
      <c r="F1208" s="8" t="s">
        <v>19</v>
      </c>
      <c r="G1208" s="8" t="s">
        <v>12</v>
      </c>
      <c r="H1208" s="8" t="s">
        <v>144</v>
      </c>
      <c r="I1208" s="10">
        <v>44833</v>
      </c>
      <c r="J1208" s="8" t="s">
        <v>258</v>
      </c>
    </row>
    <row r="1209" spans="1:10" x14ac:dyDescent="0.15">
      <c r="A1209" s="7">
        <v>44835</v>
      </c>
      <c r="B1209" s="8" t="s">
        <v>59</v>
      </c>
      <c r="C1209" s="8" t="s">
        <v>63</v>
      </c>
      <c r="D1209" s="9" t="str">
        <f>HYPERLINK("https://www.marklines.com/en/global/2773","Stellantis, Fiat Auto Argentina S.A., Cordoba Plant")</f>
        <v>Stellantis, Fiat Auto Argentina S.A., Cordoba Plant</v>
      </c>
      <c r="E1209" s="8" t="s">
        <v>132</v>
      </c>
      <c r="F1209" s="8" t="s">
        <v>24</v>
      </c>
      <c r="G1209" s="8" t="s">
        <v>18</v>
      </c>
      <c r="H1209" s="8"/>
      <c r="I1209" s="10">
        <v>44833</v>
      </c>
      <c r="J1209" s="8" t="s">
        <v>260</v>
      </c>
    </row>
    <row r="1210" spans="1:10" x14ac:dyDescent="0.15">
      <c r="A1210" s="7">
        <v>44835</v>
      </c>
      <c r="B1210" s="8" t="s">
        <v>14</v>
      </c>
      <c r="C1210" s="8" t="s">
        <v>28</v>
      </c>
      <c r="D1210" s="9" t="str">
        <f>HYPERLINK("https://www.marklines.com/en/global/9108","SAIC General Motors Corporation Limited, Cadillac Plant")</f>
        <v>SAIC General Motors Corporation Limited, Cadillac Plant</v>
      </c>
      <c r="E1210" s="8" t="s">
        <v>158</v>
      </c>
      <c r="F1210" s="8" t="s">
        <v>25</v>
      </c>
      <c r="G1210" s="8" t="s">
        <v>71</v>
      </c>
      <c r="H1210" s="8" t="s">
        <v>72</v>
      </c>
      <c r="I1210" s="10">
        <v>44832</v>
      </c>
      <c r="J1210" s="8" t="s">
        <v>261</v>
      </c>
    </row>
    <row r="1211" spans="1:10" x14ac:dyDescent="0.15">
      <c r="A1211" s="7">
        <v>44835</v>
      </c>
      <c r="B1211" s="8" t="s">
        <v>73</v>
      </c>
      <c r="C1211" s="8" t="s">
        <v>74</v>
      </c>
      <c r="D1211" s="9" t="str">
        <f>HYPERLINK("https://www.marklines.com/en/global/2829","Daimler Truck, São Bernardo do Campo Plant, Mercedes-Benz do Brasil Ltda. ")</f>
        <v xml:space="preserve">Daimler Truck, São Bernardo do Campo Plant, Mercedes-Benz do Brasil Ltda. </v>
      </c>
      <c r="E1211" s="8" t="s">
        <v>75</v>
      </c>
      <c r="F1211" s="8" t="s">
        <v>24</v>
      </c>
      <c r="G1211" s="8" t="s">
        <v>68</v>
      </c>
      <c r="H1211" s="8"/>
      <c r="I1211" s="10">
        <v>44831</v>
      </c>
      <c r="J1211" s="8" t="s">
        <v>262</v>
      </c>
    </row>
    <row r="1212" spans="1:10" x14ac:dyDescent="0.15">
      <c r="A1212" s="7">
        <v>44835</v>
      </c>
      <c r="B1212" s="8" t="s">
        <v>15</v>
      </c>
      <c r="C1212" s="8" t="s">
        <v>151</v>
      </c>
      <c r="D1212" s="9" t="str">
        <f>HYPERLINK("https://www.marklines.com/en/global/1809","Magna Steyr Fahrzeugtechnik AG &amp; Co KG, Graz Plant")</f>
        <v>Magna Steyr Fahrzeugtechnik AG &amp; Co KG, Graz Plant</v>
      </c>
      <c r="E1212" s="8" t="s">
        <v>152</v>
      </c>
      <c r="F1212" s="8" t="s">
        <v>20</v>
      </c>
      <c r="G1212" s="8" t="s">
        <v>106</v>
      </c>
      <c r="H1212" s="8"/>
      <c r="I1212" s="10">
        <v>44830</v>
      </c>
      <c r="J1212" s="8" t="s">
        <v>263</v>
      </c>
    </row>
    <row r="1213" spans="1:10" x14ac:dyDescent="0.15">
      <c r="A1213" s="7"/>
      <c r="B1213" s="8"/>
      <c r="C1213" s="8"/>
      <c r="D1213" s="9"/>
      <c r="E1213" s="8"/>
      <c r="F1213" s="8"/>
      <c r="G1213" s="8"/>
      <c r="H1213" s="8"/>
      <c r="I1213" s="10"/>
      <c r="J1213" s="8"/>
    </row>
    <row r="1214" spans="1:10" x14ac:dyDescent="0.15">
      <c r="A1214" s="7"/>
      <c r="B1214" s="8"/>
      <c r="C1214" s="8"/>
      <c r="D1214" s="9"/>
      <c r="E1214" s="8"/>
      <c r="F1214" s="8"/>
      <c r="G1214" s="8"/>
      <c r="H1214" s="8"/>
      <c r="I1214" s="10"/>
      <c r="J1214" s="8"/>
    </row>
    <row r="1215" spans="1:10" x14ac:dyDescent="0.15">
      <c r="A1215" s="7"/>
      <c r="B1215" s="8"/>
      <c r="C1215" s="8"/>
      <c r="D1215" s="9"/>
      <c r="E1215" s="8"/>
      <c r="F1215" s="8"/>
      <c r="G1215" s="8"/>
      <c r="H1215" s="8"/>
      <c r="I1215" s="10"/>
      <c r="J1215" s="8"/>
    </row>
    <row r="1216" spans="1:10" x14ac:dyDescent="0.15">
      <c r="A1216" s="7"/>
      <c r="B1216" s="8"/>
      <c r="C1216" s="8"/>
      <c r="D1216" s="9"/>
      <c r="E1216" s="8"/>
      <c r="F1216" s="8"/>
      <c r="G1216" s="8"/>
      <c r="H1216" s="8"/>
      <c r="I1216" s="10"/>
      <c r="J1216" s="8"/>
    </row>
    <row r="1217" spans="1:10" x14ac:dyDescent="0.15">
      <c r="A1217" s="7"/>
      <c r="B1217" s="8"/>
      <c r="C1217" s="8"/>
      <c r="D1217" s="9"/>
      <c r="E1217" s="8"/>
      <c r="F1217" s="8"/>
      <c r="G1217" s="8"/>
      <c r="H1217" s="8"/>
      <c r="I1217" s="10"/>
      <c r="J1217" s="8"/>
    </row>
    <row r="1218" spans="1:10" x14ac:dyDescent="0.15">
      <c r="A1218" s="7"/>
      <c r="B1218" s="8"/>
      <c r="C1218" s="8"/>
      <c r="D1218" s="9"/>
      <c r="E1218" s="8"/>
      <c r="F1218" s="8"/>
      <c r="G1218" s="8"/>
      <c r="H1218" s="8"/>
      <c r="I1218" s="10"/>
      <c r="J1218" s="8"/>
    </row>
    <row r="1219" spans="1:10" x14ac:dyDescent="0.15">
      <c r="A1219" s="7"/>
      <c r="B1219" s="8"/>
      <c r="C1219" s="8"/>
      <c r="D1219" s="9"/>
      <c r="E1219" s="8"/>
      <c r="F1219" s="8"/>
      <c r="G1219" s="8"/>
      <c r="H1219" s="8"/>
      <c r="I1219" s="10"/>
      <c r="J1219" s="8"/>
    </row>
    <row r="1220" spans="1:10" x14ac:dyDescent="0.15">
      <c r="A1220" s="7"/>
      <c r="B1220" s="8"/>
      <c r="C1220" s="8"/>
      <c r="D1220" s="9"/>
      <c r="E1220" s="8"/>
      <c r="F1220" s="8"/>
      <c r="G1220" s="8"/>
      <c r="H1220" s="8"/>
      <c r="I1220" s="10"/>
      <c r="J1220" s="8"/>
    </row>
    <row r="1221" spans="1:10" x14ac:dyDescent="0.15">
      <c r="A1221" s="7"/>
      <c r="B1221" s="8"/>
      <c r="C1221" s="8"/>
      <c r="D1221" s="9"/>
      <c r="E1221" s="8"/>
      <c r="F1221" s="8"/>
      <c r="G1221" s="8"/>
      <c r="H1221" s="8"/>
      <c r="I1221" s="10"/>
      <c r="J1221" s="8"/>
    </row>
    <row r="1222" spans="1:10" x14ac:dyDescent="0.15">
      <c r="A1222" s="7"/>
      <c r="B1222" s="8"/>
      <c r="C1222" s="8"/>
      <c r="D1222" s="9"/>
      <c r="E1222" s="8"/>
      <c r="F1222" s="8"/>
      <c r="G1222" s="8"/>
      <c r="H1222" s="8"/>
      <c r="I1222" s="10"/>
      <c r="J1222" s="8"/>
    </row>
    <row r="1223" spans="1:10" x14ac:dyDescent="0.15">
      <c r="A1223" s="7"/>
      <c r="B1223" s="8"/>
      <c r="C1223" s="8"/>
      <c r="D1223" s="9"/>
      <c r="E1223" s="8"/>
      <c r="F1223" s="8"/>
      <c r="G1223" s="8"/>
      <c r="H1223" s="8"/>
      <c r="I1223" s="10"/>
      <c r="J1223" s="8"/>
    </row>
    <row r="1224" spans="1:10" x14ac:dyDescent="0.15">
      <c r="A1224" s="7"/>
      <c r="B1224" s="8"/>
      <c r="C1224" s="8"/>
      <c r="D1224" s="9"/>
      <c r="E1224" s="8"/>
      <c r="F1224" s="8"/>
      <c r="G1224" s="8"/>
      <c r="H1224" s="8"/>
      <c r="I1224" s="10"/>
      <c r="J1224" s="8"/>
    </row>
    <row r="1225" spans="1:10" x14ac:dyDescent="0.15">
      <c r="A1225" s="7"/>
      <c r="B1225" s="8"/>
      <c r="C1225" s="8"/>
      <c r="D1225" s="9"/>
      <c r="E1225" s="8"/>
      <c r="F1225" s="8"/>
      <c r="G1225" s="8"/>
      <c r="H1225" s="8"/>
      <c r="I1225" s="10"/>
      <c r="J1225" s="8"/>
    </row>
    <row r="1226" spans="1:10" x14ac:dyDescent="0.15">
      <c r="A1226" s="7"/>
      <c r="B1226" s="8"/>
      <c r="C1226" s="8"/>
      <c r="D1226" s="9"/>
      <c r="E1226" s="8"/>
      <c r="F1226" s="8"/>
      <c r="G1226" s="8"/>
      <c r="H1226" s="8"/>
      <c r="I1226" s="10"/>
      <c r="J1226" s="8"/>
    </row>
    <row r="1227" spans="1:10" x14ac:dyDescent="0.15">
      <c r="A1227" s="7"/>
      <c r="B1227" s="8"/>
      <c r="C1227" s="8"/>
      <c r="D1227" s="9"/>
      <c r="E1227" s="8"/>
      <c r="F1227" s="8"/>
      <c r="G1227" s="8"/>
      <c r="H1227" s="8"/>
      <c r="I1227" s="10"/>
      <c r="J1227" s="8"/>
    </row>
    <row r="1228" spans="1:10" x14ac:dyDescent="0.15">
      <c r="A1228" s="7"/>
      <c r="B1228" s="8"/>
      <c r="C1228" s="8"/>
      <c r="D1228" s="9"/>
      <c r="E1228" s="8"/>
      <c r="F1228" s="8"/>
      <c r="G1228" s="8"/>
      <c r="H1228" s="8"/>
      <c r="I1228" s="10"/>
      <c r="J1228" s="8"/>
    </row>
    <row r="1229" spans="1:10" x14ac:dyDescent="0.15">
      <c r="A1229" s="7"/>
      <c r="B1229" s="8"/>
      <c r="C1229" s="8"/>
      <c r="D1229" s="9"/>
      <c r="E1229" s="8"/>
      <c r="F1229" s="8"/>
      <c r="G1229" s="8"/>
      <c r="H1229" s="8"/>
      <c r="I1229" s="10"/>
      <c r="J1229" s="8"/>
    </row>
    <row r="1230" spans="1:10" x14ac:dyDescent="0.15">
      <c r="A1230" s="7"/>
      <c r="B1230" s="8"/>
      <c r="C1230" s="8"/>
      <c r="D1230" s="9"/>
      <c r="E1230" s="8"/>
      <c r="F1230" s="8"/>
      <c r="G1230" s="8"/>
      <c r="H1230" s="8"/>
      <c r="I1230" s="10"/>
      <c r="J1230" s="8"/>
    </row>
    <row r="1231" spans="1:10" x14ac:dyDescent="0.15">
      <c r="A1231" s="7"/>
      <c r="B1231" s="8"/>
      <c r="C1231" s="8"/>
      <c r="D1231" s="9"/>
      <c r="E1231" s="8"/>
      <c r="F1231" s="8"/>
      <c r="G1231" s="8"/>
      <c r="H1231" s="8"/>
      <c r="I1231" s="10"/>
      <c r="J1231" s="8"/>
    </row>
    <row r="1232" spans="1:10" x14ac:dyDescent="0.15">
      <c r="A1232" s="7"/>
      <c r="B1232" s="8"/>
      <c r="C1232" s="8"/>
      <c r="D1232" s="9"/>
      <c r="E1232" s="8"/>
      <c r="F1232" s="8"/>
      <c r="G1232" s="8"/>
      <c r="H1232" s="8"/>
      <c r="I1232" s="10"/>
      <c r="J1232" s="8"/>
    </row>
    <row r="1233" spans="1:10" x14ac:dyDescent="0.15">
      <c r="A1233" s="7"/>
      <c r="B1233" s="8"/>
      <c r="C1233" s="8"/>
      <c r="D1233" s="9"/>
      <c r="E1233" s="8"/>
      <c r="F1233" s="8"/>
      <c r="G1233" s="8"/>
      <c r="H1233" s="8"/>
      <c r="I1233" s="10"/>
      <c r="J1233" s="8"/>
    </row>
    <row r="1234" spans="1:10" x14ac:dyDescent="0.15">
      <c r="A1234" s="7"/>
      <c r="B1234" s="8"/>
      <c r="C1234" s="8"/>
      <c r="D1234" s="9"/>
      <c r="E1234" s="8"/>
      <c r="F1234" s="8"/>
      <c r="G1234" s="8"/>
      <c r="H1234" s="8"/>
      <c r="I1234" s="10"/>
      <c r="J1234" s="8"/>
    </row>
    <row r="1235" spans="1:10" x14ac:dyDescent="0.15">
      <c r="A1235" s="7"/>
      <c r="B1235" s="8"/>
      <c r="C1235" s="8"/>
      <c r="D1235" s="9"/>
      <c r="E1235" s="8"/>
      <c r="F1235" s="8"/>
      <c r="G1235" s="8"/>
      <c r="H1235" s="8"/>
      <c r="I1235" s="10"/>
      <c r="J1235" s="8"/>
    </row>
    <row r="1236" spans="1:10" x14ac:dyDescent="0.15">
      <c r="A1236" s="7"/>
      <c r="B1236" s="8"/>
      <c r="C1236" s="8"/>
      <c r="D1236" s="9"/>
      <c r="E1236" s="8"/>
      <c r="F1236" s="8"/>
      <c r="G1236" s="8"/>
      <c r="H1236" s="8"/>
      <c r="I1236" s="10"/>
      <c r="J1236" s="8"/>
    </row>
    <row r="1237" spans="1:10" x14ac:dyDescent="0.15">
      <c r="A1237" s="7"/>
      <c r="B1237" s="8"/>
      <c r="C1237" s="8"/>
      <c r="D1237" s="9"/>
      <c r="E1237" s="8"/>
      <c r="F1237" s="8"/>
      <c r="G1237" s="8"/>
      <c r="H1237" s="8"/>
      <c r="I1237" s="10"/>
      <c r="J1237" s="8"/>
    </row>
    <row r="1238" spans="1:10" x14ac:dyDescent="0.15">
      <c r="A1238" s="7"/>
      <c r="B1238" s="8"/>
      <c r="C1238" s="8"/>
      <c r="D1238" s="9"/>
      <c r="E1238" s="8"/>
      <c r="F1238" s="8"/>
      <c r="G1238" s="8"/>
      <c r="H1238" s="8"/>
      <c r="I1238" s="10"/>
      <c r="J1238" s="8"/>
    </row>
    <row r="1239" spans="1:10" x14ac:dyDescent="0.15">
      <c r="A1239" s="7"/>
      <c r="B1239" s="8"/>
      <c r="C1239" s="8"/>
      <c r="D1239" s="9"/>
      <c r="E1239" s="8"/>
      <c r="F1239" s="8"/>
      <c r="G1239" s="8"/>
      <c r="H1239" s="8"/>
      <c r="I1239" s="10"/>
      <c r="J1239" s="8"/>
    </row>
    <row r="1240" spans="1:10" x14ac:dyDescent="0.15">
      <c r="A1240" s="7"/>
      <c r="B1240" s="8"/>
      <c r="C1240" s="8"/>
      <c r="D1240" s="9"/>
      <c r="E1240" s="8"/>
      <c r="F1240" s="8"/>
      <c r="G1240" s="8"/>
      <c r="H1240" s="8"/>
      <c r="I1240" s="10"/>
      <c r="J1240" s="8"/>
    </row>
    <row r="1241" spans="1:10" x14ac:dyDescent="0.15">
      <c r="A1241" s="7"/>
      <c r="B1241" s="8"/>
      <c r="C1241" s="8"/>
      <c r="D1241" s="9"/>
      <c r="E1241" s="8"/>
      <c r="F1241" s="8"/>
      <c r="G1241" s="8"/>
      <c r="H1241" s="8"/>
      <c r="I1241" s="10"/>
      <c r="J1241" s="8"/>
    </row>
    <row r="1242" spans="1:10" x14ac:dyDescent="0.15">
      <c r="A1242" s="7"/>
      <c r="B1242" s="8"/>
      <c r="C1242" s="8"/>
      <c r="D1242" s="9"/>
      <c r="E1242" s="8"/>
      <c r="F1242" s="8"/>
      <c r="G1242" s="8"/>
      <c r="H1242" s="8"/>
      <c r="I1242" s="10"/>
      <c r="J1242" s="8"/>
    </row>
    <row r="1243" spans="1:10" x14ac:dyDescent="0.15">
      <c r="A1243" s="7"/>
      <c r="B1243" s="8"/>
      <c r="C1243" s="8"/>
      <c r="D1243" s="9"/>
      <c r="E1243" s="8"/>
      <c r="F1243" s="8"/>
      <c r="G1243" s="8"/>
      <c r="H1243" s="8"/>
      <c r="I1243" s="10"/>
      <c r="J1243" s="8"/>
    </row>
    <row r="1244" spans="1:10" x14ac:dyDescent="0.15">
      <c r="A1244" s="7"/>
      <c r="B1244" s="8"/>
      <c r="C1244" s="8"/>
      <c r="D1244" s="9"/>
      <c r="E1244" s="8"/>
      <c r="F1244" s="8"/>
      <c r="G1244" s="8"/>
      <c r="H1244" s="8"/>
      <c r="I1244" s="10"/>
      <c r="J1244" s="8"/>
    </row>
    <row r="1245" spans="1:10" x14ac:dyDescent="0.15">
      <c r="A1245" s="7"/>
      <c r="B1245" s="8"/>
      <c r="C1245" s="8"/>
      <c r="D1245" s="9"/>
      <c r="E1245" s="8"/>
      <c r="F1245" s="8"/>
      <c r="G1245" s="8"/>
      <c r="H1245" s="8"/>
      <c r="I1245" s="10"/>
      <c r="J1245" s="8"/>
    </row>
    <row r="1246" spans="1:10" x14ac:dyDescent="0.15">
      <c r="A1246" s="7"/>
      <c r="B1246" s="8"/>
      <c r="C1246" s="8"/>
      <c r="D1246" s="9"/>
      <c r="E1246" s="8"/>
      <c r="F1246" s="8"/>
      <c r="G1246" s="8"/>
      <c r="H1246" s="8"/>
      <c r="I1246" s="10"/>
      <c r="J1246" s="8"/>
    </row>
    <row r="1247" spans="1:10" x14ac:dyDescent="0.15">
      <c r="A1247" s="7"/>
      <c r="B1247" s="8"/>
      <c r="C1247" s="8"/>
      <c r="D1247" s="9"/>
      <c r="E1247" s="8"/>
      <c r="F1247" s="8"/>
      <c r="G1247" s="8"/>
      <c r="H1247" s="8"/>
      <c r="I1247" s="10"/>
      <c r="J1247" s="8"/>
    </row>
    <row r="1248" spans="1:10" x14ac:dyDescent="0.15">
      <c r="A1248" s="7"/>
      <c r="B1248" s="8"/>
      <c r="C1248" s="8"/>
      <c r="D1248" s="9"/>
      <c r="E1248" s="8"/>
      <c r="F1248" s="8"/>
      <c r="G1248" s="8"/>
      <c r="H1248" s="8"/>
      <c r="I1248" s="10"/>
      <c r="J1248" s="8"/>
    </row>
    <row r="1249" spans="1:10" x14ac:dyDescent="0.15">
      <c r="A1249" s="7"/>
      <c r="B1249" s="8"/>
      <c r="C1249" s="8"/>
      <c r="D1249" s="9"/>
      <c r="E1249" s="8"/>
      <c r="F1249" s="8"/>
      <c r="G1249" s="8"/>
      <c r="H1249" s="8"/>
      <c r="I1249" s="10"/>
      <c r="J1249" s="8"/>
    </row>
    <row r="1250" spans="1:10" x14ac:dyDescent="0.15">
      <c r="A1250" s="7"/>
      <c r="B1250" s="8"/>
      <c r="C1250" s="8"/>
      <c r="D1250" s="9"/>
      <c r="E1250" s="8"/>
      <c r="F1250" s="8"/>
      <c r="G1250" s="8"/>
      <c r="H1250" s="8"/>
      <c r="I1250" s="10"/>
      <c r="J1250" s="8"/>
    </row>
    <row r="1251" spans="1:10" x14ac:dyDescent="0.15">
      <c r="A1251" s="7"/>
      <c r="B1251" s="8"/>
      <c r="C1251" s="8"/>
      <c r="D1251" s="9"/>
      <c r="E1251" s="8"/>
      <c r="F1251" s="8"/>
      <c r="G1251" s="8"/>
      <c r="H1251" s="8"/>
      <c r="I1251" s="10"/>
      <c r="J1251" s="8"/>
    </row>
    <row r="1252" spans="1:10" x14ac:dyDescent="0.15">
      <c r="A1252" s="7"/>
      <c r="B1252" s="8"/>
      <c r="C1252" s="8"/>
      <c r="D1252" s="9"/>
      <c r="E1252" s="8"/>
      <c r="F1252" s="8"/>
      <c r="G1252" s="8"/>
      <c r="H1252" s="8"/>
      <c r="I1252" s="10"/>
      <c r="J1252" s="8"/>
    </row>
    <row r="1253" spans="1:10" x14ac:dyDescent="0.15">
      <c r="A1253" s="7"/>
      <c r="B1253" s="8"/>
      <c r="C1253" s="8"/>
      <c r="D1253" s="9"/>
      <c r="E1253" s="8"/>
      <c r="F1253" s="8"/>
      <c r="G1253" s="8"/>
      <c r="H1253" s="8"/>
      <c r="I1253" s="10"/>
      <c r="J1253" s="8"/>
    </row>
    <row r="1254" spans="1:10" x14ac:dyDescent="0.15">
      <c r="A1254" s="7"/>
      <c r="B1254" s="8"/>
      <c r="C1254" s="8"/>
      <c r="D1254" s="9"/>
      <c r="E1254" s="8"/>
      <c r="F1254" s="8"/>
      <c r="G1254" s="8"/>
      <c r="H1254" s="8"/>
      <c r="I1254" s="10"/>
      <c r="J1254" s="8"/>
    </row>
    <row r="1255" spans="1:10" x14ac:dyDescent="0.15">
      <c r="A1255" s="7"/>
      <c r="B1255" s="8"/>
      <c r="C1255" s="8"/>
      <c r="D1255" s="9"/>
      <c r="E1255" s="8"/>
      <c r="F1255" s="8"/>
      <c r="G1255" s="8"/>
      <c r="H1255" s="8"/>
      <c r="I1255" s="10"/>
      <c r="J1255" s="8"/>
    </row>
    <row r="1256" spans="1:10" x14ac:dyDescent="0.15">
      <c r="A1256" s="7"/>
      <c r="B1256" s="8"/>
      <c r="C1256" s="8"/>
      <c r="D1256" s="9"/>
      <c r="E1256" s="8"/>
      <c r="F1256" s="8"/>
      <c r="G1256" s="8"/>
      <c r="H1256" s="8"/>
      <c r="I1256" s="10"/>
      <c r="J1256" s="8"/>
    </row>
    <row r="1257" spans="1:10" x14ac:dyDescent="0.15">
      <c r="A1257" s="7"/>
      <c r="B1257" s="8"/>
      <c r="C1257" s="8"/>
      <c r="D1257" s="9"/>
      <c r="E1257" s="8"/>
      <c r="F1257" s="8"/>
      <c r="G1257" s="8"/>
      <c r="H1257" s="8"/>
      <c r="I1257" s="10"/>
      <c r="J1257" s="8"/>
    </row>
    <row r="1258" spans="1:10" x14ac:dyDescent="0.15">
      <c r="A1258" s="7"/>
      <c r="B1258" s="8"/>
      <c r="C1258" s="8"/>
      <c r="D1258" s="9"/>
      <c r="E1258" s="8"/>
      <c r="F1258" s="8"/>
      <c r="G1258" s="8"/>
      <c r="H1258" s="8"/>
      <c r="I1258" s="10"/>
      <c r="J1258" s="8"/>
    </row>
    <row r="1259" spans="1:10" x14ac:dyDescent="0.15">
      <c r="A1259" s="7"/>
      <c r="B1259" s="8"/>
      <c r="C1259" s="8"/>
      <c r="D1259" s="9"/>
      <c r="E1259" s="8"/>
      <c r="F1259" s="8"/>
      <c r="G1259" s="8"/>
      <c r="H1259" s="8"/>
      <c r="I1259" s="10"/>
      <c r="J1259" s="8"/>
    </row>
    <row r="1260" spans="1:10" x14ac:dyDescent="0.15">
      <c r="A1260" s="7"/>
      <c r="B1260" s="8"/>
      <c r="C1260" s="8"/>
      <c r="D1260" s="9"/>
      <c r="E1260" s="8"/>
      <c r="F1260" s="8"/>
      <c r="G1260" s="8"/>
      <c r="H1260" s="8"/>
      <c r="I1260" s="10"/>
      <c r="J1260" s="8"/>
    </row>
    <row r="1261" spans="1:10" x14ac:dyDescent="0.15">
      <c r="A1261" s="7"/>
      <c r="B1261" s="8"/>
      <c r="C1261" s="8"/>
      <c r="D1261" s="9"/>
      <c r="E1261" s="8"/>
      <c r="F1261" s="8"/>
      <c r="G1261" s="8"/>
      <c r="H1261" s="8"/>
      <c r="I1261" s="10"/>
      <c r="J1261" s="8"/>
    </row>
    <row r="1262" spans="1:10" x14ac:dyDescent="0.15">
      <c r="A1262" s="7"/>
      <c r="B1262" s="8"/>
      <c r="C1262" s="8"/>
      <c r="D1262" s="9"/>
      <c r="E1262" s="8"/>
      <c r="F1262" s="8"/>
      <c r="G1262" s="8"/>
      <c r="H1262" s="8"/>
      <c r="I1262" s="10"/>
      <c r="J1262" s="8"/>
    </row>
    <row r="1263" spans="1:10" x14ac:dyDescent="0.15">
      <c r="A1263" s="7"/>
      <c r="B1263" s="8"/>
      <c r="C1263" s="8"/>
      <c r="D1263" s="9"/>
      <c r="E1263" s="8"/>
      <c r="F1263" s="8"/>
      <c r="G1263" s="8"/>
      <c r="H1263" s="8"/>
      <c r="I1263" s="10"/>
      <c r="J1263" s="8"/>
    </row>
    <row r="1264" spans="1:10" x14ac:dyDescent="0.15">
      <c r="A1264" s="7"/>
      <c r="B1264" s="8"/>
      <c r="C1264" s="8"/>
      <c r="D1264" s="9"/>
      <c r="E1264" s="8"/>
      <c r="F1264" s="8"/>
      <c r="G1264" s="8"/>
      <c r="H1264" s="8"/>
      <c r="I1264" s="10"/>
      <c r="J1264" s="8"/>
    </row>
    <row r="1265" spans="1:10" x14ac:dyDescent="0.15">
      <c r="A1265" s="7"/>
      <c r="B1265" s="8"/>
      <c r="C1265" s="8"/>
      <c r="D1265" s="9"/>
      <c r="E1265" s="8"/>
      <c r="F1265" s="8"/>
      <c r="G1265" s="8"/>
      <c r="H1265" s="8"/>
      <c r="I1265" s="10"/>
      <c r="J1265" s="8"/>
    </row>
    <row r="1266" spans="1:10" x14ac:dyDescent="0.15">
      <c r="A1266" s="7"/>
      <c r="B1266" s="8"/>
      <c r="C1266" s="8"/>
      <c r="D1266" s="9"/>
      <c r="E1266" s="8"/>
      <c r="F1266" s="8"/>
      <c r="G1266" s="8"/>
      <c r="H1266" s="8"/>
      <c r="I1266" s="10"/>
      <c r="J1266" s="8"/>
    </row>
    <row r="1267" spans="1:10" x14ac:dyDescent="0.15">
      <c r="A1267" s="7"/>
      <c r="B1267" s="8"/>
      <c r="C1267" s="8"/>
      <c r="D1267" s="9"/>
      <c r="E1267" s="8"/>
      <c r="F1267" s="8"/>
      <c r="G1267" s="8"/>
      <c r="H1267" s="8"/>
      <c r="I1267" s="10"/>
      <c r="J1267" s="8"/>
    </row>
    <row r="1268" spans="1:10" x14ac:dyDescent="0.15">
      <c r="A1268" s="7"/>
      <c r="B1268" s="8"/>
      <c r="C1268" s="8"/>
      <c r="D1268" s="9"/>
      <c r="E1268" s="8"/>
      <c r="F1268" s="8"/>
      <c r="G1268" s="8"/>
      <c r="H1268" s="8"/>
      <c r="I1268" s="10"/>
      <c r="J1268" s="8"/>
    </row>
    <row r="1269" spans="1:10" x14ac:dyDescent="0.15">
      <c r="A1269" s="7"/>
      <c r="B1269" s="8"/>
      <c r="C1269" s="8"/>
      <c r="D1269" s="9"/>
      <c r="E1269" s="8"/>
      <c r="F1269" s="8"/>
      <c r="G1269" s="8"/>
      <c r="H1269" s="8"/>
      <c r="I1269" s="10"/>
      <c r="J1269" s="8"/>
    </row>
    <row r="1270" spans="1:10" x14ac:dyDescent="0.15">
      <c r="A1270" s="7"/>
      <c r="B1270" s="8"/>
      <c r="C1270" s="8"/>
      <c r="D1270" s="9"/>
      <c r="E1270" s="8"/>
      <c r="F1270" s="8"/>
      <c r="G1270" s="8"/>
      <c r="H1270" s="8"/>
      <c r="I1270" s="10"/>
      <c r="J1270" s="8"/>
    </row>
    <row r="1271" spans="1:10" x14ac:dyDescent="0.15">
      <c r="A1271" s="7"/>
      <c r="B1271" s="8"/>
      <c r="C1271" s="8"/>
      <c r="D1271" s="9"/>
      <c r="E1271" s="8"/>
      <c r="F1271" s="8"/>
      <c r="G1271" s="8"/>
      <c r="H1271" s="8"/>
      <c r="I1271" s="10"/>
      <c r="J1271" s="8"/>
    </row>
    <row r="1272" spans="1:10" x14ac:dyDescent="0.15">
      <c r="A1272" s="7"/>
      <c r="B1272" s="8"/>
      <c r="C1272" s="8"/>
      <c r="D1272" s="9"/>
      <c r="E1272" s="8"/>
      <c r="F1272" s="8"/>
      <c r="G1272" s="8"/>
      <c r="H1272" s="8"/>
      <c r="I1272" s="10"/>
      <c r="J1272" s="8"/>
    </row>
    <row r="1273" spans="1:10" x14ac:dyDescent="0.15">
      <c r="A1273" s="7"/>
      <c r="B1273" s="8"/>
      <c r="C1273" s="8"/>
      <c r="D1273" s="9"/>
      <c r="E1273" s="8"/>
      <c r="F1273" s="8"/>
      <c r="G1273" s="8"/>
      <c r="H1273" s="8"/>
      <c r="I1273" s="10"/>
      <c r="J1273" s="8"/>
    </row>
    <row r="1274" spans="1:10" x14ac:dyDescent="0.15">
      <c r="A1274" s="7"/>
      <c r="B1274" s="8"/>
      <c r="C1274" s="8"/>
      <c r="D1274" s="9"/>
      <c r="E1274" s="8"/>
      <c r="F1274" s="8"/>
      <c r="G1274" s="8"/>
      <c r="H1274" s="8"/>
      <c r="I1274" s="10"/>
      <c r="J1274" s="8"/>
    </row>
    <row r="1275" spans="1:10" x14ac:dyDescent="0.15">
      <c r="A1275" s="7"/>
      <c r="B1275" s="8"/>
      <c r="C1275" s="8"/>
      <c r="D1275" s="9"/>
      <c r="E1275" s="8"/>
      <c r="F1275" s="8"/>
      <c r="G1275" s="8"/>
      <c r="H1275" s="8"/>
      <c r="I1275" s="10"/>
      <c r="J1275" s="8"/>
    </row>
    <row r="1276" spans="1:10" x14ac:dyDescent="0.15">
      <c r="A1276" s="7"/>
      <c r="B1276" s="8"/>
      <c r="C1276" s="8"/>
      <c r="D1276" s="9"/>
      <c r="E1276" s="8"/>
      <c r="F1276" s="8"/>
      <c r="G1276" s="8"/>
      <c r="H1276" s="8"/>
      <c r="I1276" s="10"/>
      <c r="J1276" s="8"/>
    </row>
    <row r="1277" spans="1:10" x14ac:dyDescent="0.15">
      <c r="A1277" s="7"/>
      <c r="B1277" s="8"/>
      <c r="C1277" s="8"/>
      <c r="D1277" s="9"/>
      <c r="E1277" s="8"/>
      <c r="F1277" s="8"/>
      <c r="G1277" s="8"/>
      <c r="H1277" s="8"/>
      <c r="I1277" s="10"/>
      <c r="J1277" s="8"/>
    </row>
    <row r="1278" spans="1:10" x14ac:dyDescent="0.15">
      <c r="A1278" s="7"/>
      <c r="B1278" s="8"/>
      <c r="C1278" s="8"/>
      <c r="D1278" s="9"/>
      <c r="E1278" s="8"/>
      <c r="F1278" s="8"/>
      <c r="G1278" s="8"/>
      <c r="H1278" s="8"/>
      <c r="I1278" s="10"/>
      <c r="J1278" s="8"/>
    </row>
    <row r="1279" spans="1:10" x14ac:dyDescent="0.15">
      <c r="A1279" s="7"/>
      <c r="B1279" s="8"/>
      <c r="C1279" s="8"/>
      <c r="D1279" s="9"/>
      <c r="E1279" s="8"/>
      <c r="F1279" s="8"/>
      <c r="G1279" s="8"/>
      <c r="H1279" s="8"/>
      <c r="I1279" s="10"/>
      <c r="J1279" s="8"/>
    </row>
    <row r="1280" spans="1:10" x14ac:dyDescent="0.15">
      <c r="A1280" s="7"/>
      <c r="B1280" s="8"/>
      <c r="C1280" s="8"/>
      <c r="D1280" s="9"/>
      <c r="E1280" s="8"/>
      <c r="F1280" s="8"/>
      <c r="G1280" s="8"/>
      <c r="H1280" s="8"/>
      <c r="I1280" s="10"/>
      <c r="J1280" s="8"/>
    </row>
    <row r="1281" spans="1:10" x14ac:dyDescent="0.15">
      <c r="A1281" s="7"/>
      <c r="B1281" s="8"/>
      <c r="C1281" s="8"/>
      <c r="D1281" s="9"/>
      <c r="E1281" s="8"/>
      <c r="F1281" s="8"/>
      <c r="G1281" s="8"/>
      <c r="H1281" s="8"/>
      <c r="I1281" s="10"/>
      <c r="J1281" s="8"/>
    </row>
    <row r="1282" spans="1:10" x14ac:dyDescent="0.15">
      <c r="A1282" s="7"/>
      <c r="B1282" s="8"/>
      <c r="C1282" s="8"/>
      <c r="D1282" s="9"/>
      <c r="E1282" s="8"/>
      <c r="F1282" s="8"/>
      <c r="G1282" s="8"/>
      <c r="H1282" s="8"/>
      <c r="I1282" s="10"/>
      <c r="J1282" s="8"/>
    </row>
    <row r="1283" spans="1:10" x14ac:dyDescent="0.15">
      <c r="A1283" s="7"/>
      <c r="B1283" s="8"/>
      <c r="C1283" s="8"/>
      <c r="D1283" s="9"/>
      <c r="E1283" s="8"/>
      <c r="F1283" s="8"/>
      <c r="G1283" s="8"/>
      <c r="H1283" s="8"/>
      <c r="I1283" s="10"/>
      <c r="J1283" s="8"/>
    </row>
    <row r="1284" spans="1:10" x14ac:dyDescent="0.15">
      <c r="A1284" s="7"/>
      <c r="B1284" s="8"/>
      <c r="C1284" s="8"/>
      <c r="D1284" s="9"/>
      <c r="E1284" s="8"/>
      <c r="F1284" s="8"/>
      <c r="G1284" s="8"/>
      <c r="H1284" s="8"/>
      <c r="I1284" s="10"/>
      <c r="J1284" s="8"/>
    </row>
    <row r="1285" spans="1:10" x14ac:dyDescent="0.15">
      <c r="A1285" s="7"/>
      <c r="B1285" s="8"/>
      <c r="C1285" s="8"/>
      <c r="D1285" s="9"/>
      <c r="E1285" s="8"/>
      <c r="F1285" s="8"/>
      <c r="G1285" s="8"/>
      <c r="H1285" s="8"/>
      <c r="I1285" s="10"/>
      <c r="J1285" s="8"/>
    </row>
    <row r="1286" spans="1:10" x14ac:dyDescent="0.15">
      <c r="A1286" s="7"/>
      <c r="B1286" s="8"/>
      <c r="C1286" s="8"/>
      <c r="D1286" s="9"/>
      <c r="E1286" s="8"/>
      <c r="F1286" s="8"/>
      <c r="G1286" s="8"/>
      <c r="H1286" s="8"/>
      <c r="I1286" s="10"/>
      <c r="J1286" s="8"/>
    </row>
    <row r="1287" spans="1:10" x14ac:dyDescent="0.15">
      <c r="A1287" s="7"/>
      <c r="B1287" s="8"/>
      <c r="C1287" s="8"/>
      <c r="D1287" s="9"/>
      <c r="E1287" s="8"/>
      <c r="F1287" s="8"/>
      <c r="G1287" s="8"/>
      <c r="H1287" s="8"/>
      <c r="I1287" s="10"/>
      <c r="J1287" s="8"/>
    </row>
    <row r="1288" spans="1:10" x14ac:dyDescent="0.15">
      <c r="A1288" s="7"/>
      <c r="B1288" s="8"/>
      <c r="C1288" s="8"/>
      <c r="D1288" s="9"/>
      <c r="E1288" s="8"/>
      <c r="F1288" s="8"/>
      <c r="G1288" s="8"/>
      <c r="H1288" s="8"/>
      <c r="I1288" s="10"/>
      <c r="J1288" s="8"/>
    </row>
    <row r="1289" spans="1:10" x14ac:dyDescent="0.15">
      <c r="A1289" s="7"/>
      <c r="B1289" s="8"/>
      <c r="C1289" s="8"/>
      <c r="D1289" s="9"/>
      <c r="E1289" s="8"/>
      <c r="F1289" s="8"/>
      <c r="G1289" s="8"/>
      <c r="H1289" s="8"/>
      <c r="I1289" s="10"/>
      <c r="J1289" s="8"/>
    </row>
    <row r="1290" spans="1:10" x14ac:dyDescent="0.15">
      <c r="A1290" s="7"/>
      <c r="B1290" s="8"/>
      <c r="C1290" s="8"/>
      <c r="D1290" s="9"/>
      <c r="E1290" s="8"/>
      <c r="F1290" s="8"/>
      <c r="G1290" s="8"/>
      <c r="H1290" s="8"/>
      <c r="I1290" s="10"/>
      <c r="J1290" s="8"/>
    </row>
    <row r="1291" spans="1:10" x14ac:dyDescent="0.15">
      <c r="A1291" s="7"/>
      <c r="B1291" s="8"/>
      <c r="C1291" s="8"/>
      <c r="D1291" s="9"/>
      <c r="E1291" s="8"/>
      <c r="F1291" s="8"/>
      <c r="G1291" s="8"/>
      <c r="H1291" s="8"/>
      <c r="I1291" s="10"/>
      <c r="J1291" s="8"/>
    </row>
    <row r="1292" spans="1:10" x14ac:dyDescent="0.15">
      <c r="A1292" s="7"/>
      <c r="B1292" s="8"/>
      <c r="C1292" s="8"/>
      <c r="D1292" s="9"/>
      <c r="E1292" s="8"/>
      <c r="F1292" s="8"/>
      <c r="G1292" s="8"/>
      <c r="H1292" s="8"/>
      <c r="I1292" s="10"/>
      <c r="J1292" s="8"/>
    </row>
    <row r="1293" spans="1:10" x14ac:dyDescent="0.15">
      <c r="A1293" s="7"/>
      <c r="B1293" s="8"/>
      <c r="C1293" s="8"/>
      <c r="D1293" s="9"/>
      <c r="E1293" s="8"/>
      <c r="F1293" s="8"/>
      <c r="G1293" s="8"/>
      <c r="H1293" s="8"/>
      <c r="I1293" s="10"/>
      <c r="J1293" s="8"/>
    </row>
    <row r="1294" spans="1:10" x14ac:dyDescent="0.15">
      <c r="A1294" s="7"/>
      <c r="B1294" s="8"/>
      <c r="C1294" s="8"/>
      <c r="D1294" s="9"/>
      <c r="E1294" s="8"/>
      <c r="F1294" s="8"/>
      <c r="G1294" s="8"/>
      <c r="H1294" s="8"/>
      <c r="I1294" s="10"/>
      <c r="J1294" s="8"/>
    </row>
    <row r="1295" spans="1:10" x14ac:dyDescent="0.15">
      <c r="A1295" s="7"/>
      <c r="B1295" s="8"/>
      <c r="C1295" s="8"/>
      <c r="D1295" s="9"/>
      <c r="E1295" s="8"/>
      <c r="F1295" s="8"/>
      <c r="G1295" s="8"/>
      <c r="H1295" s="8"/>
      <c r="I1295" s="10"/>
      <c r="J1295" s="8"/>
    </row>
    <row r="1296" spans="1:10" x14ac:dyDescent="0.15">
      <c r="A1296" s="7"/>
      <c r="B1296" s="8"/>
      <c r="C1296" s="8"/>
      <c r="D1296" s="9"/>
      <c r="E1296" s="8"/>
      <c r="F1296" s="8"/>
      <c r="G1296" s="8"/>
      <c r="H1296" s="8"/>
      <c r="I1296" s="10"/>
      <c r="J1296" s="8"/>
    </row>
    <row r="1297" spans="1:10" x14ac:dyDescent="0.15">
      <c r="A1297" s="7"/>
      <c r="B1297" s="8"/>
      <c r="C1297" s="8"/>
      <c r="D1297" s="9"/>
      <c r="E1297" s="8"/>
      <c r="F1297" s="8"/>
      <c r="G1297" s="8"/>
      <c r="H1297" s="8"/>
      <c r="I1297" s="10"/>
      <c r="J1297" s="8"/>
    </row>
    <row r="1298" spans="1:10" x14ac:dyDescent="0.15">
      <c r="A1298" s="7"/>
      <c r="B1298" s="8"/>
      <c r="C1298" s="8"/>
      <c r="D1298" s="9"/>
      <c r="E1298" s="8"/>
      <c r="F1298" s="8"/>
      <c r="G1298" s="8"/>
      <c r="H1298" s="8"/>
      <c r="I1298" s="10"/>
      <c r="J1298" s="8"/>
    </row>
    <row r="1299" spans="1:10" x14ac:dyDescent="0.15">
      <c r="A1299" s="7"/>
      <c r="B1299" s="8"/>
      <c r="C1299" s="8"/>
      <c r="D1299" s="9"/>
      <c r="E1299" s="8"/>
      <c r="F1299" s="8"/>
      <c r="G1299" s="8"/>
      <c r="H1299" s="8"/>
      <c r="I1299" s="10"/>
      <c r="J1299" s="8"/>
    </row>
    <row r="1300" spans="1:10" x14ac:dyDescent="0.15">
      <c r="A1300" s="7"/>
      <c r="B1300" s="8"/>
      <c r="C1300" s="8"/>
      <c r="D1300" s="9"/>
      <c r="E1300" s="8"/>
      <c r="F1300" s="8"/>
      <c r="G1300" s="8"/>
      <c r="H1300" s="8"/>
      <c r="I1300" s="10"/>
      <c r="J1300" s="8"/>
    </row>
    <row r="1301" spans="1:10" x14ac:dyDescent="0.15">
      <c r="A1301" s="7"/>
      <c r="B1301" s="8"/>
      <c r="C1301" s="8"/>
      <c r="D1301" s="9"/>
      <c r="E1301" s="8"/>
      <c r="F1301" s="8"/>
      <c r="G1301" s="8"/>
      <c r="H1301" s="8"/>
      <c r="I1301" s="10"/>
      <c r="J1301" s="8"/>
    </row>
    <row r="1302" spans="1:10" x14ac:dyDescent="0.15">
      <c r="A1302" s="7"/>
      <c r="B1302" s="8"/>
      <c r="C1302" s="8"/>
      <c r="D1302" s="9"/>
      <c r="E1302" s="8"/>
      <c r="F1302" s="8"/>
      <c r="G1302" s="8"/>
      <c r="H1302" s="8"/>
      <c r="I1302" s="10"/>
      <c r="J1302" s="8"/>
    </row>
    <row r="1303" spans="1:10" x14ac:dyDescent="0.15">
      <c r="A1303" s="7"/>
      <c r="B1303" s="8"/>
      <c r="C1303" s="8"/>
      <c r="D1303" s="9"/>
      <c r="E1303" s="8"/>
      <c r="F1303" s="8"/>
      <c r="G1303" s="8"/>
      <c r="H1303" s="8"/>
      <c r="I1303" s="10"/>
      <c r="J1303" s="8"/>
    </row>
    <row r="1304" spans="1:10" x14ac:dyDescent="0.15">
      <c r="A1304" s="7"/>
      <c r="B1304" s="8"/>
      <c r="C1304" s="8"/>
      <c r="D1304" s="9"/>
      <c r="E1304" s="8"/>
      <c r="F1304" s="8"/>
      <c r="G1304" s="8"/>
      <c r="H1304" s="8"/>
      <c r="I1304" s="10"/>
      <c r="J1304" s="8"/>
    </row>
    <row r="1305" spans="1:10" x14ac:dyDescent="0.15">
      <c r="A1305" s="7"/>
      <c r="B1305" s="8"/>
      <c r="C1305" s="8"/>
      <c r="D1305" s="9"/>
      <c r="E1305" s="8"/>
      <c r="F1305" s="8"/>
      <c r="G1305" s="8"/>
      <c r="H1305" s="8"/>
      <c r="I1305" s="10"/>
      <c r="J1305" s="8"/>
    </row>
    <row r="1306" spans="1:10" x14ac:dyDescent="0.15">
      <c r="A1306" s="7"/>
      <c r="B1306" s="8"/>
      <c r="C1306" s="8"/>
      <c r="D1306" s="9"/>
      <c r="E1306" s="8"/>
      <c r="F1306" s="8"/>
      <c r="G1306" s="8"/>
      <c r="H1306" s="8"/>
      <c r="I1306" s="10"/>
      <c r="J1306" s="8"/>
    </row>
    <row r="1307" spans="1:10" x14ac:dyDescent="0.15">
      <c r="A1307" s="7"/>
      <c r="B1307" s="8"/>
      <c r="C1307" s="8"/>
      <c r="D1307" s="9"/>
      <c r="E1307" s="8"/>
      <c r="F1307" s="8"/>
      <c r="G1307" s="8"/>
      <c r="H1307" s="8"/>
      <c r="I1307" s="10"/>
      <c r="J1307" s="8"/>
    </row>
    <row r="1308" spans="1:10" x14ac:dyDescent="0.15">
      <c r="A1308" s="7"/>
      <c r="B1308" s="8"/>
      <c r="C1308" s="8"/>
      <c r="D1308" s="9"/>
      <c r="E1308" s="8"/>
      <c r="F1308" s="8"/>
      <c r="G1308" s="8"/>
      <c r="H1308" s="8"/>
      <c r="I1308" s="10"/>
      <c r="J1308" s="8"/>
    </row>
    <row r="1309" spans="1:10" x14ac:dyDescent="0.15">
      <c r="A1309" s="7"/>
      <c r="B1309" s="8"/>
      <c r="C1309" s="8"/>
      <c r="D1309" s="9"/>
      <c r="E1309" s="8"/>
      <c r="F1309" s="8"/>
      <c r="G1309" s="8"/>
      <c r="H1309" s="8"/>
      <c r="I1309" s="10"/>
      <c r="J1309" s="8"/>
    </row>
    <row r="1310" spans="1:10" x14ac:dyDescent="0.15">
      <c r="A1310" s="7"/>
      <c r="B1310" s="8"/>
      <c r="C1310" s="8"/>
      <c r="D1310" s="9"/>
      <c r="E1310" s="8"/>
      <c r="F1310" s="8"/>
      <c r="G1310" s="8"/>
      <c r="H1310" s="8"/>
      <c r="I1310" s="10"/>
      <c r="J1310" s="8"/>
    </row>
    <row r="1311" spans="1:10" x14ac:dyDescent="0.15">
      <c r="A1311" s="7"/>
      <c r="B1311" s="8"/>
      <c r="C1311" s="8"/>
      <c r="D1311" s="9"/>
      <c r="E1311" s="8"/>
      <c r="F1311" s="8"/>
      <c r="G1311" s="8"/>
      <c r="H1311" s="8"/>
      <c r="I1311" s="10"/>
      <c r="J1311" s="8"/>
    </row>
    <row r="1312" spans="1:10" x14ac:dyDescent="0.15">
      <c r="A1312" s="7"/>
      <c r="B1312" s="8"/>
      <c r="C1312" s="8"/>
      <c r="D1312" s="9"/>
      <c r="E1312" s="8"/>
      <c r="F1312" s="8"/>
      <c r="G1312" s="8"/>
      <c r="H1312" s="8"/>
      <c r="I1312" s="10"/>
      <c r="J1312" s="8"/>
    </row>
    <row r="1313" spans="1:10" x14ac:dyDescent="0.15">
      <c r="A1313" s="7"/>
      <c r="B1313" s="8"/>
      <c r="C1313" s="8"/>
      <c r="D1313" s="9"/>
      <c r="E1313" s="8"/>
      <c r="F1313" s="8"/>
      <c r="G1313" s="8"/>
      <c r="H1313" s="8"/>
      <c r="I1313" s="10"/>
      <c r="J1313" s="8"/>
    </row>
    <row r="1314" spans="1:10" x14ac:dyDescent="0.15">
      <c r="A1314" s="7"/>
      <c r="B1314" s="8"/>
      <c r="C1314" s="8"/>
      <c r="D1314" s="9"/>
      <c r="E1314" s="8"/>
      <c r="F1314" s="8"/>
      <c r="G1314" s="8"/>
      <c r="H1314" s="8"/>
      <c r="I1314" s="10"/>
      <c r="J1314" s="8"/>
    </row>
    <row r="1315" spans="1:10" x14ac:dyDescent="0.15">
      <c r="A1315" s="7"/>
      <c r="B1315" s="8"/>
      <c r="C1315" s="8"/>
      <c r="D1315" s="9"/>
      <c r="E1315" s="8"/>
      <c r="F1315" s="8"/>
      <c r="G1315" s="8"/>
      <c r="H1315" s="8"/>
      <c r="I1315" s="10"/>
      <c r="J1315" s="8"/>
    </row>
    <row r="1316" spans="1:10" x14ac:dyDescent="0.15">
      <c r="A1316" s="7"/>
      <c r="B1316" s="8"/>
      <c r="C1316" s="8"/>
      <c r="D1316" s="9"/>
      <c r="E1316" s="8"/>
      <c r="F1316" s="8"/>
      <c r="G1316" s="8"/>
      <c r="H1316" s="8"/>
      <c r="I1316" s="10"/>
      <c r="J1316" s="8"/>
    </row>
    <row r="1317" spans="1:10" x14ac:dyDescent="0.15">
      <c r="A1317" s="7"/>
      <c r="B1317" s="8"/>
      <c r="C1317" s="8"/>
      <c r="D1317" s="9"/>
      <c r="E1317" s="8"/>
      <c r="F1317" s="8"/>
      <c r="G1317" s="8"/>
      <c r="H1317" s="8"/>
      <c r="I1317" s="10"/>
      <c r="J1317" s="8"/>
    </row>
    <row r="1318" spans="1:10" x14ac:dyDescent="0.15">
      <c r="A1318" s="7"/>
      <c r="B1318" s="8"/>
      <c r="C1318" s="8"/>
      <c r="D1318" s="9"/>
      <c r="E1318" s="8"/>
      <c r="F1318" s="8"/>
      <c r="G1318" s="8"/>
      <c r="H1318" s="8"/>
      <c r="I1318" s="10"/>
      <c r="J1318" s="8"/>
    </row>
    <row r="1319" spans="1:10" x14ac:dyDescent="0.15">
      <c r="A1319" s="7"/>
      <c r="B1319" s="8"/>
      <c r="C1319" s="8"/>
      <c r="D1319" s="9"/>
      <c r="E1319" s="8"/>
      <c r="F1319" s="8"/>
      <c r="G1319" s="8"/>
      <c r="H1319" s="8"/>
      <c r="I1319" s="10"/>
      <c r="J1319" s="8"/>
    </row>
    <row r="1320" spans="1:10" x14ac:dyDescent="0.15">
      <c r="A1320" s="7"/>
      <c r="B1320" s="8"/>
      <c r="C1320" s="8"/>
      <c r="D1320" s="9"/>
      <c r="E1320" s="8"/>
      <c r="F1320" s="8"/>
      <c r="G1320" s="8"/>
      <c r="H1320" s="8"/>
      <c r="I1320" s="10"/>
      <c r="J1320" s="8"/>
    </row>
    <row r="1321" spans="1:10" x14ac:dyDescent="0.15">
      <c r="A1321" s="7"/>
      <c r="B1321" s="8"/>
      <c r="C1321" s="8"/>
      <c r="D1321" s="9"/>
      <c r="E1321" s="8"/>
      <c r="F1321" s="8"/>
      <c r="G1321" s="8"/>
      <c r="H1321" s="8"/>
      <c r="I1321" s="10"/>
      <c r="J1321" s="8"/>
    </row>
    <row r="1322" spans="1:10" x14ac:dyDescent="0.15">
      <c r="A1322" s="7"/>
      <c r="B1322" s="8"/>
      <c r="C1322" s="8"/>
      <c r="D1322" s="9"/>
      <c r="E1322" s="8"/>
      <c r="F1322" s="8"/>
      <c r="G1322" s="8"/>
      <c r="H1322" s="8"/>
      <c r="I1322" s="10"/>
      <c r="J1322" s="8"/>
    </row>
    <row r="1323" spans="1:10" x14ac:dyDescent="0.15">
      <c r="A1323" s="7"/>
      <c r="B1323" s="8"/>
      <c r="C1323" s="8"/>
      <c r="D1323" s="9"/>
      <c r="E1323" s="8"/>
      <c r="F1323" s="8"/>
      <c r="G1323" s="8"/>
      <c r="H1323" s="8"/>
      <c r="I1323" s="10"/>
      <c r="J1323" s="8"/>
    </row>
    <row r="1324" spans="1:10" x14ac:dyDescent="0.15">
      <c r="A1324" s="7"/>
      <c r="B1324" s="8"/>
      <c r="C1324" s="8"/>
      <c r="D1324" s="9"/>
      <c r="E1324" s="8"/>
      <c r="F1324" s="8"/>
      <c r="G1324" s="8"/>
      <c r="H1324" s="8"/>
      <c r="I1324" s="10"/>
      <c r="J1324" s="8"/>
    </row>
    <row r="1325" spans="1:10" x14ac:dyDescent="0.15">
      <c r="A1325" s="7"/>
      <c r="B1325" s="8"/>
      <c r="C1325" s="8"/>
      <c r="D1325" s="9"/>
      <c r="E1325" s="8"/>
      <c r="F1325" s="8"/>
      <c r="G1325" s="8"/>
      <c r="H1325" s="8"/>
      <c r="I1325" s="10"/>
      <c r="J1325" s="8"/>
    </row>
    <row r="1326" spans="1:10" x14ac:dyDescent="0.15">
      <c r="A1326" s="7"/>
      <c r="B1326" s="8"/>
      <c r="C1326" s="8"/>
      <c r="D1326" s="9"/>
      <c r="E1326" s="8"/>
      <c r="F1326" s="8"/>
      <c r="G1326" s="8"/>
      <c r="H1326" s="8"/>
      <c r="I1326" s="10"/>
      <c r="J1326" s="8"/>
    </row>
    <row r="1327" spans="1:10" x14ac:dyDescent="0.15">
      <c r="A1327" s="7"/>
      <c r="B1327" s="8"/>
      <c r="C1327" s="8"/>
      <c r="D1327" s="9"/>
      <c r="E1327" s="8"/>
      <c r="F1327" s="8"/>
      <c r="G1327" s="8"/>
      <c r="H1327" s="8"/>
      <c r="I1327" s="10"/>
      <c r="J1327" s="8"/>
    </row>
    <row r="1328" spans="1:10" x14ac:dyDescent="0.15">
      <c r="A1328" s="7"/>
      <c r="B1328" s="8"/>
      <c r="C1328" s="8"/>
      <c r="D1328" s="9"/>
      <c r="E1328" s="8"/>
      <c r="F1328" s="8"/>
      <c r="G1328" s="8"/>
      <c r="H1328" s="8"/>
      <c r="I1328" s="10"/>
      <c r="J1328" s="8"/>
    </row>
    <row r="1329" spans="1:10" x14ac:dyDescent="0.15">
      <c r="A1329" s="7"/>
      <c r="B1329" s="8"/>
      <c r="C1329" s="8"/>
      <c r="D1329" s="9"/>
      <c r="E1329" s="8"/>
      <c r="F1329" s="8"/>
      <c r="G1329" s="8"/>
      <c r="H1329" s="8"/>
      <c r="I1329" s="10"/>
      <c r="J1329" s="8"/>
    </row>
    <row r="1330" spans="1:10" x14ac:dyDescent="0.15">
      <c r="A1330" s="7"/>
      <c r="B1330" s="8"/>
      <c r="C1330" s="8"/>
      <c r="D1330" s="9"/>
      <c r="E1330" s="8"/>
      <c r="F1330" s="8"/>
      <c r="G1330" s="8"/>
      <c r="H1330" s="8"/>
      <c r="I1330" s="10"/>
      <c r="J1330" s="8"/>
    </row>
    <row r="1331" spans="1:10" x14ac:dyDescent="0.15">
      <c r="A1331" s="7"/>
      <c r="B1331" s="8"/>
      <c r="C1331" s="8"/>
      <c r="D1331" s="9"/>
      <c r="E1331" s="8"/>
      <c r="F1331" s="8"/>
      <c r="G1331" s="8"/>
      <c r="H1331" s="8"/>
      <c r="I1331" s="10"/>
      <c r="J1331" s="8"/>
    </row>
    <row r="1332" spans="1:10" x14ac:dyDescent="0.15">
      <c r="A1332" s="7"/>
      <c r="B1332" s="8"/>
      <c r="C1332" s="8"/>
      <c r="D1332" s="9"/>
      <c r="E1332" s="8"/>
      <c r="F1332" s="8"/>
      <c r="G1332" s="8"/>
      <c r="H1332" s="8"/>
      <c r="I1332" s="10"/>
      <c r="J1332" s="8"/>
    </row>
    <row r="1333" spans="1:10" x14ac:dyDescent="0.15">
      <c r="A1333" s="7"/>
      <c r="B1333" s="8"/>
      <c r="C1333" s="8"/>
      <c r="D1333" s="9"/>
      <c r="E1333" s="8"/>
      <c r="F1333" s="8"/>
      <c r="G1333" s="8"/>
      <c r="H1333" s="8"/>
      <c r="I1333" s="10"/>
      <c r="J1333" s="8"/>
    </row>
    <row r="1334" spans="1:10" x14ac:dyDescent="0.15">
      <c r="A1334" s="7"/>
      <c r="B1334" s="8"/>
      <c r="C1334" s="8"/>
      <c r="D1334" s="9"/>
      <c r="E1334" s="8"/>
      <c r="F1334" s="8"/>
      <c r="G1334" s="8"/>
      <c r="H1334" s="8"/>
      <c r="I1334" s="10"/>
      <c r="J1334" s="8"/>
    </row>
    <row r="1335" spans="1:10" x14ac:dyDescent="0.15">
      <c r="A1335" s="7"/>
      <c r="B1335" s="8"/>
      <c r="C1335" s="8"/>
      <c r="D1335" s="9"/>
      <c r="E1335" s="8"/>
      <c r="F1335" s="8"/>
      <c r="G1335" s="8"/>
      <c r="H1335" s="8"/>
      <c r="I1335" s="10"/>
      <c r="J1335" s="8"/>
    </row>
    <row r="1336" spans="1:10" x14ac:dyDescent="0.15">
      <c r="A1336" s="7"/>
      <c r="B1336" s="8"/>
      <c r="C1336" s="8"/>
      <c r="D1336" s="9"/>
      <c r="E1336" s="8"/>
      <c r="F1336" s="8"/>
      <c r="G1336" s="8"/>
      <c r="H1336" s="8"/>
      <c r="I1336" s="10"/>
      <c r="J1336" s="8"/>
    </row>
    <row r="1337" spans="1:10" x14ac:dyDescent="0.15">
      <c r="A1337" s="7"/>
      <c r="B1337" s="8"/>
      <c r="C1337" s="8"/>
      <c r="D1337" s="9"/>
      <c r="E1337" s="8"/>
      <c r="F1337" s="8"/>
      <c r="G1337" s="8"/>
      <c r="H1337" s="8"/>
      <c r="I1337" s="10"/>
      <c r="J1337" s="8"/>
    </row>
    <row r="1338" spans="1:10" x14ac:dyDescent="0.15">
      <c r="A1338" s="7"/>
      <c r="B1338" s="8"/>
      <c r="C1338" s="8"/>
      <c r="D1338" s="9"/>
      <c r="E1338" s="8"/>
      <c r="F1338" s="8"/>
      <c r="G1338" s="8"/>
      <c r="H1338" s="8"/>
      <c r="I1338" s="10"/>
      <c r="J1338" s="8"/>
    </row>
    <row r="1339" spans="1:10" x14ac:dyDescent="0.15">
      <c r="A1339" s="7"/>
      <c r="B1339" s="8"/>
      <c r="C1339" s="8"/>
      <c r="D1339" s="9"/>
      <c r="E1339" s="8"/>
      <c r="F1339" s="8"/>
      <c r="G1339" s="8"/>
      <c r="H1339" s="8"/>
      <c r="I1339" s="10"/>
      <c r="J1339" s="8"/>
    </row>
    <row r="1340" spans="1:10" x14ac:dyDescent="0.15">
      <c r="A1340" s="7"/>
      <c r="B1340" s="8"/>
      <c r="C1340" s="8"/>
      <c r="D1340" s="9"/>
      <c r="E1340" s="8"/>
      <c r="F1340" s="8"/>
      <c r="G1340" s="8"/>
      <c r="H1340" s="8"/>
      <c r="I1340" s="10"/>
      <c r="J1340" s="8"/>
    </row>
    <row r="1341" spans="1:10" x14ac:dyDescent="0.15">
      <c r="A1341" s="7"/>
      <c r="B1341" s="8"/>
      <c r="C1341" s="8"/>
      <c r="D1341" s="9"/>
      <c r="E1341" s="8"/>
      <c r="F1341" s="8"/>
      <c r="G1341" s="8"/>
      <c r="H1341" s="8"/>
      <c r="I1341" s="10"/>
      <c r="J1341" s="8"/>
    </row>
    <row r="1342" spans="1:10" x14ac:dyDescent="0.15">
      <c r="A1342" s="7"/>
      <c r="B1342" s="8"/>
      <c r="C1342" s="8"/>
      <c r="D1342" s="9"/>
      <c r="E1342" s="8"/>
      <c r="F1342" s="8"/>
      <c r="G1342" s="8"/>
      <c r="H1342" s="8"/>
      <c r="I1342" s="10"/>
      <c r="J1342" s="8"/>
    </row>
    <row r="1343" spans="1:10" x14ac:dyDescent="0.15">
      <c r="A1343" s="7"/>
      <c r="B1343" s="8"/>
      <c r="C1343" s="8"/>
      <c r="D1343" s="9"/>
      <c r="E1343" s="8"/>
      <c r="F1343" s="8"/>
      <c r="G1343" s="8"/>
      <c r="H1343" s="8"/>
      <c r="I1343" s="10"/>
      <c r="J1343" s="8"/>
    </row>
    <row r="1344" spans="1:10" x14ac:dyDescent="0.15">
      <c r="A1344" s="7"/>
      <c r="B1344" s="8"/>
      <c r="C1344" s="8"/>
      <c r="D1344" s="9"/>
      <c r="E1344" s="8"/>
      <c r="F1344" s="8"/>
      <c r="G1344" s="8"/>
      <c r="H1344" s="8"/>
      <c r="I1344" s="10"/>
      <c r="J1344" s="8"/>
    </row>
    <row r="1345" spans="1:10" x14ac:dyDescent="0.15">
      <c r="A1345" s="7"/>
      <c r="B1345" s="8"/>
      <c r="C1345" s="8"/>
      <c r="D1345" s="9"/>
      <c r="E1345" s="8"/>
      <c r="F1345" s="8"/>
      <c r="G1345" s="8"/>
      <c r="H1345" s="8"/>
      <c r="I1345" s="10"/>
      <c r="J1345" s="8"/>
    </row>
    <row r="1346" spans="1:10" x14ac:dyDescent="0.15">
      <c r="A1346" s="7"/>
      <c r="B1346" s="8"/>
      <c r="C1346" s="8"/>
      <c r="D1346" s="9"/>
      <c r="E1346" s="8"/>
      <c r="F1346" s="8"/>
      <c r="G1346" s="8"/>
      <c r="H1346" s="8"/>
      <c r="I1346" s="10"/>
      <c r="J1346" s="8"/>
    </row>
    <row r="1347" spans="1:10" x14ac:dyDescent="0.15">
      <c r="A1347" s="7"/>
      <c r="B1347" s="8"/>
      <c r="C1347" s="8"/>
      <c r="D1347" s="9"/>
      <c r="E1347" s="8"/>
      <c r="F1347" s="8"/>
      <c r="G1347" s="8"/>
      <c r="H1347" s="8"/>
      <c r="I1347" s="10"/>
      <c r="J1347" s="8"/>
    </row>
    <row r="1348" spans="1:10" x14ac:dyDescent="0.15">
      <c r="A1348" s="7"/>
      <c r="B1348" s="8"/>
      <c r="C1348" s="8"/>
      <c r="D1348" s="9"/>
      <c r="E1348" s="8"/>
      <c r="F1348" s="8"/>
      <c r="G1348" s="8"/>
      <c r="H1348" s="8"/>
      <c r="I1348" s="10"/>
      <c r="J1348" s="8"/>
    </row>
    <row r="1349" spans="1:10" x14ac:dyDescent="0.15">
      <c r="A1349" s="7"/>
      <c r="B1349" s="8"/>
      <c r="C1349" s="8"/>
      <c r="D1349" s="9"/>
      <c r="E1349" s="8"/>
      <c r="F1349" s="8"/>
      <c r="G1349" s="8"/>
      <c r="H1349" s="8"/>
      <c r="I1349" s="10"/>
      <c r="J1349" s="8"/>
    </row>
    <row r="1350" spans="1:10" x14ac:dyDescent="0.15">
      <c r="A1350" s="7"/>
      <c r="B1350" s="8"/>
      <c r="C1350" s="8"/>
      <c r="D1350" s="9"/>
      <c r="E1350" s="8"/>
      <c r="F1350" s="8"/>
      <c r="G1350" s="8"/>
      <c r="H1350" s="8"/>
      <c r="I1350" s="10"/>
      <c r="J1350" s="8"/>
    </row>
    <row r="1351" spans="1:10" x14ac:dyDescent="0.15">
      <c r="A1351" s="7"/>
      <c r="B1351" s="8"/>
      <c r="C1351" s="8"/>
      <c r="D1351" s="9"/>
      <c r="E1351" s="8"/>
      <c r="F1351" s="8"/>
      <c r="G1351" s="8"/>
      <c r="H1351" s="8"/>
      <c r="I1351" s="10"/>
      <c r="J1351" s="8"/>
    </row>
    <row r="1352" spans="1:10" x14ac:dyDescent="0.15">
      <c r="A1352" s="7"/>
      <c r="B1352" s="8"/>
      <c r="C1352" s="8"/>
      <c r="D1352" s="9"/>
      <c r="E1352" s="8"/>
      <c r="F1352" s="8"/>
      <c r="G1352" s="8"/>
      <c r="H1352" s="8"/>
      <c r="I1352" s="10"/>
      <c r="J1352" s="8"/>
    </row>
    <row r="1353" spans="1:10" x14ac:dyDescent="0.15">
      <c r="A1353" s="7"/>
      <c r="B1353" s="8"/>
      <c r="C1353" s="8"/>
      <c r="D1353" s="9"/>
      <c r="E1353" s="8"/>
      <c r="F1353" s="8"/>
      <c r="G1353" s="8"/>
      <c r="H1353" s="8"/>
      <c r="I1353" s="10"/>
      <c r="J1353" s="8"/>
    </row>
    <row r="1354" spans="1:10" x14ac:dyDescent="0.15">
      <c r="A1354" s="7"/>
      <c r="B1354" s="8"/>
      <c r="C1354" s="8"/>
      <c r="D1354" s="9"/>
      <c r="E1354" s="8"/>
      <c r="F1354" s="8"/>
      <c r="G1354" s="8"/>
      <c r="H1354" s="8"/>
      <c r="I1354" s="10"/>
      <c r="J1354" s="8"/>
    </row>
    <row r="1355" spans="1:10" x14ac:dyDescent="0.15">
      <c r="A1355" s="7"/>
      <c r="B1355" s="8"/>
      <c r="C1355" s="8"/>
      <c r="D1355" s="9"/>
      <c r="E1355" s="8"/>
      <c r="F1355" s="8"/>
      <c r="G1355" s="8"/>
      <c r="H1355" s="8"/>
      <c r="I1355" s="10"/>
      <c r="J1355" s="8"/>
    </row>
    <row r="1356" spans="1:10" x14ac:dyDescent="0.15">
      <c r="A1356" s="7"/>
      <c r="B1356" s="8"/>
      <c r="C1356" s="8"/>
      <c r="D1356" s="9"/>
      <c r="E1356" s="8"/>
      <c r="F1356" s="8"/>
      <c r="G1356" s="8"/>
      <c r="H1356" s="8"/>
      <c r="I1356" s="10"/>
      <c r="J1356" s="8"/>
    </row>
    <row r="1357" spans="1:10" x14ac:dyDescent="0.15">
      <c r="A1357" s="7"/>
      <c r="B1357" s="8"/>
      <c r="C1357" s="8"/>
      <c r="D1357" s="9"/>
      <c r="E1357" s="8"/>
      <c r="F1357" s="8"/>
      <c r="G1357" s="8"/>
      <c r="H1357" s="8"/>
      <c r="I1357" s="10"/>
      <c r="J1357" s="8"/>
    </row>
    <row r="1358" spans="1:10" x14ac:dyDescent="0.15">
      <c r="A1358" s="7"/>
      <c r="B1358" s="8"/>
      <c r="C1358" s="8"/>
      <c r="D1358" s="9"/>
      <c r="E1358" s="8"/>
      <c r="F1358" s="8"/>
      <c r="G1358" s="8"/>
      <c r="H1358" s="8"/>
      <c r="I1358" s="10"/>
      <c r="J1358" s="8"/>
    </row>
    <row r="1359" spans="1:10" x14ac:dyDescent="0.15">
      <c r="A1359" s="7"/>
      <c r="B1359" s="8"/>
      <c r="C1359" s="8"/>
      <c r="D1359" s="9"/>
      <c r="E1359" s="8"/>
      <c r="F1359" s="8"/>
      <c r="G1359" s="8"/>
      <c r="H1359" s="8"/>
      <c r="I1359" s="10"/>
      <c r="J1359" s="8"/>
    </row>
    <row r="1360" spans="1:10" x14ac:dyDescent="0.15">
      <c r="A1360" s="7"/>
      <c r="B1360" s="8"/>
      <c r="C1360" s="8"/>
      <c r="D1360" s="9"/>
      <c r="E1360" s="8"/>
      <c r="F1360" s="8"/>
      <c r="G1360" s="8"/>
      <c r="H1360" s="8"/>
      <c r="I1360" s="10"/>
      <c r="J1360" s="8"/>
    </row>
    <row r="1361" spans="1:10" x14ac:dyDescent="0.15">
      <c r="A1361" s="7"/>
      <c r="B1361" s="8"/>
      <c r="C1361" s="8"/>
      <c r="D1361" s="9"/>
      <c r="E1361" s="8"/>
      <c r="F1361" s="8"/>
      <c r="G1361" s="8"/>
      <c r="H1361" s="8"/>
      <c r="I1361" s="10"/>
      <c r="J1361" s="8"/>
    </row>
    <row r="1362" spans="1:10" x14ac:dyDescent="0.15">
      <c r="A1362" s="7"/>
      <c r="B1362" s="8"/>
      <c r="C1362" s="8"/>
      <c r="D1362" s="9"/>
      <c r="E1362" s="8"/>
      <c r="F1362" s="8"/>
      <c r="G1362" s="8"/>
      <c r="H1362" s="8"/>
      <c r="I1362" s="10"/>
      <c r="J1362" s="8"/>
    </row>
    <row r="1363" spans="1:10" x14ac:dyDescent="0.15">
      <c r="A1363" s="7"/>
      <c r="B1363" s="8"/>
      <c r="C1363" s="8"/>
      <c r="D1363" s="9"/>
      <c r="E1363" s="8"/>
      <c r="F1363" s="8"/>
      <c r="G1363" s="8"/>
      <c r="H1363" s="8"/>
      <c r="I1363" s="10"/>
      <c r="J1363" s="8"/>
    </row>
    <row r="1364" spans="1:10" x14ac:dyDescent="0.15">
      <c r="A1364" s="7"/>
      <c r="B1364" s="8"/>
      <c r="C1364" s="8"/>
      <c r="D1364" s="9"/>
      <c r="E1364" s="8"/>
      <c r="F1364" s="8"/>
      <c r="G1364" s="8"/>
      <c r="H1364" s="8"/>
      <c r="I1364" s="10"/>
      <c r="J1364" s="8"/>
    </row>
    <row r="1365" spans="1:10" x14ac:dyDescent="0.15">
      <c r="A1365" s="7"/>
      <c r="B1365" s="8"/>
      <c r="C1365" s="8"/>
      <c r="D1365" s="9"/>
      <c r="E1365" s="8"/>
      <c r="F1365" s="8"/>
      <c r="G1365" s="8"/>
      <c r="H1365" s="8"/>
      <c r="I1365" s="10"/>
      <c r="J1365" s="8"/>
    </row>
    <row r="1366" spans="1:10" x14ac:dyDescent="0.15">
      <c r="A1366" s="7"/>
      <c r="B1366" s="8"/>
      <c r="C1366" s="8"/>
      <c r="D1366" s="9"/>
      <c r="E1366" s="8"/>
      <c r="F1366" s="8"/>
      <c r="G1366" s="8"/>
      <c r="H1366" s="8"/>
      <c r="I1366" s="10"/>
      <c r="J1366" s="8"/>
    </row>
    <row r="1367" spans="1:10" x14ac:dyDescent="0.15">
      <c r="A1367" s="7"/>
      <c r="B1367" s="8"/>
      <c r="C1367" s="8"/>
      <c r="D1367" s="9"/>
      <c r="E1367" s="8"/>
      <c r="F1367" s="8"/>
      <c r="G1367" s="8"/>
      <c r="H1367" s="8"/>
      <c r="I1367" s="10"/>
      <c r="J1367" s="8"/>
    </row>
    <row r="1368" spans="1:10" x14ac:dyDescent="0.15">
      <c r="A1368" s="7"/>
      <c r="B1368" s="8"/>
      <c r="C1368" s="8"/>
      <c r="D1368" s="9"/>
      <c r="E1368" s="8"/>
      <c r="F1368" s="8"/>
      <c r="G1368" s="8"/>
      <c r="H1368" s="8"/>
      <c r="I1368" s="10"/>
      <c r="J1368" s="8"/>
    </row>
    <row r="1369" spans="1:10" x14ac:dyDescent="0.15">
      <c r="A1369" s="7"/>
      <c r="B1369" s="8"/>
      <c r="C1369" s="8"/>
      <c r="D1369" s="9"/>
      <c r="E1369" s="8"/>
      <c r="F1369" s="8"/>
      <c r="G1369" s="8"/>
      <c r="H1369" s="8"/>
      <c r="I1369" s="10"/>
      <c r="J1369" s="8"/>
    </row>
    <row r="1370" spans="1:10" x14ac:dyDescent="0.15">
      <c r="A1370" s="7"/>
      <c r="B1370" s="8"/>
      <c r="C1370" s="8"/>
      <c r="D1370" s="9"/>
      <c r="E1370" s="8"/>
      <c r="F1370" s="8"/>
      <c r="G1370" s="8"/>
      <c r="H1370" s="8"/>
      <c r="I1370" s="10"/>
      <c r="J1370" s="8"/>
    </row>
    <row r="1371" spans="1:10" x14ac:dyDescent="0.15">
      <c r="A1371" s="7"/>
      <c r="B1371" s="8"/>
      <c r="C1371" s="8"/>
      <c r="D1371" s="9"/>
      <c r="E1371" s="8"/>
      <c r="F1371" s="8"/>
      <c r="G1371" s="8"/>
      <c r="H1371" s="8"/>
      <c r="I1371" s="10"/>
      <c r="J1371" s="8"/>
    </row>
    <row r="1372" spans="1:10" x14ac:dyDescent="0.15">
      <c r="A1372" s="7"/>
      <c r="B1372" s="8"/>
      <c r="C1372" s="8"/>
      <c r="D1372" s="9"/>
      <c r="E1372" s="8"/>
      <c r="F1372" s="8"/>
      <c r="G1372" s="8"/>
      <c r="H1372" s="8"/>
      <c r="I1372" s="10"/>
      <c r="J1372" s="8"/>
    </row>
    <row r="1373" spans="1:10" x14ac:dyDescent="0.15">
      <c r="A1373" s="7"/>
      <c r="B1373" s="8"/>
      <c r="C1373" s="8"/>
      <c r="D1373" s="9"/>
      <c r="E1373" s="8"/>
      <c r="F1373" s="8"/>
      <c r="G1373" s="8"/>
      <c r="H1373" s="8"/>
      <c r="I1373" s="10"/>
      <c r="J1373" s="8"/>
    </row>
    <row r="1374" spans="1:10" x14ac:dyDescent="0.15">
      <c r="A1374" s="7"/>
      <c r="B1374" s="8"/>
      <c r="C1374" s="8"/>
      <c r="D1374" s="9"/>
      <c r="E1374" s="8"/>
      <c r="F1374" s="8"/>
      <c r="G1374" s="8"/>
      <c r="H1374" s="8"/>
      <c r="I1374" s="10"/>
      <c r="J1374" s="8"/>
    </row>
    <row r="1375" spans="1:10" x14ac:dyDescent="0.15">
      <c r="A1375" s="7"/>
      <c r="B1375" s="8"/>
      <c r="C1375" s="8"/>
      <c r="D1375" s="9"/>
      <c r="E1375" s="8"/>
      <c r="F1375" s="8"/>
      <c r="G1375" s="8"/>
      <c r="H1375" s="8"/>
      <c r="I1375" s="10"/>
      <c r="J1375" s="8"/>
    </row>
    <row r="1376" spans="1:10" x14ac:dyDescent="0.15">
      <c r="A1376" s="7"/>
      <c r="B1376" s="8"/>
      <c r="C1376" s="8"/>
      <c r="D1376" s="9"/>
      <c r="E1376" s="8"/>
      <c r="F1376" s="8"/>
      <c r="G1376" s="8"/>
      <c r="H1376" s="8"/>
      <c r="I1376" s="10"/>
      <c r="J1376" s="8"/>
    </row>
    <row r="1377" spans="1:10" x14ac:dyDescent="0.15">
      <c r="A1377" s="7"/>
      <c r="B1377" s="8"/>
      <c r="C1377" s="8"/>
      <c r="D1377" s="9"/>
      <c r="E1377" s="8"/>
      <c r="F1377" s="8"/>
      <c r="G1377" s="8"/>
      <c r="H1377" s="8"/>
      <c r="I1377" s="10"/>
      <c r="J1377" s="8"/>
    </row>
    <row r="1378" spans="1:10" x14ac:dyDescent="0.15">
      <c r="A1378" s="7"/>
      <c r="B1378" s="8"/>
      <c r="C1378" s="8"/>
      <c r="D1378" s="9"/>
      <c r="E1378" s="8"/>
      <c r="F1378" s="8"/>
      <c r="G1378" s="8"/>
      <c r="H1378" s="8"/>
      <c r="I1378" s="10"/>
      <c r="J1378" s="8"/>
    </row>
    <row r="1379" spans="1:10" x14ac:dyDescent="0.15">
      <c r="A1379" s="7"/>
      <c r="B1379" s="8"/>
      <c r="C1379" s="8"/>
      <c r="D1379" s="9"/>
      <c r="E1379" s="8"/>
      <c r="F1379" s="8"/>
      <c r="G1379" s="8"/>
      <c r="H1379" s="8"/>
      <c r="I1379" s="10"/>
      <c r="J1379" s="8"/>
    </row>
    <row r="1380" spans="1:10" x14ac:dyDescent="0.15">
      <c r="A1380" s="7"/>
      <c r="B1380" s="8"/>
      <c r="C1380" s="8"/>
      <c r="D1380" s="9"/>
      <c r="E1380" s="8"/>
      <c r="F1380" s="8"/>
      <c r="G1380" s="8"/>
      <c r="H1380" s="8"/>
      <c r="I1380" s="10"/>
      <c r="J1380" s="8"/>
    </row>
    <row r="1381" spans="1:10" x14ac:dyDescent="0.15">
      <c r="A1381" s="7"/>
      <c r="B1381" s="8"/>
      <c r="C1381" s="8"/>
      <c r="D1381" s="9"/>
      <c r="E1381" s="8"/>
      <c r="F1381" s="8"/>
      <c r="G1381" s="8"/>
      <c r="H1381" s="8"/>
      <c r="I1381" s="10"/>
      <c r="J1381" s="8"/>
    </row>
    <row r="1382" spans="1:10" x14ac:dyDescent="0.15">
      <c r="A1382" s="7"/>
      <c r="B1382" s="8"/>
      <c r="C1382" s="8"/>
      <c r="D1382" s="9"/>
      <c r="E1382" s="8"/>
      <c r="F1382" s="8"/>
      <c r="G1382" s="8"/>
      <c r="H1382" s="8"/>
      <c r="I1382" s="10"/>
      <c r="J1382" s="8"/>
    </row>
    <row r="1383" spans="1:10" x14ac:dyDescent="0.15">
      <c r="A1383" s="7"/>
      <c r="B1383" s="8"/>
      <c r="C1383" s="8"/>
      <c r="D1383" s="9"/>
      <c r="E1383" s="8"/>
      <c r="F1383" s="8"/>
      <c r="G1383" s="8"/>
      <c r="H1383" s="8"/>
      <c r="I1383" s="10"/>
      <c r="J1383" s="8"/>
    </row>
    <row r="1384" spans="1:10" x14ac:dyDescent="0.15">
      <c r="A1384" s="7"/>
      <c r="B1384" s="8"/>
      <c r="C1384" s="8"/>
      <c r="D1384" s="9"/>
      <c r="E1384" s="8"/>
      <c r="F1384" s="8"/>
      <c r="G1384" s="8"/>
      <c r="H1384" s="8"/>
      <c r="I1384" s="10"/>
      <c r="J1384" s="8"/>
    </row>
    <row r="1385" spans="1:10" x14ac:dyDescent="0.15">
      <c r="A1385" s="7"/>
      <c r="B1385" s="8"/>
      <c r="C1385" s="8"/>
      <c r="D1385" s="9"/>
      <c r="E1385" s="8"/>
      <c r="F1385" s="8"/>
      <c r="G1385" s="8"/>
      <c r="H1385" s="8"/>
      <c r="I1385" s="10"/>
      <c r="J1385" s="8"/>
    </row>
    <row r="1386" spans="1:10" x14ac:dyDescent="0.15">
      <c r="A1386" s="7"/>
      <c r="B1386" s="8"/>
      <c r="C1386" s="8"/>
      <c r="D1386" s="9"/>
      <c r="E1386" s="8"/>
      <c r="F1386" s="8"/>
      <c r="G1386" s="8"/>
      <c r="H1386" s="8"/>
      <c r="I1386" s="10"/>
      <c r="J1386" s="8"/>
    </row>
    <row r="1387" spans="1:10" x14ac:dyDescent="0.15">
      <c r="A1387" s="7"/>
      <c r="B1387" s="8"/>
      <c r="C1387" s="8"/>
      <c r="D1387" s="9"/>
      <c r="E1387" s="8"/>
      <c r="F1387" s="8"/>
      <c r="G1387" s="8"/>
      <c r="H1387" s="8"/>
      <c r="I1387" s="10"/>
      <c r="J1387" s="8"/>
    </row>
    <row r="1388" spans="1:10" x14ac:dyDescent="0.15">
      <c r="A1388" s="7"/>
      <c r="B1388" s="8"/>
      <c r="C1388" s="8"/>
      <c r="D1388" s="9"/>
      <c r="E1388" s="8"/>
      <c r="F1388" s="8"/>
      <c r="G1388" s="8"/>
      <c r="H1388" s="8"/>
      <c r="I1388" s="10"/>
      <c r="J1388" s="8"/>
    </row>
    <row r="1389" spans="1:10" x14ac:dyDescent="0.15">
      <c r="A1389" s="7"/>
      <c r="B1389" s="8"/>
      <c r="C1389" s="8"/>
      <c r="D1389" s="9"/>
      <c r="E1389" s="8"/>
      <c r="F1389" s="8"/>
      <c r="G1389" s="8"/>
      <c r="H1389" s="8"/>
      <c r="I1389" s="10"/>
      <c r="J1389" s="8"/>
    </row>
    <row r="1390" spans="1:10" x14ac:dyDescent="0.15">
      <c r="A1390" s="7"/>
      <c r="B1390" s="8"/>
      <c r="C1390" s="8"/>
      <c r="D1390" s="9"/>
      <c r="E1390" s="8"/>
      <c r="F1390" s="8"/>
      <c r="G1390" s="8"/>
      <c r="H1390" s="8"/>
      <c r="I1390" s="10"/>
      <c r="J1390" s="8"/>
    </row>
    <row r="1391" spans="1:10" x14ac:dyDescent="0.15">
      <c r="A1391" s="7"/>
      <c r="B1391" s="8"/>
      <c r="C1391" s="8"/>
      <c r="D1391" s="9"/>
      <c r="E1391" s="8"/>
      <c r="F1391" s="8"/>
      <c r="G1391" s="8"/>
      <c r="H1391" s="8"/>
      <c r="I1391" s="10"/>
      <c r="J1391" s="8"/>
    </row>
    <row r="1392" spans="1:10" x14ac:dyDescent="0.15">
      <c r="A1392" s="7"/>
      <c r="B1392" s="8"/>
      <c r="C1392" s="8"/>
      <c r="D1392" s="9"/>
      <c r="E1392" s="8"/>
      <c r="F1392" s="8"/>
      <c r="G1392" s="8"/>
      <c r="H1392" s="8"/>
      <c r="I1392" s="10"/>
      <c r="J1392" s="8"/>
    </row>
    <row r="1393" spans="1:10" x14ac:dyDescent="0.15">
      <c r="A1393" s="7"/>
      <c r="B1393" s="8"/>
      <c r="C1393" s="8"/>
      <c r="D1393" s="9"/>
      <c r="E1393" s="8"/>
      <c r="F1393" s="8"/>
      <c r="G1393" s="8"/>
      <c r="H1393" s="8"/>
      <c r="I1393" s="10"/>
      <c r="J1393" s="8"/>
    </row>
    <row r="1394" spans="1:10" x14ac:dyDescent="0.15">
      <c r="A1394" s="7"/>
      <c r="B1394" s="8"/>
      <c r="C1394" s="8"/>
      <c r="D1394" s="9"/>
      <c r="E1394" s="8"/>
      <c r="F1394" s="8"/>
      <c r="G1394" s="8"/>
      <c r="H1394" s="8"/>
      <c r="I1394" s="10"/>
      <c r="J1394" s="8"/>
    </row>
    <row r="1395" spans="1:10" x14ac:dyDescent="0.15">
      <c r="A1395" s="7"/>
      <c r="B1395" s="8"/>
      <c r="C1395" s="8"/>
      <c r="D1395" s="9"/>
      <c r="E1395" s="8"/>
      <c r="F1395" s="8"/>
      <c r="G1395" s="8"/>
      <c r="H1395" s="8"/>
      <c r="I1395" s="10"/>
      <c r="J1395" s="8"/>
    </row>
    <row r="1396" spans="1:10" x14ac:dyDescent="0.15">
      <c r="A1396" s="7"/>
      <c r="B1396" s="8"/>
      <c r="C1396" s="8"/>
      <c r="D1396" s="9"/>
      <c r="E1396" s="8"/>
      <c r="F1396" s="8"/>
      <c r="G1396" s="8"/>
      <c r="H1396" s="8"/>
      <c r="I1396" s="10"/>
      <c r="J1396" s="8"/>
    </row>
    <row r="1397" spans="1:10" x14ac:dyDescent="0.15">
      <c r="A1397" s="7"/>
      <c r="B1397" s="8"/>
      <c r="C1397" s="8"/>
      <c r="D1397" s="9"/>
      <c r="E1397" s="8"/>
      <c r="F1397" s="8"/>
      <c r="G1397" s="8"/>
      <c r="H1397" s="8"/>
      <c r="I1397" s="10"/>
      <c r="J1397" s="8"/>
    </row>
    <row r="1398" spans="1:10" x14ac:dyDescent="0.15">
      <c r="A1398" s="7"/>
      <c r="B1398" s="8"/>
      <c r="C1398" s="8"/>
      <c r="D1398" s="9"/>
      <c r="E1398" s="8"/>
      <c r="F1398" s="8"/>
      <c r="G1398" s="8"/>
      <c r="H1398" s="8"/>
      <c r="I1398" s="10"/>
      <c r="J1398" s="8"/>
    </row>
    <row r="1399" spans="1:10" x14ac:dyDescent="0.15">
      <c r="A1399" s="7"/>
      <c r="B1399" s="8"/>
      <c r="C1399" s="8"/>
      <c r="D1399" s="9"/>
      <c r="E1399" s="8"/>
      <c r="F1399" s="8"/>
      <c r="G1399" s="8"/>
      <c r="H1399" s="8"/>
      <c r="I1399" s="10"/>
      <c r="J1399" s="8"/>
    </row>
    <row r="1400" spans="1:10" x14ac:dyDescent="0.15">
      <c r="A1400" s="7"/>
      <c r="B1400" s="8"/>
      <c r="C1400" s="8"/>
      <c r="D1400" s="9"/>
      <c r="E1400" s="8"/>
      <c r="F1400" s="8"/>
      <c r="G1400" s="8"/>
      <c r="H1400" s="8"/>
      <c r="I1400" s="10"/>
      <c r="J1400" s="8"/>
    </row>
    <row r="1401" spans="1:10" x14ac:dyDescent="0.15">
      <c r="A1401" s="7"/>
      <c r="B1401" s="8"/>
      <c r="C1401" s="8"/>
      <c r="D1401" s="9"/>
      <c r="E1401" s="8"/>
      <c r="F1401" s="8"/>
      <c r="G1401" s="8"/>
      <c r="H1401" s="8"/>
      <c r="I1401" s="10"/>
      <c r="J1401" s="8"/>
    </row>
    <row r="1402" spans="1:10" x14ac:dyDescent="0.15">
      <c r="A1402" s="7"/>
      <c r="B1402" s="8"/>
      <c r="C1402" s="8"/>
      <c r="D1402" s="9"/>
      <c r="E1402" s="8"/>
      <c r="F1402" s="8"/>
      <c r="G1402" s="8"/>
      <c r="H1402" s="8"/>
      <c r="I1402" s="10"/>
      <c r="J1402" s="8"/>
    </row>
    <row r="1403" spans="1:10" x14ac:dyDescent="0.15">
      <c r="A1403" s="7"/>
      <c r="B1403" s="8"/>
      <c r="C1403" s="8"/>
      <c r="D1403" s="9"/>
      <c r="E1403" s="8"/>
      <c r="F1403" s="8"/>
      <c r="G1403" s="8"/>
      <c r="H1403" s="8"/>
      <c r="I1403" s="10"/>
      <c r="J1403" s="8"/>
    </row>
    <row r="1404" spans="1:10" x14ac:dyDescent="0.15">
      <c r="A1404" s="7"/>
      <c r="B1404" s="8"/>
      <c r="C1404" s="8"/>
      <c r="D1404" s="9"/>
      <c r="E1404" s="8"/>
      <c r="F1404" s="8"/>
      <c r="G1404" s="8"/>
      <c r="H1404" s="8"/>
      <c r="I1404" s="10"/>
      <c r="J1404" s="8"/>
    </row>
    <row r="1405" spans="1:10" x14ac:dyDescent="0.15">
      <c r="A1405" s="7"/>
      <c r="B1405" s="8"/>
      <c r="C1405" s="8"/>
      <c r="D1405" s="9"/>
      <c r="E1405" s="8"/>
      <c r="F1405" s="8"/>
      <c r="G1405" s="8"/>
      <c r="H1405" s="8"/>
      <c r="I1405" s="10"/>
      <c r="J1405" s="8"/>
    </row>
    <row r="1406" spans="1:10" x14ac:dyDescent="0.15">
      <c r="A1406" s="7"/>
      <c r="B1406" s="8"/>
      <c r="C1406" s="8"/>
      <c r="D1406" s="9"/>
      <c r="E1406" s="8"/>
      <c r="F1406" s="8"/>
      <c r="G1406" s="8"/>
      <c r="H1406" s="8"/>
      <c r="I1406" s="10"/>
      <c r="J1406" s="8"/>
    </row>
    <row r="1407" spans="1:10" x14ac:dyDescent="0.15">
      <c r="A1407" s="7"/>
      <c r="B1407" s="8"/>
      <c r="C1407" s="8"/>
      <c r="D1407" s="9"/>
      <c r="E1407" s="8"/>
      <c r="F1407" s="8"/>
      <c r="G1407" s="8"/>
      <c r="H1407" s="8"/>
      <c r="I1407" s="10"/>
      <c r="J1407" s="8"/>
    </row>
    <row r="1408" spans="1:10" x14ac:dyDescent="0.15">
      <c r="A1408" s="7"/>
      <c r="B1408" s="8"/>
      <c r="C1408" s="8"/>
      <c r="D1408" s="9"/>
      <c r="E1408" s="8"/>
      <c r="F1408" s="8"/>
      <c r="G1408" s="8"/>
      <c r="H1408" s="8"/>
      <c r="I1408" s="10"/>
      <c r="J1408" s="8"/>
    </row>
    <row r="1409" spans="1:10" x14ac:dyDescent="0.15">
      <c r="A1409" s="7"/>
      <c r="B1409" s="8"/>
      <c r="C1409" s="8"/>
      <c r="D1409" s="9"/>
      <c r="E1409" s="8"/>
      <c r="F1409" s="8"/>
      <c r="G1409" s="8"/>
      <c r="H1409" s="8"/>
      <c r="I1409" s="10"/>
      <c r="J1409" s="8"/>
    </row>
    <row r="1410" spans="1:10" x14ac:dyDescent="0.15">
      <c r="A1410" s="7"/>
      <c r="B1410" s="8"/>
      <c r="C1410" s="8"/>
      <c r="D1410" s="9"/>
      <c r="E1410" s="8"/>
      <c r="F1410" s="8"/>
      <c r="G1410" s="8"/>
      <c r="H1410" s="8"/>
      <c r="I1410" s="10"/>
      <c r="J1410" s="8"/>
    </row>
    <row r="1411" spans="1:10" x14ac:dyDescent="0.15">
      <c r="A1411" s="7"/>
      <c r="B1411" s="8"/>
      <c r="C1411" s="8"/>
      <c r="D1411" s="9"/>
      <c r="E1411" s="8"/>
      <c r="F1411" s="8"/>
      <c r="G1411" s="8"/>
      <c r="H1411" s="8"/>
      <c r="I1411" s="10"/>
      <c r="J1411" s="8"/>
    </row>
    <row r="1412" spans="1:10" x14ac:dyDescent="0.15">
      <c r="A1412" s="7"/>
      <c r="B1412" s="8"/>
      <c r="C1412" s="8"/>
      <c r="D1412" s="9"/>
      <c r="E1412" s="8"/>
      <c r="F1412" s="8"/>
      <c r="G1412" s="8"/>
      <c r="H1412" s="8"/>
      <c r="I1412" s="10"/>
      <c r="J1412" s="8"/>
    </row>
    <row r="1413" spans="1:10" x14ac:dyDescent="0.15">
      <c r="A1413" s="7"/>
      <c r="B1413" s="8"/>
      <c r="C1413" s="8"/>
      <c r="D1413" s="9"/>
      <c r="E1413" s="8"/>
      <c r="F1413" s="8"/>
      <c r="G1413" s="8"/>
      <c r="H1413" s="8"/>
      <c r="I1413" s="10"/>
      <c r="J1413" s="8"/>
    </row>
    <row r="1414" spans="1:10" x14ac:dyDescent="0.15">
      <c r="A1414" s="7"/>
      <c r="B1414" s="8"/>
      <c r="C1414" s="8"/>
      <c r="D1414" s="9"/>
      <c r="E1414" s="8"/>
      <c r="F1414" s="8"/>
      <c r="G1414" s="8"/>
      <c r="H1414" s="8"/>
      <c r="I1414" s="10"/>
      <c r="J1414" s="8"/>
    </row>
    <row r="1415" spans="1:10" x14ac:dyDescent="0.15">
      <c r="A1415" s="7"/>
      <c r="B1415" s="8"/>
      <c r="C1415" s="8"/>
      <c r="D1415" s="9"/>
      <c r="E1415" s="8"/>
      <c r="F1415" s="8"/>
      <c r="G1415" s="8"/>
      <c r="H1415" s="8"/>
      <c r="I1415" s="10"/>
      <c r="J1415" s="8"/>
    </row>
    <row r="1416" spans="1:10" x14ac:dyDescent="0.15">
      <c r="A1416" s="7"/>
      <c r="B1416" s="8"/>
      <c r="C1416" s="8"/>
      <c r="D1416" s="9"/>
      <c r="E1416" s="8"/>
      <c r="F1416" s="8"/>
      <c r="G1416" s="8"/>
      <c r="H1416" s="8"/>
      <c r="I1416" s="10"/>
      <c r="J1416" s="8"/>
    </row>
    <row r="1417" spans="1:10" x14ac:dyDescent="0.15">
      <c r="A1417" s="7"/>
      <c r="B1417" s="8"/>
      <c r="C1417" s="8"/>
      <c r="D1417" s="9"/>
      <c r="E1417" s="8"/>
      <c r="F1417" s="8"/>
      <c r="G1417" s="8"/>
      <c r="H1417" s="8"/>
      <c r="I1417" s="10"/>
      <c r="J1417" s="8"/>
    </row>
    <row r="1418" spans="1:10" x14ac:dyDescent="0.15">
      <c r="A1418" s="7"/>
      <c r="B1418" s="8"/>
      <c r="C1418" s="8"/>
      <c r="D1418" s="9"/>
      <c r="E1418" s="8"/>
      <c r="F1418" s="8"/>
      <c r="G1418" s="8"/>
      <c r="H1418" s="8"/>
      <c r="I1418" s="10"/>
      <c r="J1418" s="8"/>
    </row>
    <row r="1419" spans="1:10" x14ac:dyDescent="0.15">
      <c r="A1419" s="7"/>
      <c r="B1419" s="8"/>
      <c r="C1419" s="8"/>
      <c r="D1419" s="9"/>
      <c r="E1419" s="8"/>
      <c r="F1419" s="8"/>
      <c r="G1419" s="8"/>
      <c r="H1419" s="8"/>
      <c r="I1419" s="10"/>
      <c r="J1419" s="8"/>
    </row>
    <row r="1420" spans="1:10" x14ac:dyDescent="0.15">
      <c r="A1420" s="7"/>
      <c r="B1420" s="8"/>
      <c r="C1420" s="8"/>
      <c r="D1420" s="9"/>
      <c r="E1420" s="8"/>
      <c r="F1420" s="8"/>
      <c r="G1420" s="8"/>
      <c r="H1420" s="8"/>
      <c r="I1420" s="10"/>
      <c r="J1420" s="8"/>
    </row>
    <row r="1421" spans="1:10" x14ac:dyDescent="0.15">
      <c r="A1421" s="7"/>
      <c r="B1421" s="8"/>
      <c r="C1421" s="8"/>
      <c r="D1421" s="9"/>
      <c r="E1421" s="8"/>
      <c r="F1421" s="8"/>
      <c r="G1421" s="8"/>
      <c r="H1421" s="8"/>
      <c r="I1421" s="10"/>
      <c r="J1421" s="8"/>
    </row>
    <row r="1422" spans="1:10" x14ac:dyDescent="0.15">
      <c r="A1422" s="7"/>
      <c r="B1422" s="8"/>
      <c r="C1422" s="8"/>
      <c r="D1422" s="9"/>
      <c r="E1422" s="8"/>
      <c r="F1422" s="8"/>
      <c r="G1422" s="8"/>
      <c r="H1422" s="8"/>
      <c r="I1422" s="10"/>
      <c r="J1422" s="8"/>
    </row>
    <row r="1423" spans="1:10" x14ac:dyDescent="0.15">
      <c r="A1423" s="7"/>
      <c r="B1423" s="8"/>
      <c r="C1423" s="8"/>
      <c r="D1423" s="9"/>
      <c r="E1423" s="8"/>
      <c r="F1423" s="8"/>
      <c r="G1423" s="8"/>
      <c r="H1423" s="8"/>
      <c r="I1423" s="10"/>
      <c r="J1423" s="8"/>
    </row>
    <row r="1424" spans="1:10" x14ac:dyDescent="0.15">
      <c r="A1424" s="7"/>
      <c r="B1424" s="8"/>
      <c r="C1424" s="8"/>
      <c r="D1424" s="9"/>
      <c r="E1424" s="8"/>
      <c r="F1424" s="8"/>
      <c r="G1424" s="8"/>
      <c r="H1424" s="8"/>
      <c r="I1424" s="10"/>
      <c r="J1424" s="8"/>
    </row>
    <row r="1425" spans="1:10" x14ac:dyDescent="0.15">
      <c r="A1425" s="7"/>
      <c r="B1425" s="8"/>
      <c r="C1425" s="8"/>
      <c r="D1425" s="9"/>
      <c r="E1425" s="8"/>
      <c r="F1425" s="8"/>
      <c r="G1425" s="8"/>
      <c r="H1425" s="8"/>
      <c r="I1425" s="10"/>
      <c r="J1425" s="8"/>
    </row>
    <row r="1426" spans="1:10" x14ac:dyDescent="0.15">
      <c r="A1426" s="7"/>
      <c r="B1426" s="8"/>
      <c r="C1426" s="8"/>
      <c r="D1426" s="9"/>
      <c r="E1426" s="8"/>
      <c r="F1426" s="8"/>
      <c r="G1426" s="8"/>
      <c r="H1426" s="8"/>
      <c r="I1426" s="10"/>
      <c r="J1426" s="8"/>
    </row>
    <row r="1427" spans="1:10" x14ac:dyDescent="0.15">
      <c r="A1427" s="7"/>
      <c r="B1427" s="8"/>
      <c r="C1427" s="8"/>
      <c r="D1427" s="9"/>
      <c r="E1427" s="8"/>
      <c r="F1427" s="8"/>
      <c r="G1427" s="8"/>
      <c r="H1427" s="8"/>
      <c r="I1427" s="10"/>
      <c r="J1427" s="8"/>
    </row>
    <row r="1428" spans="1:10" x14ac:dyDescent="0.15">
      <c r="A1428" s="7"/>
      <c r="B1428" s="8"/>
      <c r="C1428" s="8"/>
      <c r="D1428" s="9"/>
      <c r="E1428" s="8"/>
      <c r="F1428" s="8"/>
      <c r="G1428" s="8"/>
      <c r="H1428" s="8"/>
      <c r="I1428" s="10"/>
      <c r="J1428" s="8"/>
    </row>
    <row r="1429" spans="1:10" x14ac:dyDescent="0.15">
      <c r="A1429" s="7"/>
      <c r="B1429" s="8"/>
      <c r="C1429" s="8"/>
      <c r="D1429" s="9"/>
      <c r="E1429" s="8"/>
      <c r="F1429" s="8"/>
      <c r="G1429" s="8"/>
      <c r="H1429" s="8"/>
      <c r="I1429" s="10"/>
      <c r="J1429" s="8"/>
    </row>
    <row r="1430" spans="1:10" x14ac:dyDescent="0.15">
      <c r="A1430" s="7"/>
      <c r="B1430" s="8"/>
      <c r="C1430" s="8"/>
      <c r="D1430" s="9"/>
      <c r="E1430" s="8"/>
      <c r="F1430" s="8"/>
      <c r="G1430" s="8"/>
      <c r="H1430" s="8"/>
      <c r="I1430" s="10"/>
      <c r="J1430" s="8"/>
    </row>
    <row r="1431" spans="1:10" x14ac:dyDescent="0.15">
      <c r="A1431" s="7"/>
      <c r="B1431" s="8"/>
      <c r="C1431" s="8"/>
      <c r="D1431" s="9"/>
      <c r="E1431" s="8"/>
      <c r="F1431" s="8"/>
      <c r="G1431" s="8"/>
      <c r="H1431" s="8"/>
      <c r="I1431" s="10"/>
      <c r="J1431" s="8"/>
    </row>
    <row r="1432" spans="1:10" x14ac:dyDescent="0.15">
      <c r="A1432" s="7"/>
      <c r="B1432" s="8"/>
      <c r="C1432" s="8"/>
      <c r="D1432" s="9"/>
      <c r="E1432" s="8"/>
      <c r="F1432" s="8"/>
      <c r="G1432" s="8"/>
      <c r="H1432" s="8"/>
      <c r="I1432" s="10"/>
      <c r="J1432" s="8"/>
    </row>
    <row r="1433" spans="1:10" x14ac:dyDescent="0.15">
      <c r="A1433" s="7"/>
      <c r="B1433" s="8"/>
      <c r="C1433" s="8"/>
      <c r="D1433" s="9"/>
      <c r="E1433" s="8"/>
      <c r="F1433" s="8"/>
      <c r="G1433" s="8"/>
      <c r="H1433" s="8"/>
      <c r="I1433" s="10"/>
      <c r="J1433" s="8"/>
    </row>
    <row r="1434" spans="1:10" x14ac:dyDescent="0.15">
      <c r="A1434" s="7"/>
      <c r="B1434" s="8"/>
      <c r="C1434" s="8"/>
      <c r="D1434" s="9"/>
      <c r="E1434" s="8"/>
      <c r="F1434" s="8"/>
      <c r="G1434" s="8"/>
      <c r="H1434" s="8"/>
      <c r="I1434" s="10"/>
      <c r="J1434" s="8"/>
    </row>
    <row r="1435" spans="1:10" x14ac:dyDescent="0.15">
      <c r="A1435" s="7"/>
      <c r="B1435" s="8"/>
      <c r="C1435" s="8"/>
      <c r="D1435" s="9"/>
      <c r="E1435" s="8"/>
      <c r="F1435" s="8"/>
      <c r="G1435" s="8"/>
      <c r="H1435" s="8"/>
      <c r="I1435" s="10"/>
      <c r="J1435" s="8"/>
    </row>
    <row r="1436" spans="1:10" x14ac:dyDescent="0.15">
      <c r="A1436" s="7"/>
      <c r="B1436" s="8"/>
      <c r="C1436" s="8"/>
      <c r="D1436" s="9"/>
      <c r="E1436" s="8"/>
      <c r="F1436" s="8"/>
      <c r="G1436" s="8"/>
      <c r="H1436" s="8"/>
      <c r="I1436" s="10"/>
      <c r="J1436" s="8"/>
    </row>
    <row r="1437" spans="1:10" x14ac:dyDescent="0.15">
      <c r="A1437" s="7"/>
      <c r="B1437" s="8"/>
      <c r="C1437" s="8"/>
      <c r="D1437" s="9"/>
      <c r="E1437" s="8"/>
      <c r="F1437" s="8"/>
      <c r="G1437" s="8"/>
      <c r="H1437" s="8"/>
      <c r="I1437" s="10"/>
      <c r="J1437" s="8"/>
    </row>
    <row r="1438" spans="1:10" x14ac:dyDescent="0.15">
      <c r="A1438" s="7"/>
      <c r="B1438" s="8"/>
      <c r="C1438" s="8"/>
      <c r="D1438" s="9"/>
      <c r="E1438" s="8"/>
      <c r="F1438" s="8"/>
      <c r="G1438" s="8"/>
      <c r="H1438" s="8"/>
      <c r="I1438" s="10"/>
      <c r="J1438" s="8"/>
    </row>
    <row r="1439" spans="1:10" x14ac:dyDescent="0.15">
      <c r="A1439" s="7"/>
      <c r="B1439" s="8"/>
      <c r="C1439" s="8"/>
      <c r="D1439" s="9"/>
      <c r="E1439" s="8"/>
      <c r="F1439" s="8"/>
      <c r="G1439" s="8"/>
      <c r="H1439" s="8"/>
      <c r="I1439" s="10"/>
      <c r="J1439" s="8"/>
    </row>
    <row r="1440" spans="1:10" x14ac:dyDescent="0.15">
      <c r="A1440" s="7"/>
      <c r="B1440" s="8"/>
      <c r="C1440" s="8"/>
      <c r="D1440" s="9"/>
      <c r="E1440" s="8"/>
      <c r="F1440" s="8"/>
      <c r="G1440" s="8"/>
      <c r="H1440" s="8"/>
      <c r="I1440" s="10"/>
      <c r="J1440" s="8"/>
    </row>
    <row r="1441" spans="1:10" x14ac:dyDescent="0.15">
      <c r="A1441" s="7"/>
      <c r="B1441" s="8"/>
      <c r="C1441" s="8"/>
      <c r="D1441" s="9"/>
      <c r="E1441" s="8"/>
      <c r="F1441" s="8"/>
      <c r="G1441" s="8"/>
      <c r="H1441" s="8"/>
      <c r="I1441" s="10"/>
      <c r="J1441" s="8"/>
    </row>
    <row r="1442" spans="1:10" x14ac:dyDescent="0.15">
      <c r="A1442" s="7"/>
      <c r="B1442" s="8"/>
      <c r="C1442" s="8"/>
      <c r="D1442" s="9"/>
      <c r="E1442" s="8"/>
      <c r="F1442" s="8"/>
      <c r="G1442" s="8"/>
      <c r="H1442" s="8"/>
      <c r="I1442" s="10"/>
      <c r="J1442" s="8"/>
    </row>
    <row r="1443" spans="1:10" x14ac:dyDescent="0.15">
      <c r="A1443" s="7"/>
      <c r="B1443" s="8"/>
      <c r="C1443" s="8"/>
      <c r="D1443" s="9"/>
      <c r="E1443" s="8"/>
      <c r="F1443" s="8"/>
      <c r="G1443" s="8"/>
      <c r="H1443" s="8"/>
      <c r="I1443" s="10"/>
      <c r="J1443" s="8"/>
    </row>
    <row r="1444" spans="1:10" x14ac:dyDescent="0.15">
      <c r="A1444" s="7"/>
      <c r="B1444" s="8"/>
      <c r="C1444" s="8"/>
      <c r="D1444" s="9"/>
      <c r="E1444" s="8"/>
      <c r="F1444" s="8"/>
      <c r="G1444" s="8"/>
      <c r="H1444" s="8"/>
      <c r="I1444" s="10"/>
      <c r="J1444" s="8"/>
    </row>
    <row r="1445" spans="1:10" x14ac:dyDescent="0.15">
      <c r="A1445" s="7"/>
      <c r="B1445" s="8"/>
      <c r="C1445" s="8"/>
      <c r="D1445" s="9"/>
      <c r="E1445" s="8"/>
      <c r="F1445" s="8"/>
      <c r="G1445" s="8"/>
      <c r="H1445" s="8"/>
      <c r="I1445" s="10"/>
      <c r="J1445" s="8"/>
    </row>
    <row r="1446" spans="1:10" x14ac:dyDescent="0.15">
      <c r="A1446" s="7"/>
      <c r="B1446" s="8"/>
      <c r="C1446" s="8"/>
      <c r="D1446" s="9"/>
      <c r="E1446" s="8"/>
      <c r="F1446" s="8"/>
      <c r="G1446" s="8"/>
      <c r="H1446" s="8"/>
      <c r="I1446" s="10"/>
      <c r="J1446" s="8"/>
    </row>
    <row r="1447" spans="1:10" x14ac:dyDescent="0.15">
      <c r="A1447" s="7"/>
      <c r="B1447" s="8"/>
      <c r="C1447" s="8"/>
      <c r="D1447" s="9"/>
      <c r="E1447" s="8"/>
      <c r="F1447" s="8"/>
      <c r="G1447" s="8"/>
      <c r="H1447" s="8"/>
      <c r="I1447" s="10"/>
      <c r="J1447" s="8"/>
    </row>
    <row r="1448" spans="1:10" x14ac:dyDescent="0.15">
      <c r="A1448" s="7"/>
      <c r="B1448" s="8"/>
      <c r="C1448" s="8"/>
      <c r="D1448" s="9"/>
      <c r="E1448" s="8"/>
      <c r="F1448" s="8"/>
      <c r="G1448" s="8"/>
      <c r="H1448" s="8"/>
      <c r="I1448" s="10"/>
      <c r="J1448" s="8"/>
    </row>
    <row r="1449" spans="1:10" x14ac:dyDescent="0.15">
      <c r="A1449" s="7"/>
      <c r="B1449" s="8"/>
      <c r="C1449" s="8"/>
      <c r="D1449" s="9"/>
      <c r="E1449" s="8"/>
      <c r="F1449" s="8"/>
      <c r="G1449" s="8"/>
      <c r="H1449" s="8"/>
      <c r="I1449" s="10"/>
      <c r="J1449" s="8"/>
    </row>
    <row r="1450" spans="1:10" x14ac:dyDescent="0.15">
      <c r="A1450" s="7"/>
      <c r="B1450" s="8"/>
      <c r="C1450" s="8"/>
      <c r="D1450" s="9"/>
      <c r="E1450" s="8"/>
      <c r="F1450" s="8"/>
      <c r="G1450" s="8"/>
      <c r="H1450" s="8"/>
      <c r="I1450" s="10"/>
      <c r="J1450" s="8"/>
    </row>
    <row r="1451" spans="1:10" x14ac:dyDescent="0.15">
      <c r="A1451" s="7"/>
      <c r="B1451" s="8"/>
      <c r="C1451" s="8"/>
      <c r="D1451" s="9"/>
      <c r="E1451" s="8"/>
      <c r="F1451" s="8"/>
      <c r="G1451" s="8"/>
      <c r="H1451" s="8"/>
      <c r="I1451" s="10"/>
      <c r="J1451" s="8"/>
    </row>
    <row r="1452" spans="1:10" x14ac:dyDescent="0.15">
      <c r="A1452" s="7"/>
      <c r="B1452" s="8"/>
      <c r="C1452" s="8"/>
      <c r="D1452" s="9"/>
      <c r="E1452" s="8"/>
      <c r="F1452" s="8"/>
      <c r="G1452" s="8"/>
      <c r="H1452" s="8"/>
      <c r="I1452" s="10"/>
      <c r="J1452" s="8"/>
    </row>
    <row r="1453" spans="1:10" x14ac:dyDescent="0.15">
      <c r="A1453" s="7"/>
      <c r="B1453" s="8"/>
      <c r="C1453" s="8"/>
      <c r="D1453" s="9"/>
      <c r="E1453" s="8"/>
      <c r="F1453" s="8"/>
      <c r="G1453" s="8"/>
      <c r="H1453" s="8"/>
      <c r="I1453" s="10"/>
      <c r="J1453" s="8"/>
    </row>
    <row r="1454" spans="1:10" x14ac:dyDescent="0.15">
      <c r="A1454" s="7"/>
      <c r="B1454" s="8"/>
      <c r="C1454" s="8"/>
      <c r="D1454" s="9"/>
      <c r="E1454" s="8"/>
      <c r="F1454" s="8"/>
      <c r="G1454" s="8"/>
      <c r="H1454" s="8"/>
      <c r="I1454" s="10"/>
      <c r="J1454" s="8"/>
    </row>
    <row r="1455" spans="1:10" x14ac:dyDescent="0.15">
      <c r="A1455" s="7"/>
      <c r="B1455" s="8"/>
      <c r="C1455" s="8"/>
      <c r="D1455" s="9"/>
      <c r="E1455" s="8"/>
      <c r="F1455" s="8"/>
      <c r="G1455" s="8"/>
      <c r="H1455" s="8"/>
      <c r="I1455" s="10"/>
      <c r="J1455" s="8"/>
    </row>
    <row r="1456" spans="1:10" x14ac:dyDescent="0.15">
      <c r="A1456" s="7"/>
      <c r="B1456" s="8"/>
      <c r="C1456" s="8"/>
      <c r="D1456" s="9"/>
      <c r="E1456" s="8"/>
      <c r="F1456" s="8"/>
      <c r="G1456" s="8"/>
      <c r="H1456" s="8"/>
      <c r="I1456" s="10"/>
      <c r="J1456" s="8"/>
    </row>
    <row r="1457" spans="1:10" x14ac:dyDescent="0.15">
      <c r="A1457" s="7"/>
      <c r="B1457" s="8"/>
      <c r="C1457" s="8"/>
      <c r="D1457" s="9"/>
      <c r="E1457" s="8"/>
      <c r="F1457" s="8"/>
      <c r="G1457" s="8"/>
      <c r="H1457" s="8"/>
      <c r="I1457" s="10"/>
      <c r="J1457" s="8"/>
    </row>
    <row r="1458" spans="1:10" x14ac:dyDescent="0.15">
      <c r="A1458" s="7"/>
      <c r="B1458" s="8"/>
      <c r="C1458" s="8"/>
      <c r="D1458" s="9"/>
      <c r="E1458" s="8"/>
      <c r="F1458" s="8"/>
      <c r="G1458" s="8"/>
      <c r="H1458" s="8"/>
      <c r="I1458" s="10"/>
      <c r="J1458" s="8"/>
    </row>
    <row r="1459" spans="1:10" x14ac:dyDescent="0.15">
      <c r="A1459" s="7"/>
      <c r="B1459" s="8"/>
      <c r="C1459" s="8"/>
      <c r="D1459" s="9"/>
      <c r="E1459" s="8"/>
      <c r="F1459" s="8"/>
      <c r="G1459" s="8"/>
      <c r="H1459" s="8"/>
      <c r="I1459" s="10"/>
      <c r="J1459" s="8"/>
    </row>
    <row r="1460" spans="1:10" x14ac:dyDescent="0.15">
      <c r="A1460" s="7"/>
      <c r="B1460" s="8"/>
      <c r="C1460" s="8"/>
      <c r="D1460" s="9"/>
      <c r="E1460" s="8"/>
      <c r="F1460" s="8"/>
      <c r="G1460" s="8"/>
      <c r="H1460" s="8"/>
      <c r="I1460" s="10"/>
      <c r="J1460" s="8"/>
    </row>
    <row r="1461" spans="1:10" x14ac:dyDescent="0.15">
      <c r="A1461" s="7"/>
      <c r="B1461" s="8"/>
      <c r="C1461" s="8"/>
      <c r="D1461" s="9"/>
      <c r="E1461" s="8"/>
      <c r="F1461" s="8"/>
      <c r="G1461" s="8"/>
      <c r="H1461" s="8"/>
      <c r="I1461" s="10"/>
      <c r="J1461" s="8"/>
    </row>
    <row r="1462" spans="1:10" x14ac:dyDescent="0.15">
      <c r="A1462" s="7"/>
      <c r="B1462" s="8"/>
      <c r="C1462" s="8"/>
      <c r="D1462" s="9"/>
      <c r="E1462" s="8"/>
      <c r="F1462" s="8"/>
      <c r="G1462" s="8"/>
      <c r="H1462" s="8"/>
      <c r="I1462" s="10"/>
      <c r="J1462" s="8"/>
    </row>
    <row r="1463" spans="1:10" x14ac:dyDescent="0.15">
      <c r="A1463" s="7"/>
      <c r="B1463" s="8"/>
      <c r="C1463" s="8"/>
      <c r="D1463" s="9"/>
      <c r="E1463" s="8"/>
      <c r="F1463" s="8"/>
      <c r="G1463" s="8"/>
      <c r="H1463" s="8"/>
      <c r="I1463" s="10"/>
      <c r="J1463" s="8"/>
    </row>
    <row r="1464" spans="1:10" x14ac:dyDescent="0.15">
      <c r="A1464" s="7"/>
      <c r="B1464" s="8"/>
      <c r="C1464" s="8"/>
      <c r="D1464" s="9"/>
      <c r="E1464" s="8"/>
      <c r="F1464" s="8"/>
      <c r="G1464" s="8"/>
      <c r="H1464" s="8"/>
      <c r="I1464" s="10"/>
      <c r="J1464" s="8"/>
    </row>
    <row r="1465" spans="1:10" x14ac:dyDescent="0.15">
      <c r="A1465" s="7"/>
      <c r="B1465" s="8"/>
      <c r="C1465" s="8"/>
      <c r="D1465" s="9"/>
      <c r="E1465" s="8"/>
      <c r="F1465" s="8"/>
      <c r="G1465" s="8"/>
      <c r="H1465" s="8"/>
      <c r="I1465" s="10"/>
      <c r="J1465" s="8"/>
    </row>
    <row r="1466" spans="1:10" x14ac:dyDescent="0.15">
      <c r="A1466" s="7"/>
      <c r="B1466" s="8"/>
      <c r="C1466" s="8"/>
      <c r="D1466" s="9"/>
      <c r="E1466" s="8"/>
      <c r="F1466" s="8"/>
      <c r="G1466" s="8"/>
      <c r="H1466" s="8"/>
      <c r="I1466" s="10"/>
      <c r="J1466" s="8"/>
    </row>
    <row r="1467" spans="1:10" x14ac:dyDescent="0.15">
      <c r="A1467" s="7"/>
      <c r="B1467" s="8"/>
      <c r="C1467" s="8"/>
      <c r="D1467" s="9"/>
      <c r="E1467" s="8"/>
      <c r="F1467" s="8"/>
      <c r="G1467" s="8"/>
      <c r="H1467" s="8"/>
      <c r="I1467" s="10"/>
      <c r="J1467" s="8"/>
    </row>
    <row r="1468" spans="1:10" x14ac:dyDescent="0.15">
      <c r="A1468" s="7"/>
      <c r="B1468" s="8"/>
      <c r="C1468" s="8"/>
      <c r="D1468" s="9"/>
      <c r="E1468" s="8"/>
      <c r="F1468" s="8"/>
      <c r="G1468" s="8"/>
      <c r="H1468" s="8"/>
      <c r="I1468" s="10"/>
      <c r="J1468" s="8"/>
    </row>
    <row r="1469" spans="1:10" x14ac:dyDescent="0.15">
      <c r="A1469" s="7"/>
      <c r="B1469" s="8"/>
      <c r="C1469" s="8"/>
      <c r="D1469" s="9"/>
      <c r="E1469" s="8"/>
      <c r="F1469" s="8"/>
      <c r="G1469" s="8"/>
      <c r="H1469" s="8"/>
      <c r="I1469" s="10"/>
      <c r="J1469" s="8"/>
    </row>
    <row r="1470" spans="1:10" x14ac:dyDescent="0.15">
      <c r="A1470" s="7"/>
      <c r="B1470" s="8"/>
      <c r="C1470" s="8"/>
      <c r="D1470" s="9"/>
      <c r="E1470" s="8"/>
      <c r="F1470" s="8"/>
      <c r="G1470" s="8"/>
      <c r="H1470" s="8"/>
      <c r="I1470" s="10"/>
      <c r="J1470" s="8"/>
    </row>
    <row r="1471" spans="1:10" x14ac:dyDescent="0.15">
      <c r="A1471" s="7"/>
      <c r="B1471" s="8"/>
      <c r="C1471" s="8"/>
      <c r="D1471" s="9"/>
      <c r="E1471" s="8"/>
      <c r="F1471" s="8"/>
      <c r="G1471" s="8"/>
      <c r="H1471" s="8"/>
      <c r="I1471" s="10"/>
      <c r="J1471" s="8"/>
    </row>
    <row r="1472" spans="1:10" x14ac:dyDescent="0.15">
      <c r="A1472" s="7"/>
      <c r="B1472" s="8"/>
      <c r="C1472" s="8"/>
      <c r="D1472" s="9"/>
      <c r="E1472" s="8"/>
      <c r="F1472" s="8"/>
      <c r="G1472" s="8"/>
      <c r="H1472" s="8"/>
      <c r="I1472" s="10"/>
      <c r="J1472" s="8"/>
    </row>
    <row r="1473" spans="1:10" x14ac:dyDescent="0.15">
      <c r="A1473" s="7"/>
      <c r="B1473" s="8"/>
      <c r="C1473" s="8"/>
      <c r="D1473" s="9"/>
      <c r="E1473" s="8"/>
      <c r="F1473" s="8"/>
      <c r="G1473" s="8"/>
      <c r="H1473" s="8"/>
      <c r="I1473" s="10"/>
      <c r="J1473" s="8"/>
    </row>
    <row r="1474" spans="1:10" x14ac:dyDescent="0.15">
      <c r="A1474" s="7"/>
      <c r="B1474" s="8"/>
      <c r="C1474" s="8"/>
      <c r="D1474" s="9"/>
      <c r="E1474" s="8"/>
      <c r="F1474" s="8"/>
      <c r="G1474" s="8"/>
      <c r="H1474" s="8"/>
      <c r="I1474" s="10"/>
      <c r="J1474" s="8"/>
    </row>
    <row r="1475" spans="1:10" x14ac:dyDescent="0.15">
      <c r="A1475" s="7"/>
      <c r="B1475" s="8"/>
      <c r="C1475" s="8"/>
      <c r="D1475" s="9"/>
      <c r="E1475" s="8"/>
      <c r="F1475" s="8"/>
      <c r="G1475" s="8"/>
      <c r="H1475" s="8"/>
      <c r="I1475" s="10"/>
      <c r="J1475" s="8"/>
    </row>
    <row r="1476" spans="1:10" x14ac:dyDescent="0.15">
      <c r="A1476" s="7"/>
      <c r="B1476" s="8"/>
      <c r="C1476" s="8"/>
      <c r="D1476" s="9"/>
      <c r="E1476" s="8"/>
      <c r="F1476" s="8"/>
      <c r="G1476" s="8"/>
      <c r="H1476" s="8"/>
      <c r="I1476" s="10"/>
      <c r="J1476" s="8"/>
    </row>
    <row r="1477" spans="1:10" x14ac:dyDescent="0.15">
      <c r="A1477" s="7"/>
      <c r="B1477" s="8"/>
      <c r="C1477" s="8"/>
      <c r="D1477" s="9"/>
      <c r="E1477" s="8"/>
      <c r="F1477" s="8"/>
      <c r="G1477" s="8"/>
      <c r="H1477" s="8"/>
      <c r="I1477" s="10"/>
      <c r="J1477" s="8"/>
    </row>
    <row r="1478" spans="1:10" x14ac:dyDescent="0.15">
      <c r="A1478" s="7"/>
      <c r="B1478" s="8"/>
      <c r="C1478" s="8"/>
      <c r="D1478" s="9"/>
      <c r="E1478" s="8"/>
      <c r="F1478" s="8"/>
      <c r="G1478" s="8"/>
      <c r="H1478" s="8"/>
      <c r="I1478" s="10"/>
      <c r="J1478" s="8"/>
    </row>
    <row r="1479" spans="1:10" x14ac:dyDescent="0.15">
      <c r="A1479" s="7"/>
      <c r="B1479" s="8"/>
      <c r="C1479" s="8"/>
      <c r="D1479" s="9"/>
      <c r="E1479" s="8"/>
      <c r="F1479" s="8"/>
      <c r="G1479" s="8"/>
      <c r="H1479" s="8"/>
      <c r="I1479" s="10"/>
      <c r="J1479" s="8"/>
    </row>
    <row r="1480" spans="1:10" x14ac:dyDescent="0.15">
      <c r="A1480" s="7"/>
      <c r="B1480" s="8"/>
      <c r="C1480" s="8"/>
      <c r="D1480" s="9"/>
      <c r="E1480" s="8"/>
      <c r="F1480" s="8"/>
      <c r="G1480" s="8"/>
      <c r="H1480" s="8"/>
      <c r="I1480" s="10"/>
      <c r="J1480" s="8"/>
    </row>
    <row r="1481" spans="1:10" x14ac:dyDescent="0.15">
      <c r="A1481" s="7"/>
      <c r="B1481" s="8"/>
      <c r="C1481" s="8"/>
      <c r="D1481" s="9"/>
      <c r="E1481" s="8"/>
      <c r="F1481" s="8"/>
      <c r="G1481" s="8"/>
      <c r="H1481" s="8"/>
      <c r="I1481" s="10"/>
      <c r="J1481" s="8"/>
    </row>
    <row r="1482" spans="1:10" x14ac:dyDescent="0.15">
      <c r="A1482" s="7"/>
      <c r="B1482" s="8"/>
      <c r="C1482" s="8"/>
      <c r="D1482" s="9"/>
      <c r="E1482" s="8"/>
      <c r="F1482" s="8"/>
      <c r="G1482" s="8"/>
      <c r="H1482" s="8"/>
      <c r="I1482" s="10"/>
      <c r="J1482" s="8"/>
    </row>
    <row r="1483" spans="1:10" x14ac:dyDescent="0.15">
      <c r="A1483" s="7"/>
      <c r="B1483" s="8"/>
      <c r="C1483" s="8"/>
      <c r="D1483" s="9"/>
      <c r="E1483" s="8"/>
      <c r="F1483" s="8"/>
      <c r="G1483" s="8"/>
      <c r="H1483" s="8"/>
      <c r="I1483" s="10"/>
      <c r="J1483" s="8"/>
    </row>
    <row r="1484" spans="1:10" x14ac:dyDescent="0.15">
      <c r="A1484" s="7"/>
      <c r="B1484" s="8"/>
      <c r="C1484" s="8"/>
      <c r="D1484" s="9"/>
      <c r="E1484" s="8"/>
      <c r="F1484" s="8"/>
      <c r="G1484" s="8"/>
      <c r="H1484" s="8"/>
      <c r="I1484" s="10"/>
      <c r="J1484" s="8"/>
    </row>
    <row r="1485" spans="1:10" x14ac:dyDescent="0.15">
      <c r="A1485" s="7"/>
      <c r="B1485" s="8"/>
      <c r="C1485" s="8"/>
      <c r="D1485" s="9"/>
      <c r="E1485" s="8"/>
      <c r="F1485" s="8"/>
      <c r="G1485" s="8"/>
      <c r="H1485" s="8"/>
      <c r="I1485" s="10"/>
      <c r="J1485" s="8"/>
    </row>
    <row r="1486" spans="1:10" x14ac:dyDescent="0.15">
      <c r="A1486" s="7"/>
      <c r="B1486" s="8"/>
      <c r="C1486" s="8"/>
      <c r="D1486" s="9"/>
      <c r="E1486" s="8"/>
      <c r="F1486" s="8"/>
      <c r="G1486" s="8"/>
      <c r="H1486" s="8"/>
      <c r="I1486" s="10"/>
      <c r="J1486" s="8"/>
    </row>
    <row r="1487" spans="1:10" x14ac:dyDescent="0.15">
      <c r="A1487" s="7"/>
      <c r="B1487" s="8"/>
      <c r="C1487" s="8"/>
      <c r="D1487" s="9"/>
      <c r="E1487" s="8"/>
      <c r="F1487" s="8"/>
      <c r="G1487" s="8"/>
      <c r="H1487" s="8"/>
      <c r="I1487" s="10"/>
      <c r="J1487" s="8"/>
    </row>
    <row r="1488" spans="1:10" x14ac:dyDescent="0.15">
      <c r="A1488" s="7"/>
      <c r="B1488" s="8"/>
      <c r="C1488" s="8"/>
      <c r="D1488" s="9"/>
      <c r="E1488" s="8"/>
      <c r="F1488" s="8"/>
      <c r="G1488" s="8"/>
      <c r="H1488" s="8"/>
      <c r="I1488" s="10"/>
      <c r="J1488" s="8"/>
    </row>
    <row r="1489" spans="1:10" x14ac:dyDescent="0.15">
      <c r="A1489" s="7"/>
      <c r="B1489" s="8"/>
      <c r="C1489" s="8"/>
      <c r="D1489" s="9"/>
      <c r="E1489" s="8"/>
      <c r="F1489" s="8"/>
      <c r="G1489" s="8"/>
      <c r="H1489" s="8"/>
      <c r="I1489" s="10"/>
      <c r="J1489" s="8"/>
    </row>
    <row r="1490" spans="1:10" x14ac:dyDescent="0.15">
      <c r="A1490" s="7"/>
      <c r="B1490" s="8"/>
      <c r="C1490" s="8"/>
      <c r="D1490" s="9"/>
      <c r="E1490" s="8"/>
      <c r="F1490" s="8"/>
      <c r="G1490" s="8"/>
      <c r="H1490" s="8"/>
      <c r="I1490" s="10"/>
      <c r="J1490" s="8"/>
    </row>
    <row r="1491" spans="1:10" x14ac:dyDescent="0.15">
      <c r="A1491" s="7"/>
      <c r="B1491" s="8"/>
      <c r="C1491" s="8"/>
      <c r="D1491" s="9"/>
      <c r="E1491" s="8"/>
      <c r="F1491" s="8"/>
      <c r="G1491" s="8"/>
      <c r="H1491" s="8"/>
      <c r="I1491" s="10"/>
      <c r="J1491" s="8"/>
    </row>
    <row r="1492" spans="1:10" x14ac:dyDescent="0.15">
      <c r="A1492" s="7"/>
      <c r="B1492" s="8"/>
      <c r="C1492" s="8"/>
      <c r="D1492" s="9"/>
      <c r="E1492" s="8"/>
      <c r="F1492" s="8"/>
      <c r="G1492" s="8"/>
      <c r="H1492" s="8"/>
      <c r="I1492" s="10"/>
      <c r="J1492" s="8"/>
    </row>
    <row r="1493" spans="1:10" x14ac:dyDescent="0.15">
      <c r="A1493" s="7"/>
      <c r="B1493" s="8"/>
      <c r="C1493" s="8"/>
      <c r="D1493" s="9"/>
      <c r="E1493" s="8"/>
      <c r="F1493" s="8"/>
      <c r="G1493" s="8"/>
      <c r="H1493" s="8"/>
      <c r="I1493" s="10"/>
      <c r="J1493" s="8"/>
    </row>
    <row r="1494" spans="1:10" x14ac:dyDescent="0.15">
      <c r="A1494" s="7"/>
      <c r="B1494" s="8"/>
      <c r="C1494" s="8"/>
      <c r="D1494" s="9"/>
      <c r="E1494" s="8"/>
      <c r="F1494" s="8"/>
      <c r="G1494" s="8"/>
      <c r="H1494" s="8"/>
      <c r="I1494" s="10"/>
      <c r="J1494" s="8"/>
    </row>
    <row r="1495" spans="1:10" x14ac:dyDescent="0.15">
      <c r="A1495" s="7"/>
      <c r="B1495" s="8"/>
      <c r="C1495" s="8"/>
      <c r="D1495" s="9"/>
      <c r="E1495" s="8"/>
      <c r="F1495" s="8"/>
      <c r="G1495" s="8"/>
      <c r="H1495" s="8"/>
      <c r="I1495" s="10"/>
      <c r="J1495" s="8"/>
    </row>
    <row r="1496" spans="1:10" x14ac:dyDescent="0.15">
      <c r="A1496" s="7"/>
      <c r="B1496" s="8"/>
      <c r="C1496" s="8"/>
      <c r="D1496" s="9"/>
      <c r="E1496" s="8"/>
      <c r="F1496" s="8"/>
      <c r="G1496" s="8"/>
      <c r="H1496" s="8"/>
      <c r="I1496" s="10"/>
      <c r="J1496" s="8"/>
    </row>
    <row r="1497" spans="1:10" x14ac:dyDescent="0.15">
      <c r="A1497" s="7"/>
      <c r="B1497" s="8"/>
      <c r="C1497" s="8"/>
      <c r="D1497" s="9"/>
      <c r="E1497" s="8"/>
      <c r="F1497" s="8"/>
      <c r="G1497" s="8"/>
      <c r="H1497" s="8"/>
      <c r="I1497" s="10"/>
      <c r="J1497" s="8"/>
    </row>
    <row r="1498" spans="1:10" x14ac:dyDescent="0.15">
      <c r="A1498" s="7"/>
      <c r="B1498" s="8"/>
      <c r="C1498" s="8"/>
      <c r="D1498" s="9"/>
      <c r="E1498" s="8"/>
      <c r="F1498" s="8"/>
      <c r="G1498" s="8"/>
      <c r="H1498" s="8"/>
      <c r="I1498" s="10"/>
      <c r="J1498" s="8"/>
    </row>
    <row r="1499" spans="1:10" x14ac:dyDescent="0.15">
      <c r="A1499" s="7"/>
      <c r="B1499" s="8"/>
      <c r="C1499" s="8"/>
      <c r="D1499" s="9"/>
      <c r="E1499" s="8"/>
      <c r="F1499" s="8"/>
      <c r="G1499" s="8"/>
      <c r="H1499" s="8"/>
      <c r="I1499" s="10"/>
      <c r="J1499" s="8"/>
    </row>
    <row r="1500" spans="1:10" x14ac:dyDescent="0.15">
      <c r="A1500" s="7"/>
      <c r="B1500" s="8"/>
      <c r="C1500" s="8"/>
      <c r="D1500" s="9"/>
      <c r="E1500" s="8"/>
      <c r="F1500" s="8"/>
      <c r="G1500" s="8"/>
      <c r="H1500" s="8"/>
      <c r="I1500" s="10"/>
      <c r="J1500" s="8"/>
    </row>
    <row r="1501" spans="1:10" x14ac:dyDescent="0.15">
      <c r="A1501" s="7"/>
      <c r="B1501" s="8"/>
      <c r="C1501" s="8"/>
      <c r="D1501" s="9"/>
      <c r="E1501" s="8"/>
      <c r="F1501" s="8"/>
      <c r="G1501" s="8"/>
      <c r="H1501" s="8"/>
      <c r="I1501" s="10"/>
      <c r="J1501" s="8"/>
    </row>
    <row r="1502" spans="1:10" x14ac:dyDescent="0.15">
      <c r="A1502" s="7"/>
      <c r="B1502" s="8"/>
      <c r="C1502" s="8"/>
      <c r="D1502" s="9"/>
      <c r="E1502" s="8"/>
      <c r="F1502" s="8"/>
      <c r="G1502" s="8"/>
      <c r="H1502" s="8"/>
      <c r="I1502" s="10"/>
      <c r="J1502" s="8"/>
    </row>
    <row r="1503" spans="1:10" x14ac:dyDescent="0.15">
      <c r="A1503" s="7"/>
      <c r="B1503" s="8"/>
      <c r="C1503" s="8"/>
      <c r="D1503" s="9"/>
      <c r="E1503" s="8"/>
      <c r="F1503" s="8"/>
      <c r="G1503" s="8"/>
      <c r="H1503" s="8"/>
      <c r="I1503" s="10"/>
      <c r="J1503" s="8"/>
    </row>
    <row r="1504" spans="1:10" x14ac:dyDescent="0.15">
      <c r="A1504" s="7"/>
      <c r="B1504" s="8"/>
      <c r="C1504" s="8"/>
      <c r="D1504" s="9"/>
      <c r="E1504" s="8"/>
      <c r="F1504" s="8"/>
      <c r="G1504" s="8"/>
      <c r="H1504" s="8"/>
      <c r="I1504" s="10"/>
      <c r="J1504" s="8"/>
    </row>
    <row r="1505" spans="1:10" x14ac:dyDescent="0.15">
      <c r="A1505" s="7"/>
      <c r="B1505" s="8"/>
      <c r="C1505" s="8"/>
      <c r="D1505" s="9"/>
      <c r="E1505" s="8"/>
      <c r="F1505" s="8"/>
      <c r="G1505" s="8"/>
      <c r="H1505" s="8"/>
      <c r="I1505" s="10"/>
      <c r="J1505" s="8"/>
    </row>
    <row r="1506" spans="1:10" x14ac:dyDescent="0.15">
      <c r="A1506" s="7"/>
      <c r="B1506" s="8"/>
      <c r="C1506" s="8"/>
      <c r="D1506" s="9"/>
      <c r="E1506" s="8"/>
      <c r="F1506" s="8"/>
      <c r="G1506" s="8"/>
      <c r="H1506" s="8"/>
      <c r="I1506" s="10"/>
      <c r="J1506" s="8"/>
    </row>
    <row r="1507" spans="1:10" x14ac:dyDescent="0.15">
      <c r="A1507" s="7"/>
      <c r="B1507" s="8"/>
      <c r="C1507" s="8"/>
      <c r="D1507" s="9"/>
      <c r="E1507" s="8"/>
      <c r="F1507" s="8"/>
      <c r="G1507" s="8"/>
      <c r="H1507" s="8"/>
      <c r="I1507" s="10"/>
      <c r="J1507" s="8"/>
    </row>
    <row r="1508" spans="1:10" x14ac:dyDescent="0.15">
      <c r="A1508" s="7"/>
      <c r="B1508" s="8"/>
      <c r="C1508" s="8"/>
      <c r="D1508" s="9"/>
      <c r="E1508" s="8"/>
      <c r="F1508" s="8"/>
      <c r="G1508" s="8"/>
      <c r="H1508" s="8"/>
      <c r="I1508" s="10"/>
      <c r="J1508" s="8"/>
    </row>
    <row r="1509" spans="1:10" x14ac:dyDescent="0.15">
      <c r="A1509" s="7"/>
      <c r="B1509" s="8"/>
      <c r="C1509" s="8"/>
      <c r="D1509" s="9"/>
      <c r="E1509" s="8"/>
      <c r="F1509" s="8"/>
      <c r="G1509" s="8"/>
      <c r="H1509" s="8"/>
      <c r="I1509" s="10"/>
      <c r="J1509" s="8"/>
    </row>
    <row r="1510" spans="1:10" x14ac:dyDescent="0.15">
      <c r="A1510" s="7"/>
      <c r="B1510" s="8"/>
      <c r="C1510" s="8"/>
      <c r="D1510" s="9"/>
      <c r="E1510" s="8"/>
      <c r="F1510" s="8"/>
      <c r="G1510" s="8"/>
      <c r="H1510" s="8"/>
      <c r="I1510" s="10"/>
      <c r="J1510" s="8"/>
    </row>
    <row r="1511" spans="1:10" x14ac:dyDescent="0.15">
      <c r="A1511" s="7"/>
      <c r="B1511" s="8"/>
      <c r="C1511" s="8"/>
      <c r="D1511" s="9"/>
      <c r="E1511" s="8"/>
      <c r="F1511" s="8"/>
      <c r="G1511" s="8"/>
      <c r="H1511" s="8"/>
      <c r="I1511" s="10"/>
      <c r="J1511" s="8"/>
    </row>
    <row r="1512" spans="1:10" x14ac:dyDescent="0.15">
      <c r="A1512" s="7"/>
      <c r="B1512" s="8"/>
      <c r="C1512" s="8"/>
      <c r="D1512" s="9"/>
      <c r="E1512" s="8"/>
      <c r="F1512" s="8"/>
      <c r="G1512" s="8"/>
      <c r="H1512" s="8"/>
      <c r="I1512" s="10"/>
      <c r="J1512" s="8"/>
    </row>
    <row r="1513" spans="1:10" x14ac:dyDescent="0.15">
      <c r="A1513" s="7"/>
      <c r="B1513" s="8"/>
      <c r="C1513" s="8"/>
      <c r="D1513" s="9"/>
      <c r="E1513" s="8"/>
      <c r="F1513" s="8"/>
      <c r="G1513" s="8"/>
      <c r="H1513" s="8"/>
      <c r="I1513" s="10"/>
      <c r="J1513" s="8"/>
    </row>
    <row r="1514" spans="1:10" x14ac:dyDescent="0.15">
      <c r="A1514" s="7"/>
      <c r="B1514" s="8"/>
      <c r="C1514" s="8"/>
      <c r="D1514" s="9"/>
      <c r="E1514" s="8"/>
      <c r="F1514" s="8"/>
      <c r="G1514" s="8"/>
      <c r="H1514" s="8"/>
      <c r="I1514" s="10"/>
      <c r="J1514" s="8"/>
    </row>
    <row r="1515" spans="1:10" x14ac:dyDescent="0.15">
      <c r="A1515" s="7"/>
      <c r="B1515" s="8"/>
      <c r="C1515" s="8"/>
      <c r="D1515" s="9"/>
      <c r="E1515" s="8"/>
      <c r="F1515" s="8"/>
      <c r="G1515" s="8"/>
      <c r="H1515" s="8"/>
      <c r="I1515" s="10"/>
      <c r="J1515" s="8"/>
    </row>
    <row r="1516" spans="1:10" x14ac:dyDescent="0.15">
      <c r="A1516" s="7"/>
      <c r="B1516" s="8"/>
      <c r="C1516" s="8"/>
      <c r="D1516" s="9"/>
      <c r="E1516" s="8"/>
      <c r="F1516" s="8"/>
      <c r="G1516" s="8"/>
      <c r="H1516" s="8"/>
      <c r="I1516" s="10"/>
      <c r="J1516" s="8"/>
    </row>
    <row r="1517" spans="1:10" x14ac:dyDescent="0.15">
      <c r="A1517" s="7"/>
      <c r="B1517" s="8"/>
      <c r="C1517" s="8"/>
      <c r="D1517" s="9"/>
      <c r="E1517" s="8"/>
      <c r="F1517" s="8"/>
      <c r="G1517" s="8"/>
      <c r="H1517" s="8"/>
      <c r="I1517" s="10"/>
      <c r="J1517" s="8"/>
    </row>
    <row r="1518" spans="1:10" x14ac:dyDescent="0.15">
      <c r="A1518" s="7"/>
      <c r="B1518" s="8"/>
      <c r="C1518" s="8"/>
      <c r="D1518" s="9"/>
      <c r="E1518" s="8"/>
      <c r="F1518" s="8"/>
      <c r="G1518" s="8"/>
      <c r="H1518" s="8"/>
      <c r="I1518" s="10"/>
      <c r="J1518" s="8"/>
    </row>
    <row r="1519" spans="1:10" x14ac:dyDescent="0.15">
      <c r="A1519" s="7"/>
      <c r="B1519" s="8"/>
      <c r="C1519" s="8"/>
      <c r="D1519" s="9"/>
      <c r="E1519" s="8"/>
      <c r="F1519" s="8"/>
      <c r="G1519" s="8"/>
      <c r="H1519" s="8"/>
      <c r="I1519" s="10"/>
      <c r="J1519" s="8"/>
    </row>
    <row r="1520" spans="1:10" x14ac:dyDescent="0.15">
      <c r="A1520" s="7"/>
      <c r="B1520" s="8"/>
      <c r="C1520" s="8"/>
      <c r="D1520" s="9"/>
      <c r="E1520" s="8"/>
      <c r="F1520" s="8"/>
      <c r="G1520" s="8"/>
      <c r="H1520" s="8"/>
      <c r="I1520" s="10"/>
      <c r="J1520" s="8"/>
    </row>
    <row r="1521" spans="1:10" x14ac:dyDescent="0.15">
      <c r="A1521" s="7"/>
      <c r="B1521" s="8"/>
      <c r="C1521" s="8"/>
      <c r="D1521" s="9"/>
      <c r="E1521" s="8"/>
      <c r="F1521" s="8"/>
      <c r="G1521" s="8"/>
      <c r="H1521" s="8"/>
      <c r="I1521" s="10"/>
      <c r="J1521" s="8"/>
    </row>
    <row r="1522" spans="1:10" x14ac:dyDescent="0.15">
      <c r="A1522" s="7"/>
      <c r="B1522" s="8"/>
      <c r="C1522" s="8"/>
      <c r="D1522" s="9"/>
      <c r="E1522" s="8"/>
      <c r="F1522" s="8"/>
      <c r="G1522" s="8"/>
      <c r="H1522" s="8"/>
      <c r="I1522" s="10"/>
      <c r="J1522" s="8"/>
    </row>
    <row r="1523" spans="1:10" x14ac:dyDescent="0.15">
      <c r="A1523" s="7"/>
      <c r="B1523" s="8"/>
      <c r="C1523" s="8"/>
      <c r="D1523" s="9"/>
      <c r="E1523" s="8"/>
      <c r="F1523" s="8"/>
      <c r="G1523" s="8"/>
      <c r="H1523" s="8"/>
      <c r="I1523" s="10"/>
      <c r="J1523" s="8"/>
    </row>
    <row r="1524" spans="1:10" x14ac:dyDescent="0.15">
      <c r="A1524" s="7"/>
      <c r="B1524" s="8"/>
      <c r="C1524" s="8"/>
      <c r="D1524" s="9"/>
      <c r="E1524" s="8"/>
      <c r="F1524" s="8"/>
      <c r="G1524" s="8"/>
      <c r="H1524" s="8"/>
      <c r="I1524" s="10"/>
      <c r="J1524" s="8"/>
    </row>
    <row r="1525" spans="1:10" x14ac:dyDescent="0.15">
      <c r="A1525" s="7"/>
      <c r="B1525" s="8"/>
      <c r="C1525" s="8"/>
      <c r="D1525" s="9"/>
      <c r="E1525" s="8"/>
      <c r="F1525" s="8"/>
      <c r="G1525" s="8"/>
      <c r="H1525" s="8"/>
      <c r="I1525" s="10"/>
      <c r="J1525" s="8"/>
    </row>
    <row r="1526" spans="1:10" x14ac:dyDescent="0.15">
      <c r="A1526" s="7"/>
      <c r="B1526" s="8"/>
      <c r="C1526" s="8"/>
      <c r="D1526" s="9"/>
      <c r="E1526" s="8"/>
      <c r="F1526" s="8"/>
      <c r="G1526" s="8"/>
      <c r="H1526" s="8"/>
      <c r="I1526" s="10"/>
      <c r="J1526" s="8"/>
    </row>
    <row r="1527" spans="1:10" x14ac:dyDescent="0.15">
      <c r="A1527" s="7"/>
      <c r="B1527" s="8"/>
      <c r="C1527" s="8"/>
      <c r="D1527" s="9"/>
      <c r="E1527" s="8"/>
      <c r="F1527" s="8"/>
      <c r="G1527" s="8"/>
      <c r="H1527" s="8"/>
      <c r="I1527" s="10"/>
      <c r="J1527" s="8"/>
    </row>
    <row r="1528" spans="1:10" x14ac:dyDescent="0.15">
      <c r="A1528" s="7"/>
      <c r="B1528" s="8"/>
      <c r="C1528" s="8"/>
      <c r="D1528" s="9"/>
      <c r="E1528" s="8"/>
      <c r="F1528" s="8"/>
      <c r="G1528" s="8"/>
      <c r="H1528" s="8"/>
      <c r="I1528" s="10"/>
      <c r="J1528" s="8"/>
    </row>
    <row r="1529" spans="1:10" x14ac:dyDescent="0.15">
      <c r="A1529" s="7"/>
      <c r="B1529" s="8"/>
      <c r="C1529" s="8"/>
      <c r="D1529" s="9"/>
      <c r="E1529" s="8"/>
      <c r="F1529" s="8"/>
      <c r="G1529" s="8"/>
      <c r="H1529" s="8"/>
      <c r="I1529" s="10"/>
      <c r="J1529" s="8"/>
    </row>
    <row r="1530" spans="1:10" x14ac:dyDescent="0.15">
      <c r="A1530" s="7"/>
      <c r="B1530" s="8"/>
      <c r="C1530" s="8"/>
      <c r="D1530" s="9"/>
      <c r="E1530" s="8"/>
      <c r="F1530" s="8"/>
      <c r="G1530" s="8"/>
      <c r="H1530" s="8"/>
      <c r="I1530" s="10"/>
      <c r="J1530" s="8"/>
    </row>
    <row r="1531" spans="1:10" x14ac:dyDescent="0.15">
      <c r="A1531" s="7"/>
      <c r="B1531" s="8"/>
      <c r="C1531" s="8"/>
      <c r="D1531" s="9"/>
      <c r="E1531" s="8"/>
      <c r="F1531" s="8"/>
      <c r="G1531" s="8"/>
      <c r="H1531" s="8"/>
      <c r="I1531" s="10"/>
      <c r="J1531" s="8"/>
    </row>
    <row r="1532" spans="1:10" x14ac:dyDescent="0.15">
      <c r="A1532" s="7"/>
      <c r="B1532" s="8"/>
      <c r="C1532" s="8"/>
      <c r="D1532" s="9"/>
      <c r="E1532" s="8"/>
      <c r="F1532" s="8"/>
      <c r="G1532" s="8"/>
      <c r="H1532" s="8"/>
      <c r="I1532" s="10"/>
      <c r="J1532" s="8"/>
    </row>
    <row r="1533" spans="1:10" x14ac:dyDescent="0.15">
      <c r="A1533" s="7"/>
      <c r="B1533" s="8"/>
      <c r="C1533" s="8"/>
      <c r="D1533" s="9"/>
      <c r="E1533" s="8"/>
      <c r="F1533" s="8"/>
      <c r="G1533" s="8"/>
      <c r="H1533" s="8"/>
      <c r="I1533" s="10"/>
      <c r="J1533" s="8"/>
    </row>
    <row r="1534" spans="1:10" x14ac:dyDescent="0.15">
      <c r="A1534" s="7"/>
      <c r="B1534" s="8"/>
      <c r="C1534" s="8"/>
      <c r="D1534" s="9"/>
      <c r="E1534" s="8"/>
      <c r="F1534" s="8"/>
      <c r="G1534" s="8"/>
      <c r="H1534" s="8"/>
      <c r="I1534" s="10"/>
      <c r="J1534" s="8"/>
    </row>
    <row r="1535" spans="1:10" x14ac:dyDescent="0.15">
      <c r="A1535" s="7"/>
      <c r="B1535" s="8"/>
      <c r="C1535" s="8"/>
      <c r="D1535" s="9"/>
      <c r="E1535" s="8"/>
      <c r="F1535" s="8"/>
      <c r="G1535" s="8"/>
      <c r="H1535" s="8"/>
      <c r="I1535" s="10"/>
      <c r="J1535" s="8"/>
    </row>
    <row r="1536" spans="1:10" x14ac:dyDescent="0.15">
      <c r="A1536" s="7"/>
      <c r="B1536" s="8"/>
      <c r="C1536" s="8"/>
      <c r="D1536" s="9"/>
      <c r="E1536" s="8"/>
      <c r="F1536" s="8"/>
      <c r="G1536" s="8"/>
      <c r="H1536" s="8"/>
      <c r="I1536" s="10"/>
      <c r="J1536" s="8"/>
    </row>
    <row r="1537" spans="1:10" x14ac:dyDescent="0.15">
      <c r="A1537" s="7"/>
      <c r="B1537" s="8"/>
      <c r="C1537" s="8"/>
      <c r="D1537" s="9"/>
      <c r="E1537" s="8"/>
      <c r="F1537" s="8"/>
      <c r="G1537" s="8"/>
      <c r="H1537" s="8"/>
      <c r="I1537" s="10"/>
      <c r="J1537" s="8"/>
    </row>
    <row r="1538" spans="1:10" x14ac:dyDescent="0.15">
      <c r="A1538" s="7"/>
      <c r="B1538" s="8"/>
      <c r="C1538" s="8"/>
      <c r="D1538" s="9"/>
      <c r="E1538" s="8"/>
      <c r="F1538" s="8"/>
      <c r="G1538" s="8"/>
      <c r="H1538" s="8"/>
      <c r="I1538" s="10"/>
      <c r="J1538" s="8"/>
    </row>
    <row r="1539" spans="1:10" x14ac:dyDescent="0.15">
      <c r="A1539" s="7"/>
      <c r="B1539" s="8"/>
      <c r="C1539" s="8"/>
      <c r="D1539" s="9"/>
      <c r="E1539" s="8"/>
      <c r="F1539" s="8"/>
      <c r="G1539" s="8"/>
      <c r="H1539" s="8"/>
      <c r="I1539" s="10"/>
      <c r="J1539" s="8"/>
    </row>
    <row r="1540" spans="1:10" x14ac:dyDescent="0.15">
      <c r="A1540" s="7"/>
      <c r="B1540" s="8"/>
      <c r="C1540" s="8"/>
      <c r="D1540" s="9"/>
      <c r="E1540" s="8"/>
      <c r="F1540" s="8"/>
      <c r="G1540" s="8"/>
      <c r="H1540" s="8"/>
      <c r="I1540" s="10"/>
      <c r="J1540" s="8"/>
    </row>
    <row r="1541" spans="1:10" x14ac:dyDescent="0.15">
      <c r="A1541" s="7"/>
      <c r="B1541" s="8"/>
      <c r="C1541" s="8"/>
      <c r="D1541" s="9"/>
      <c r="E1541" s="8"/>
      <c r="F1541" s="8"/>
      <c r="G1541" s="8"/>
      <c r="H1541" s="8"/>
      <c r="I1541" s="10"/>
      <c r="J1541" s="8"/>
    </row>
    <row r="1542" spans="1:10" x14ac:dyDescent="0.15">
      <c r="A1542" s="7"/>
      <c r="B1542" s="8"/>
      <c r="C1542" s="8"/>
      <c r="D1542" s="9"/>
      <c r="E1542" s="8"/>
      <c r="F1542" s="8"/>
      <c r="G1542" s="8"/>
      <c r="H1542" s="8"/>
      <c r="I1542" s="10"/>
      <c r="J1542" s="8"/>
    </row>
    <row r="1543" spans="1:10" x14ac:dyDescent="0.15">
      <c r="A1543" s="7"/>
      <c r="B1543" s="8"/>
      <c r="C1543" s="8"/>
      <c r="D1543" s="9"/>
      <c r="E1543" s="8"/>
      <c r="F1543" s="8"/>
      <c r="G1543" s="8"/>
      <c r="H1543" s="8"/>
      <c r="I1543" s="10"/>
      <c r="J1543" s="8"/>
    </row>
    <row r="1544" spans="1:10" x14ac:dyDescent="0.15">
      <c r="A1544" s="7"/>
      <c r="B1544" s="8"/>
      <c r="C1544" s="8"/>
      <c r="D1544" s="9"/>
      <c r="E1544" s="8"/>
      <c r="F1544" s="8"/>
      <c r="G1544" s="8"/>
      <c r="H1544" s="8"/>
      <c r="I1544" s="10"/>
      <c r="J1544" s="8"/>
    </row>
    <row r="1545" spans="1:10" x14ac:dyDescent="0.15">
      <c r="A1545" s="7"/>
      <c r="B1545" s="8"/>
      <c r="C1545" s="8"/>
      <c r="D1545" s="9"/>
      <c r="E1545" s="8"/>
      <c r="F1545" s="8"/>
      <c r="G1545" s="8"/>
      <c r="H1545" s="8"/>
      <c r="I1545" s="10"/>
      <c r="J1545" s="8"/>
    </row>
    <row r="1546" spans="1:10" x14ac:dyDescent="0.15">
      <c r="A1546" s="7"/>
      <c r="B1546" s="8"/>
      <c r="C1546" s="8"/>
      <c r="D1546" s="9"/>
      <c r="E1546" s="8"/>
      <c r="F1546" s="8"/>
      <c r="G1546" s="8"/>
      <c r="H1546" s="8"/>
      <c r="I1546" s="10"/>
      <c r="J1546" s="8"/>
    </row>
    <row r="1547" spans="1:10" x14ac:dyDescent="0.15">
      <c r="A1547" s="7"/>
      <c r="B1547" s="8"/>
      <c r="C1547" s="8"/>
      <c r="D1547" s="9"/>
      <c r="E1547" s="8"/>
      <c r="F1547" s="8"/>
      <c r="G1547" s="8"/>
      <c r="H1547" s="8"/>
      <c r="I1547" s="10"/>
      <c r="J1547" s="8"/>
    </row>
    <row r="1548" spans="1:10" x14ac:dyDescent="0.15">
      <c r="A1548" s="7"/>
      <c r="B1548" s="8"/>
      <c r="C1548" s="8"/>
      <c r="D1548" s="9"/>
      <c r="E1548" s="8"/>
      <c r="F1548" s="8"/>
      <c r="G1548" s="8"/>
      <c r="H1548" s="8"/>
      <c r="I1548" s="10"/>
      <c r="J1548" s="8"/>
    </row>
    <row r="1549" spans="1:10" x14ac:dyDescent="0.15">
      <c r="A1549" s="7"/>
      <c r="B1549" s="8"/>
      <c r="C1549" s="8"/>
      <c r="D1549" s="9"/>
      <c r="E1549" s="8"/>
      <c r="F1549" s="8"/>
      <c r="G1549" s="8"/>
      <c r="H1549" s="8"/>
      <c r="I1549" s="10"/>
      <c r="J1549" s="8"/>
    </row>
    <row r="1550" spans="1:10" x14ac:dyDescent="0.15">
      <c r="A1550" s="7"/>
      <c r="B1550" s="8"/>
      <c r="C1550" s="8"/>
      <c r="D1550" s="9"/>
      <c r="E1550" s="8"/>
      <c r="F1550" s="8"/>
      <c r="G1550" s="8"/>
      <c r="H1550" s="8"/>
      <c r="I1550" s="10"/>
      <c r="J1550" s="8"/>
    </row>
    <row r="1551" spans="1:10" x14ac:dyDescent="0.15">
      <c r="A1551" s="7"/>
      <c r="B1551" s="8"/>
      <c r="C1551" s="8"/>
      <c r="D1551" s="9"/>
      <c r="E1551" s="8"/>
      <c r="F1551" s="8"/>
      <c r="G1551" s="8"/>
      <c r="H1551" s="8"/>
      <c r="I1551" s="10"/>
      <c r="J1551" s="8"/>
    </row>
    <row r="1552" spans="1:10" x14ac:dyDescent="0.15">
      <c r="A1552" s="7"/>
      <c r="B1552" s="8"/>
      <c r="C1552" s="8"/>
      <c r="D1552" s="9"/>
      <c r="E1552" s="8"/>
      <c r="F1552" s="8"/>
      <c r="G1552" s="8"/>
      <c r="H1552" s="8"/>
      <c r="I1552" s="10"/>
      <c r="J1552" s="8"/>
    </row>
    <row r="1553" spans="1:10" x14ac:dyDescent="0.15">
      <c r="A1553" s="7"/>
      <c r="B1553" s="8"/>
      <c r="C1553" s="8"/>
      <c r="D1553" s="9"/>
      <c r="E1553" s="8"/>
      <c r="F1553" s="8"/>
      <c r="G1553" s="8"/>
      <c r="H1553" s="8"/>
      <c r="I1553" s="10"/>
      <c r="J1553" s="8"/>
    </row>
    <row r="1554" spans="1:10" x14ac:dyDescent="0.15">
      <c r="A1554" s="7"/>
      <c r="B1554" s="8"/>
      <c r="C1554" s="8"/>
      <c r="D1554" s="9"/>
      <c r="E1554" s="8"/>
      <c r="F1554" s="8"/>
      <c r="G1554" s="8"/>
      <c r="H1554" s="8"/>
      <c r="I1554" s="10"/>
      <c r="J1554" s="8"/>
    </row>
    <row r="1555" spans="1:10" x14ac:dyDescent="0.15">
      <c r="A1555" s="7"/>
      <c r="B1555" s="8"/>
      <c r="C1555" s="8"/>
      <c r="D1555" s="9"/>
      <c r="E1555" s="8"/>
      <c r="F1555" s="8"/>
      <c r="G1555" s="8"/>
      <c r="H1555" s="8"/>
      <c r="I1555" s="10"/>
      <c r="J1555" s="8"/>
    </row>
    <row r="1556" spans="1:10" x14ac:dyDescent="0.15">
      <c r="A1556" s="7"/>
      <c r="B1556" s="8"/>
      <c r="C1556" s="8"/>
      <c r="D1556" s="9"/>
      <c r="E1556" s="8"/>
      <c r="F1556" s="8"/>
      <c r="G1556" s="8"/>
      <c r="H1556" s="8"/>
      <c r="I1556" s="10"/>
      <c r="J1556" s="8"/>
    </row>
    <row r="1557" spans="1:10" x14ac:dyDescent="0.15">
      <c r="A1557" s="7"/>
      <c r="B1557" s="8"/>
      <c r="C1557" s="8"/>
      <c r="D1557" s="9"/>
      <c r="E1557" s="8"/>
      <c r="F1557" s="8"/>
      <c r="G1557" s="8"/>
      <c r="H1557" s="8"/>
      <c r="I1557" s="10"/>
      <c r="J1557" s="8"/>
    </row>
    <row r="1558" spans="1:10" x14ac:dyDescent="0.15">
      <c r="A1558" s="7"/>
      <c r="B1558" s="8"/>
      <c r="C1558" s="8"/>
      <c r="D1558" s="9"/>
      <c r="E1558" s="8"/>
      <c r="F1558" s="8"/>
      <c r="G1558" s="8"/>
      <c r="H1558" s="8"/>
      <c r="I1558" s="10"/>
      <c r="J1558" s="8"/>
    </row>
    <row r="1559" spans="1:10" x14ac:dyDescent="0.15">
      <c r="A1559" s="7"/>
      <c r="B1559" s="8"/>
      <c r="C1559" s="8"/>
      <c r="D1559" s="9"/>
      <c r="E1559" s="8"/>
      <c r="F1559" s="8"/>
      <c r="G1559" s="8"/>
      <c r="H1559" s="8"/>
      <c r="I1559" s="10"/>
      <c r="J1559" s="8"/>
    </row>
    <row r="1560" spans="1:10" x14ac:dyDescent="0.15">
      <c r="A1560" s="7"/>
      <c r="B1560" s="8"/>
      <c r="C1560" s="8"/>
      <c r="D1560" s="9"/>
      <c r="E1560" s="8"/>
      <c r="F1560" s="8"/>
      <c r="G1560" s="8"/>
      <c r="H1560" s="8"/>
      <c r="I1560" s="10"/>
      <c r="J1560" s="8"/>
    </row>
    <row r="1561" spans="1:10" x14ac:dyDescent="0.15">
      <c r="A1561" s="7"/>
      <c r="B1561" s="8"/>
      <c r="C1561" s="8"/>
      <c r="D1561" s="9"/>
      <c r="E1561" s="8"/>
      <c r="F1561" s="8"/>
      <c r="G1561" s="8"/>
      <c r="H1561" s="8"/>
      <c r="I1561" s="10"/>
      <c r="J1561" s="8"/>
    </row>
    <row r="1562" spans="1:10" x14ac:dyDescent="0.15">
      <c r="A1562" s="7"/>
      <c r="B1562" s="8"/>
      <c r="C1562" s="8"/>
      <c r="D1562" s="9"/>
      <c r="E1562" s="8"/>
      <c r="F1562" s="8"/>
      <c r="G1562" s="8"/>
      <c r="H1562" s="8"/>
      <c r="I1562" s="10"/>
      <c r="J1562" s="8"/>
    </row>
    <row r="1563" spans="1:10" x14ac:dyDescent="0.15">
      <c r="A1563" s="7"/>
      <c r="B1563" s="8"/>
      <c r="C1563" s="8"/>
      <c r="D1563" s="9"/>
      <c r="E1563" s="8"/>
      <c r="F1563" s="8"/>
      <c r="G1563" s="8"/>
      <c r="H1563" s="8"/>
      <c r="I1563" s="10"/>
      <c r="J1563" s="8"/>
    </row>
    <row r="1564" spans="1:10" x14ac:dyDescent="0.15">
      <c r="A1564" s="7"/>
      <c r="B1564" s="8"/>
      <c r="C1564" s="8"/>
      <c r="D1564" s="9"/>
      <c r="E1564" s="8"/>
      <c r="F1564" s="8"/>
      <c r="G1564" s="8"/>
      <c r="H1564" s="8"/>
      <c r="I1564" s="10"/>
      <c r="J1564" s="8"/>
    </row>
    <row r="1565" spans="1:10" x14ac:dyDescent="0.15">
      <c r="A1565" s="7"/>
      <c r="B1565" s="8"/>
      <c r="C1565" s="8"/>
      <c r="D1565" s="9"/>
      <c r="E1565" s="8"/>
      <c r="F1565" s="8"/>
      <c r="G1565" s="8"/>
      <c r="H1565" s="8"/>
      <c r="I1565" s="10"/>
      <c r="J1565" s="8"/>
    </row>
    <row r="1566" spans="1:10" x14ac:dyDescent="0.15">
      <c r="A1566" s="7"/>
      <c r="B1566" s="8"/>
      <c r="C1566" s="8"/>
      <c r="D1566" s="9"/>
      <c r="E1566" s="8"/>
      <c r="F1566" s="8"/>
      <c r="G1566" s="8"/>
      <c r="H1566" s="8"/>
      <c r="I1566" s="10"/>
      <c r="J1566" s="8"/>
    </row>
    <row r="1567" spans="1:10" x14ac:dyDescent="0.15">
      <c r="A1567" s="7"/>
      <c r="B1567" s="8"/>
      <c r="C1567" s="8"/>
      <c r="D1567" s="9"/>
      <c r="E1567" s="8"/>
      <c r="F1567" s="8"/>
      <c r="G1567" s="8"/>
      <c r="H1567" s="8"/>
      <c r="I1567" s="10"/>
      <c r="J1567" s="8"/>
    </row>
    <row r="1568" spans="1:10" x14ac:dyDescent="0.15">
      <c r="A1568" s="7"/>
      <c r="B1568" s="8"/>
      <c r="C1568" s="8"/>
      <c r="D1568" s="9"/>
      <c r="E1568" s="8"/>
      <c r="F1568" s="8"/>
      <c r="G1568" s="8"/>
      <c r="H1568" s="8"/>
      <c r="I1568" s="10"/>
      <c r="J1568" s="8"/>
    </row>
    <row r="1569" spans="1:10" x14ac:dyDescent="0.15">
      <c r="A1569" s="7"/>
      <c r="B1569" s="8"/>
      <c r="C1569" s="8"/>
      <c r="D1569" s="9"/>
      <c r="E1569" s="8"/>
      <c r="F1569" s="8"/>
      <c r="G1569" s="8"/>
      <c r="H1569" s="8"/>
      <c r="I1569" s="10"/>
      <c r="J1569" s="8"/>
    </row>
    <row r="1570" spans="1:10" x14ac:dyDescent="0.15">
      <c r="A1570" s="7"/>
      <c r="B1570" s="8"/>
      <c r="C1570" s="8"/>
      <c r="D1570" s="9"/>
      <c r="E1570" s="8"/>
      <c r="F1570" s="8"/>
      <c r="G1570" s="8"/>
      <c r="H1570" s="8"/>
      <c r="I1570" s="10"/>
      <c r="J1570" s="8"/>
    </row>
    <row r="1571" spans="1:10" x14ac:dyDescent="0.15">
      <c r="A1571" s="7"/>
      <c r="B1571" s="8"/>
      <c r="C1571" s="8"/>
      <c r="D1571" s="9"/>
      <c r="E1571" s="8"/>
      <c r="F1571" s="8"/>
      <c r="G1571" s="8"/>
      <c r="H1571" s="8"/>
      <c r="I1571" s="10"/>
      <c r="J1571" s="8"/>
    </row>
    <row r="1572" spans="1:10" x14ac:dyDescent="0.15">
      <c r="A1572" s="7"/>
      <c r="B1572" s="8"/>
      <c r="C1572" s="8"/>
      <c r="D1572" s="9"/>
      <c r="E1572" s="8"/>
      <c r="F1572" s="8"/>
      <c r="G1572" s="8"/>
      <c r="H1572" s="8"/>
      <c r="I1572" s="10"/>
      <c r="J1572" s="8"/>
    </row>
    <row r="1573" spans="1:10" x14ac:dyDescent="0.15">
      <c r="A1573" s="7"/>
      <c r="B1573" s="8"/>
      <c r="C1573" s="8"/>
      <c r="D1573" s="9"/>
      <c r="E1573" s="8"/>
      <c r="F1573" s="8"/>
      <c r="G1573" s="8"/>
      <c r="H1573" s="8"/>
      <c r="I1573" s="10"/>
      <c r="J1573" s="8"/>
    </row>
    <row r="1574" spans="1:10" x14ac:dyDescent="0.15">
      <c r="A1574" s="7"/>
      <c r="B1574" s="8"/>
      <c r="C1574" s="8"/>
      <c r="D1574" s="9"/>
      <c r="E1574" s="8"/>
      <c r="F1574" s="8"/>
      <c r="G1574" s="8"/>
      <c r="H1574" s="8"/>
      <c r="I1574" s="10"/>
      <c r="J1574" s="8"/>
    </row>
    <row r="1575" spans="1:10" x14ac:dyDescent="0.15">
      <c r="A1575" s="7"/>
      <c r="B1575" s="8"/>
      <c r="C1575" s="8"/>
      <c r="D1575" s="9"/>
      <c r="E1575" s="8"/>
      <c r="F1575" s="8"/>
      <c r="G1575" s="8"/>
      <c r="H1575" s="8"/>
      <c r="I1575" s="10"/>
      <c r="J1575" s="8"/>
    </row>
    <row r="1576" spans="1:10" x14ac:dyDescent="0.15">
      <c r="A1576" s="7"/>
      <c r="B1576" s="8"/>
      <c r="C1576" s="8"/>
      <c r="D1576" s="9"/>
      <c r="E1576" s="8"/>
      <c r="F1576" s="8"/>
      <c r="G1576" s="8"/>
      <c r="H1576" s="8"/>
      <c r="I1576" s="10"/>
      <c r="J1576" s="8"/>
    </row>
    <row r="1577" spans="1:10" x14ac:dyDescent="0.15">
      <c r="A1577" s="7"/>
      <c r="B1577" s="8"/>
      <c r="C1577" s="8"/>
      <c r="D1577" s="9"/>
      <c r="E1577" s="8"/>
      <c r="F1577" s="8"/>
      <c r="G1577" s="8"/>
      <c r="H1577" s="8"/>
      <c r="I1577" s="10"/>
      <c r="J1577" s="8"/>
    </row>
    <row r="1578" spans="1:10" x14ac:dyDescent="0.15">
      <c r="A1578" s="7"/>
      <c r="B1578" s="8"/>
      <c r="C1578" s="8"/>
      <c r="D1578" s="9"/>
      <c r="E1578" s="8"/>
      <c r="F1578" s="8"/>
      <c r="G1578" s="8"/>
      <c r="H1578" s="8"/>
      <c r="I1578" s="10"/>
      <c r="J1578" s="8"/>
    </row>
    <row r="1579" spans="1:10" x14ac:dyDescent="0.15">
      <c r="A1579" s="7"/>
      <c r="B1579" s="8"/>
      <c r="C1579" s="8"/>
      <c r="D1579" s="9"/>
      <c r="E1579" s="8"/>
      <c r="F1579" s="8"/>
      <c r="G1579" s="8"/>
      <c r="H1579" s="8"/>
      <c r="I1579" s="10"/>
      <c r="J1579" s="8"/>
    </row>
    <row r="1580" spans="1:10" x14ac:dyDescent="0.15">
      <c r="A1580" s="7"/>
      <c r="B1580" s="8"/>
      <c r="C1580" s="8"/>
      <c r="D1580" s="9"/>
      <c r="E1580" s="8"/>
      <c r="F1580" s="8"/>
      <c r="G1580" s="8"/>
      <c r="H1580" s="8"/>
      <c r="I1580" s="10"/>
      <c r="J1580" s="8"/>
    </row>
    <row r="1581" spans="1:10" x14ac:dyDescent="0.15">
      <c r="A1581" s="7"/>
      <c r="B1581" s="8"/>
      <c r="C1581" s="8"/>
      <c r="D1581" s="9"/>
      <c r="E1581" s="8"/>
      <c r="F1581" s="8"/>
      <c r="G1581" s="8"/>
      <c r="H1581" s="8"/>
      <c r="I1581" s="10"/>
      <c r="J1581" s="8"/>
    </row>
    <row r="1582" spans="1:10" x14ac:dyDescent="0.15">
      <c r="A1582" s="7"/>
      <c r="B1582" s="8"/>
      <c r="C1582" s="8"/>
      <c r="D1582" s="9"/>
      <c r="E1582" s="8"/>
      <c r="F1582" s="8"/>
      <c r="G1582" s="8"/>
      <c r="H1582" s="8"/>
      <c r="I1582" s="10"/>
      <c r="J1582" s="8"/>
    </row>
    <row r="1583" spans="1:10" x14ac:dyDescent="0.15">
      <c r="A1583" s="7"/>
      <c r="B1583" s="8"/>
      <c r="C1583" s="8"/>
      <c r="D1583" s="9"/>
      <c r="E1583" s="8"/>
      <c r="F1583" s="8"/>
      <c r="G1583" s="8"/>
      <c r="H1583" s="8"/>
      <c r="I1583" s="10"/>
      <c r="J1583" s="8"/>
    </row>
    <row r="1584" spans="1:10" x14ac:dyDescent="0.15">
      <c r="A1584" s="7"/>
      <c r="B1584" s="8"/>
      <c r="C1584" s="8"/>
      <c r="D1584" s="9"/>
      <c r="E1584" s="8"/>
      <c r="F1584" s="8"/>
      <c r="G1584" s="8"/>
      <c r="H1584" s="8"/>
      <c r="I1584" s="10"/>
      <c r="J1584" s="8"/>
    </row>
    <row r="1585" spans="1:10" x14ac:dyDescent="0.15">
      <c r="A1585" s="7"/>
      <c r="B1585" s="8"/>
      <c r="C1585" s="8"/>
      <c r="D1585" s="9"/>
      <c r="E1585" s="8"/>
      <c r="F1585" s="8"/>
      <c r="G1585" s="8"/>
      <c r="H1585" s="8"/>
      <c r="I1585" s="10"/>
      <c r="J1585" s="8"/>
    </row>
    <row r="1586" spans="1:10" x14ac:dyDescent="0.15">
      <c r="A1586" s="7"/>
      <c r="B1586" s="8"/>
      <c r="C1586" s="8"/>
      <c r="D1586" s="9"/>
      <c r="E1586" s="8"/>
      <c r="F1586" s="8"/>
      <c r="G1586" s="8"/>
      <c r="H1586" s="8"/>
      <c r="I1586" s="10"/>
      <c r="J1586" s="8"/>
    </row>
    <row r="1587" spans="1:10" x14ac:dyDescent="0.15">
      <c r="A1587" s="7"/>
      <c r="B1587" s="8"/>
      <c r="C1587" s="8"/>
      <c r="D1587" s="9"/>
      <c r="E1587" s="8"/>
      <c r="F1587" s="8"/>
      <c r="G1587" s="8"/>
      <c r="H1587" s="8"/>
      <c r="I1587" s="10"/>
      <c r="J1587" s="8"/>
    </row>
    <row r="1588" spans="1:10" x14ac:dyDescent="0.15">
      <c r="A1588" s="7"/>
      <c r="B1588" s="8"/>
      <c r="C1588" s="8"/>
      <c r="D1588" s="9"/>
      <c r="E1588" s="8"/>
      <c r="F1588" s="8"/>
      <c r="G1588" s="8"/>
      <c r="H1588" s="8"/>
      <c r="I1588" s="10"/>
      <c r="J1588" s="8"/>
    </row>
    <row r="1589" spans="1:10" x14ac:dyDescent="0.15">
      <c r="A1589" s="7"/>
      <c r="B1589" s="8"/>
      <c r="C1589" s="8"/>
      <c r="D1589" s="9"/>
      <c r="E1589" s="8"/>
      <c r="F1589" s="8"/>
      <c r="G1589" s="8"/>
      <c r="H1589" s="8"/>
      <c r="I1589" s="10"/>
      <c r="J1589" s="8"/>
    </row>
    <row r="1590" spans="1:10" x14ac:dyDescent="0.15">
      <c r="A1590" s="7"/>
      <c r="B1590" s="8"/>
      <c r="C1590" s="8"/>
      <c r="D1590" s="9"/>
      <c r="E1590" s="8"/>
      <c r="F1590" s="8"/>
      <c r="G1590" s="8"/>
      <c r="H1590" s="8"/>
      <c r="I1590" s="10"/>
      <c r="J1590" s="8"/>
    </row>
    <row r="1591" spans="1:10" x14ac:dyDescent="0.15">
      <c r="A1591" s="7"/>
      <c r="B1591" s="8"/>
      <c r="C1591" s="8"/>
      <c r="D1591" s="9"/>
      <c r="E1591" s="8"/>
      <c r="F1591" s="8"/>
      <c r="G1591" s="8"/>
      <c r="H1591" s="8"/>
      <c r="I1591" s="10"/>
      <c r="J1591" s="8"/>
    </row>
    <row r="1592" spans="1:10" x14ac:dyDescent="0.15">
      <c r="A1592" s="7"/>
      <c r="B1592" s="8"/>
      <c r="C1592" s="8"/>
      <c r="D1592" s="9"/>
      <c r="E1592" s="8"/>
      <c r="F1592" s="8"/>
      <c r="G1592" s="8"/>
      <c r="H1592" s="8"/>
      <c r="I1592" s="10"/>
      <c r="J1592" s="8"/>
    </row>
    <row r="1593" spans="1:10" x14ac:dyDescent="0.15">
      <c r="A1593" s="7"/>
      <c r="B1593" s="8"/>
      <c r="C1593" s="8"/>
      <c r="D1593" s="9"/>
      <c r="E1593" s="8"/>
      <c r="F1593" s="8"/>
      <c r="G1593" s="8"/>
      <c r="H1593" s="8"/>
      <c r="I1593" s="10"/>
      <c r="J1593" s="8"/>
    </row>
    <row r="1594" spans="1:10" x14ac:dyDescent="0.15">
      <c r="A1594" s="7"/>
      <c r="B1594" s="8"/>
      <c r="C1594" s="8"/>
      <c r="D1594" s="9"/>
      <c r="E1594" s="8"/>
      <c r="F1594" s="8"/>
      <c r="G1594" s="8"/>
      <c r="H1594" s="8"/>
      <c r="I1594" s="10"/>
      <c r="J1594" s="8"/>
    </row>
    <row r="1595" spans="1:10" x14ac:dyDescent="0.15">
      <c r="A1595" s="7"/>
      <c r="B1595" s="8"/>
      <c r="C1595" s="8"/>
      <c r="D1595" s="9"/>
      <c r="E1595" s="8"/>
      <c r="F1595" s="8"/>
      <c r="G1595" s="8"/>
      <c r="H1595" s="8"/>
      <c r="I1595" s="10"/>
      <c r="J1595" s="8"/>
    </row>
    <row r="1596" spans="1:10" x14ac:dyDescent="0.15">
      <c r="A1596" s="7"/>
      <c r="B1596" s="8"/>
      <c r="C1596" s="8"/>
      <c r="D1596" s="9"/>
      <c r="E1596" s="8"/>
      <c r="F1596" s="8"/>
      <c r="G1596" s="8"/>
      <c r="H1596" s="8"/>
      <c r="I1596" s="10"/>
      <c r="J1596" s="8"/>
    </row>
    <row r="1597" spans="1:10" x14ac:dyDescent="0.15">
      <c r="A1597" s="7"/>
      <c r="B1597" s="8"/>
      <c r="C1597" s="8"/>
      <c r="D1597" s="9"/>
      <c r="E1597" s="8"/>
      <c r="F1597" s="8"/>
      <c r="G1597" s="8"/>
      <c r="H1597" s="8"/>
      <c r="I1597" s="10"/>
      <c r="J1597" s="8"/>
    </row>
    <row r="1598" spans="1:10" x14ac:dyDescent="0.15">
      <c r="A1598" s="7"/>
      <c r="B1598" s="8"/>
      <c r="C1598" s="8"/>
      <c r="D1598" s="9"/>
      <c r="E1598" s="8"/>
      <c r="F1598" s="8"/>
      <c r="G1598" s="8"/>
      <c r="H1598" s="8"/>
      <c r="I1598" s="10"/>
      <c r="J1598" s="8"/>
    </row>
    <row r="1599" spans="1:10" x14ac:dyDescent="0.15">
      <c r="A1599" s="7"/>
      <c r="B1599" s="8"/>
      <c r="C1599" s="8"/>
      <c r="D1599" s="9"/>
      <c r="E1599" s="8"/>
      <c r="F1599" s="8"/>
      <c r="G1599" s="8"/>
      <c r="H1599" s="8"/>
      <c r="I1599" s="10"/>
      <c r="J1599" s="8"/>
    </row>
    <row r="1600" spans="1:10" x14ac:dyDescent="0.15">
      <c r="A1600" s="7"/>
      <c r="B1600" s="8"/>
      <c r="C1600" s="8"/>
      <c r="D1600" s="9"/>
      <c r="E1600" s="8"/>
      <c r="F1600" s="8"/>
      <c r="G1600" s="8"/>
      <c r="H1600" s="8"/>
      <c r="I1600" s="10"/>
      <c r="J1600" s="8"/>
    </row>
    <row r="1601" spans="1:10" x14ac:dyDescent="0.15">
      <c r="A1601" s="7"/>
      <c r="B1601" s="8"/>
      <c r="C1601" s="8"/>
      <c r="D1601" s="9"/>
      <c r="E1601" s="8"/>
      <c r="F1601" s="8"/>
      <c r="G1601" s="8"/>
      <c r="H1601" s="8"/>
      <c r="I1601" s="10"/>
      <c r="J1601" s="8"/>
    </row>
    <row r="1602" spans="1:10" x14ac:dyDescent="0.15">
      <c r="A1602" s="7"/>
      <c r="B1602" s="8"/>
      <c r="C1602" s="8"/>
      <c r="D1602" s="9"/>
      <c r="E1602" s="8"/>
      <c r="F1602" s="8"/>
      <c r="G1602" s="8"/>
      <c r="H1602" s="8"/>
      <c r="I1602" s="10"/>
      <c r="J1602" s="8"/>
    </row>
    <row r="1603" spans="1:10" x14ac:dyDescent="0.15">
      <c r="A1603" s="7"/>
      <c r="B1603" s="8"/>
      <c r="C1603" s="8"/>
      <c r="D1603" s="9"/>
      <c r="E1603" s="8"/>
      <c r="F1603" s="8"/>
      <c r="G1603" s="8"/>
      <c r="H1603" s="8"/>
      <c r="I1603" s="10"/>
      <c r="J1603" s="8"/>
    </row>
    <row r="1604" spans="1:10" x14ac:dyDescent="0.15">
      <c r="A1604" s="7"/>
      <c r="B1604" s="8"/>
      <c r="C1604" s="8"/>
      <c r="D1604" s="9"/>
      <c r="E1604" s="8"/>
      <c r="F1604" s="8"/>
      <c r="G1604" s="8"/>
      <c r="H1604" s="8"/>
      <c r="I1604" s="10"/>
      <c r="J1604" s="8"/>
    </row>
    <row r="1605" spans="1:10" x14ac:dyDescent="0.15">
      <c r="A1605" s="7"/>
      <c r="B1605" s="8"/>
      <c r="C1605" s="8"/>
      <c r="D1605" s="9"/>
      <c r="E1605" s="8"/>
      <c r="F1605" s="8"/>
      <c r="G1605" s="8"/>
      <c r="H1605" s="8"/>
      <c r="I1605" s="10"/>
      <c r="J1605" s="8"/>
    </row>
    <row r="1606" spans="1:10" x14ac:dyDescent="0.15">
      <c r="A1606" s="7"/>
      <c r="B1606" s="8"/>
      <c r="C1606" s="8"/>
      <c r="D1606" s="9"/>
      <c r="E1606" s="8"/>
      <c r="F1606" s="8"/>
      <c r="G1606" s="8"/>
      <c r="H1606" s="8"/>
      <c r="I1606" s="10"/>
      <c r="J1606" s="8"/>
    </row>
    <row r="1607" spans="1:10" x14ac:dyDescent="0.15">
      <c r="A1607" s="7"/>
      <c r="B1607" s="8"/>
      <c r="C1607" s="8"/>
      <c r="D1607" s="9"/>
      <c r="E1607" s="8"/>
      <c r="F1607" s="8"/>
      <c r="G1607" s="8"/>
      <c r="H1607" s="8"/>
      <c r="I1607" s="10"/>
      <c r="J1607" s="8"/>
    </row>
    <row r="1608" spans="1:10" x14ac:dyDescent="0.15">
      <c r="A1608" s="7"/>
      <c r="B1608" s="8"/>
      <c r="C1608" s="8"/>
      <c r="D1608" s="9"/>
      <c r="E1608" s="8"/>
      <c r="F1608" s="8"/>
      <c r="G1608" s="8"/>
      <c r="H1608" s="8"/>
      <c r="I1608" s="10"/>
      <c r="J1608" s="8"/>
    </row>
    <row r="1609" spans="1:10" x14ac:dyDescent="0.15">
      <c r="A1609" s="7"/>
      <c r="B1609" s="8"/>
      <c r="C1609" s="8"/>
      <c r="D1609" s="9"/>
      <c r="E1609" s="8"/>
      <c r="F1609" s="8"/>
      <c r="G1609" s="8"/>
      <c r="H1609" s="8"/>
      <c r="I1609" s="10"/>
      <c r="J1609" s="8"/>
    </row>
    <row r="1610" spans="1:10" x14ac:dyDescent="0.15">
      <c r="A1610" s="7"/>
      <c r="B1610" s="8"/>
      <c r="C1610" s="8"/>
      <c r="D1610" s="9"/>
      <c r="E1610" s="8"/>
      <c r="F1610" s="8"/>
      <c r="G1610" s="8"/>
      <c r="H1610" s="8"/>
      <c r="I1610" s="10"/>
      <c r="J1610" s="8"/>
    </row>
    <row r="1611" spans="1:10" x14ac:dyDescent="0.15">
      <c r="A1611" s="7"/>
      <c r="B1611" s="8"/>
      <c r="C1611" s="8"/>
      <c r="D1611" s="9"/>
      <c r="E1611" s="8"/>
      <c r="F1611" s="8"/>
      <c r="G1611" s="8"/>
      <c r="H1611" s="8"/>
      <c r="I1611" s="10"/>
      <c r="J1611" s="8"/>
    </row>
    <row r="1612" spans="1:10" x14ac:dyDescent="0.15">
      <c r="A1612" s="7"/>
      <c r="B1612" s="8"/>
      <c r="C1612" s="8"/>
      <c r="D1612" s="9"/>
      <c r="E1612" s="8"/>
      <c r="F1612" s="8"/>
      <c r="G1612" s="8"/>
      <c r="H1612" s="8"/>
      <c r="I1612" s="10"/>
      <c r="J1612" s="8"/>
    </row>
    <row r="1613" spans="1:10" x14ac:dyDescent="0.15">
      <c r="A1613" s="7"/>
      <c r="B1613" s="8"/>
      <c r="C1613" s="8"/>
      <c r="D1613" s="9"/>
      <c r="E1613" s="8"/>
      <c r="F1613" s="8"/>
      <c r="G1613" s="8"/>
      <c r="H1613" s="8"/>
      <c r="I1613" s="10"/>
      <c r="J1613" s="8"/>
    </row>
    <row r="1614" spans="1:10" x14ac:dyDescent="0.15">
      <c r="A1614" s="7"/>
      <c r="B1614" s="8"/>
      <c r="C1614" s="8"/>
      <c r="D1614" s="9"/>
      <c r="E1614" s="8"/>
      <c r="F1614" s="8"/>
      <c r="G1614" s="8"/>
      <c r="H1614" s="8"/>
      <c r="I1614" s="10"/>
      <c r="J1614" s="8"/>
    </row>
    <row r="1615" spans="1:10" x14ac:dyDescent="0.15">
      <c r="A1615" s="7"/>
      <c r="B1615" s="8"/>
      <c r="C1615" s="8"/>
      <c r="D1615" s="9"/>
      <c r="E1615" s="8"/>
      <c r="F1615" s="8"/>
      <c r="G1615" s="8"/>
      <c r="H1615" s="8"/>
      <c r="I1615" s="10"/>
      <c r="J1615" s="8"/>
    </row>
    <row r="1616" spans="1:10" x14ac:dyDescent="0.15">
      <c r="A1616" s="7"/>
      <c r="B1616" s="8"/>
      <c r="C1616" s="8"/>
      <c r="D1616" s="9"/>
      <c r="E1616" s="8"/>
      <c r="F1616" s="8"/>
      <c r="G1616" s="8"/>
      <c r="H1616" s="8"/>
      <c r="I1616" s="10"/>
      <c r="J1616" s="8"/>
    </row>
    <row r="1617" spans="1:10" x14ac:dyDescent="0.15">
      <c r="A1617" s="7"/>
      <c r="B1617" s="8"/>
      <c r="C1617" s="8"/>
      <c r="D1617" s="9"/>
      <c r="E1617" s="8"/>
      <c r="F1617" s="8"/>
      <c r="G1617" s="8"/>
      <c r="H1617" s="8"/>
      <c r="I1617" s="10"/>
      <c r="J1617" s="8"/>
    </row>
    <row r="1618" spans="1:10" x14ac:dyDescent="0.15">
      <c r="A1618" s="7"/>
      <c r="B1618" s="8"/>
      <c r="C1618" s="8"/>
      <c r="D1618" s="9"/>
      <c r="E1618" s="8"/>
      <c r="F1618" s="8"/>
      <c r="G1618" s="8"/>
      <c r="H1618" s="8"/>
      <c r="I1618" s="10"/>
      <c r="J1618" s="8"/>
    </row>
    <row r="1619" spans="1:10" x14ac:dyDescent="0.15">
      <c r="A1619" s="7"/>
      <c r="B1619" s="8"/>
      <c r="C1619" s="8"/>
      <c r="D1619" s="9"/>
      <c r="E1619" s="8"/>
      <c r="F1619" s="8"/>
      <c r="G1619" s="8"/>
      <c r="H1619" s="8"/>
      <c r="I1619" s="10"/>
      <c r="J1619" s="8"/>
    </row>
    <row r="1620" spans="1:10" x14ac:dyDescent="0.15">
      <c r="A1620" s="7"/>
      <c r="B1620" s="8"/>
      <c r="C1620" s="8"/>
      <c r="D1620" s="9"/>
      <c r="E1620" s="8"/>
      <c r="F1620" s="8"/>
      <c r="G1620" s="8"/>
      <c r="H1620" s="8"/>
      <c r="I1620" s="10"/>
      <c r="J1620" s="8"/>
    </row>
    <row r="1621" spans="1:10" x14ac:dyDescent="0.15">
      <c r="A1621" s="7"/>
      <c r="B1621" s="8"/>
      <c r="C1621" s="8"/>
      <c r="D1621" s="9"/>
      <c r="E1621" s="8"/>
      <c r="F1621" s="8"/>
      <c r="G1621" s="8"/>
      <c r="H1621" s="8"/>
      <c r="I1621" s="10"/>
      <c r="J1621" s="8"/>
    </row>
    <row r="1622" spans="1:10" x14ac:dyDescent="0.15">
      <c r="A1622" s="7"/>
      <c r="B1622" s="8"/>
      <c r="C1622" s="8"/>
      <c r="D1622" s="9"/>
      <c r="E1622" s="8"/>
      <c r="F1622" s="8"/>
      <c r="G1622" s="8"/>
      <c r="H1622" s="8"/>
      <c r="I1622" s="10"/>
      <c r="J1622" s="8"/>
    </row>
    <row r="1623" spans="1:10" x14ac:dyDescent="0.15">
      <c r="A1623" s="7"/>
      <c r="B1623" s="8"/>
      <c r="C1623" s="8"/>
      <c r="D1623" s="9"/>
      <c r="E1623" s="8"/>
      <c r="F1623" s="8"/>
      <c r="G1623" s="8"/>
      <c r="H1623" s="8"/>
      <c r="I1623" s="10"/>
      <c r="J1623" s="8"/>
    </row>
    <row r="1624" spans="1:10" x14ac:dyDescent="0.15">
      <c r="A1624" s="7"/>
      <c r="B1624" s="8"/>
      <c r="C1624" s="8"/>
      <c r="D1624" s="9"/>
      <c r="E1624" s="8"/>
      <c r="F1624" s="8"/>
      <c r="G1624" s="8"/>
      <c r="H1624" s="8"/>
      <c r="I1624" s="10"/>
      <c r="J1624" s="8"/>
    </row>
    <row r="1625" spans="1:10" x14ac:dyDescent="0.15">
      <c r="A1625" s="7"/>
      <c r="B1625" s="8"/>
      <c r="C1625" s="8"/>
      <c r="D1625" s="9"/>
      <c r="E1625" s="8"/>
      <c r="F1625" s="8"/>
      <c r="G1625" s="8"/>
      <c r="H1625" s="8"/>
      <c r="I1625" s="10"/>
      <c r="J1625" s="8"/>
    </row>
    <row r="1626" spans="1:10" x14ac:dyDescent="0.15">
      <c r="A1626" s="7"/>
      <c r="B1626" s="8"/>
      <c r="C1626" s="8"/>
      <c r="D1626" s="9"/>
      <c r="E1626" s="8"/>
      <c r="F1626" s="8"/>
      <c r="G1626" s="8"/>
      <c r="H1626" s="8"/>
      <c r="I1626" s="10"/>
      <c r="J1626" s="8"/>
    </row>
    <row r="1627" spans="1:10" x14ac:dyDescent="0.15">
      <c r="A1627" s="7"/>
      <c r="B1627" s="8"/>
      <c r="C1627" s="8"/>
      <c r="D1627" s="9"/>
      <c r="E1627" s="8"/>
      <c r="F1627" s="8"/>
      <c r="G1627" s="8"/>
      <c r="H1627" s="8"/>
      <c r="I1627" s="10"/>
      <c r="J1627" s="8"/>
    </row>
    <row r="1628" spans="1:10" x14ac:dyDescent="0.15">
      <c r="A1628" s="7"/>
      <c r="B1628" s="8"/>
      <c r="C1628" s="8"/>
      <c r="D1628" s="9"/>
      <c r="E1628" s="8"/>
      <c r="F1628" s="8"/>
      <c r="G1628" s="8"/>
      <c r="H1628" s="8"/>
      <c r="I1628" s="10"/>
      <c r="J1628" s="8"/>
    </row>
    <row r="1629" spans="1:10" x14ac:dyDescent="0.15">
      <c r="A1629" s="7"/>
      <c r="B1629" s="8"/>
      <c r="C1629" s="8"/>
      <c r="D1629" s="9"/>
      <c r="E1629" s="8"/>
      <c r="F1629" s="8"/>
      <c r="G1629" s="8"/>
      <c r="H1629" s="8"/>
      <c r="I1629" s="10"/>
      <c r="J1629" s="8"/>
    </row>
    <row r="1630" spans="1:10" x14ac:dyDescent="0.15">
      <c r="A1630" s="7"/>
      <c r="B1630" s="8"/>
      <c r="C1630" s="8"/>
      <c r="D1630" s="9"/>
      <c r="E1630" s="8"/>
      <c r="F1630" s="8"/>
      <c r="G1630" s="8"/>
      <c r="H1630" s="8"/>
      <c r="I1630" s="10"/>
      <c r="J1630" s="8"/>
    </row>
    <row r="1631" spans="1:10" x14ac:dyDescent="0.15">
      <c r="A1631" s="7"/>
      <c r="B1631" s="8"/>
      <c r="C1631" s="8"/>
      <c r="D1631" s="9"/>
      <c r="E1631" s="8"/>
      <c r="F1631" s="8"/>
      <c r="G1631" s="8"/>
      <c r="H1631" s="8"/>
      <c r="I1631" s="10"/>
      <c r="J1631" s="8"/>
    </row>
    <row r="1632" spans="1:10" x14ac:dyDescent="0.15">
      <c r="A1632" s="7"/>
      <c r="B1632" s="8"/>
      <c r="C1632" s="8"/>
      <c r="D1632" s="9"/>
      <c r="E1632" s="8"/>
      <c r="F1632" s="8"/>
      <c r="G1632" s="8"/>
      <c r="H1632" s="8"/>
      <c r="I1632" s="10"/>
      <c r="J1632" s="8"/>
    </row>
    <row r="1633" spans="1:10" x14ac:dyDescent="0.15">
      <c r="A1633" s="7"/>
      <c r="B1633" s="8"/>
      <c r="C1633" s="8"/>
      <c r="D1633" s="9"/>
      <c r="E1633" s="8"/>
      <c r="F1633" s="8"/>
      <c r="G1633" s="8"/>
      <c r="H1633" s="8"/>
      <c r="I1633" s="10"/>
      <c r="J1633" s="8"/>
    </row>
    <row r="1634" spans="1:10" x14ac:dyDescent="0.15">
      <c r="A1634" s="7"/>
      <c r="B1634" s="8"/>
      <c r="C1634" s="8"/>
      <c r="D1634" s="9"/>
      <c r="E1634" s="8"/>
      <c r="F1634" s="8"/>
      <c r="G1634" s="8"/>
      <c r="H1634" s="8"/>
      <c r="I1634" s="10"/>
      <c r="J1634" s="8"/>
    </row>
    <row r="1635" spans="1:10" x14ac:dyDescent="0.15">
      <c r="A1635" s="7"/>
      <c r="B1635" s="8"/>
      <c r="C1635" s="8"/>
      <c r="D1635" s="9"/>
      <c r="E1635" s="8"/>
      <c r="F1635" s="8"/>
      <c r="G1635" s="8"/>
      <c r="H1635" s="8"/>
      <c r="I1635" s="10"/>
      <c r="J1635" s="8"/>
    </row>
    <row r="1636" spans="1:10" x14ac:dyDescent="0.15">
      <c r="A1636" s="7"/>
      <c r="B1636" s="8"/>
      <c r="C1636" s="8"/>
      <c r="D1636" s="9"/>
      <c r="E1636" s="8"/>
      <c r="F1636" s="8"/>
      <c r="G1636" s="8"/>
      <c r="H1636" s="8"/>
      <c r="I1636" s="10"/>
      <c r="J1636" s="8"/>
    </row>
    <row r="1637" spans="1:10" x14ac:dyDescent="0.15">
      <c r="A1637" s="7"/>
      <c r="B1637" s="8"/>
      <c r="C1637" s="8"/>
      <c r="D1637" s="9"/>
      <c r="E1637" s="8"/>
      <c r="F1637" s="8"/>
      <c r="G1637" s="8"/>
      <c r="H1637" s="8"/>
      <c r="I1637" s="10"/>
      <c r="J1637" s="8"/>
    </row>
    <row r="1638" spans="1:10" x14ac:dyDescent="0.15">
      <c r="A1638" s="7"/>
      <c r="B1638" s="8"/>
      <c r="C1638" s="8"/>
      <c r="D1638" s="9"/>
      <c r="E1638" s="8"/>
      <c r="F1638" s="8"/>
      <c r="G1638" s="8"/>
      <c r="H1638" s="8"/>
      <c r="I1638" s="10"/>
      <c r="J1638" s="8"/>
    </row>
    <row r="1639" spans="1:10" x14ac:dyDescent="0.15">
      <c r="A1639" s="7"/>
      <c r="B1639" s="8"/>
      <c r="C1639" s="8"/>
      <c r="D1639" s="9"/>
      <c r="E1639" s="8"/>
      <c r="F1639" s="8"/>
      <c r="G1639" s="8"/>
      <c r="H1639" s="8"/>
      <c r="I1639" s="10"/>
      <c r="J1639" s="8"/>
    </row>
    <row r="1640" spans="1:10" x14ac:dyDescent="0.15">
      <c r="A1640" s="7"/>
      <c r="B1640" s="8"/>
      <c r="C1640" s="8"/>
      <c r="D1640" s="9"/>
      <c r="E1640" s="8"/>
      <c r="F1640" s="8"/>
      <c r="G1640" s="8"/>
      <c r="H1640" s="8"/>
      <c r="I1640" s="10"/>
      <c r="J1640" s="8"/>
    </row>
    <row r="1641" spans="1:10" x14ac:dyDescent="0.15">
      <c r="A1641" s="7"/>
      <c r="B1641" s="8"/>
      <c r="C1641" s="8"/>
      <c r="D1641" s="9"/>
      <c r="E1641" s="8"/>
      <c r="F1641" s="8"/>
      <c r="G1641" s="8"/>
      <c r="H1641" s="8"/>
      <c r="I1641" s="10"/>
      <c r="J1641" s="8"/>
    </row>
    <row r="1642" spans="1:10" x14ac:dyDescent="0.15">
      <c r="A1642" s="7"/>
      <c r="B1642" s="8"/>
      <c r="C1642" s="8"/>
      <c r="D1642" s="9"/>
      <c r="E1642" s="8"/>
      <c r="F1642" s="8"/>
      <c r="G1642" s="8"/>
      <c r="H1642" s="8"/>
      <c r="I1642" s="10"/>
      <c r="J1642" s="8"/>
    </row>
    <row r="1643" spans="1:10" x14ac:dyDescent="0.15">
      <c r="A1643" s="7"/>
      <c r="B1643" s="8"/>
      <c r="C1643" s="8"/>
      <c r="D1643" s="9"/>
      <c r="E1643" s="8"/>
      <c r="F1643" s="8"/>
      <c r="G1643" s="8"/>
      <c r="H1643" s="8"/>
      <c r="I1643" s="10"/>
      <c r="J1643" s="8"/>
    </row>
    <row r="1644" spans="1:10" x14ac:dyDescent="0.15">
      <c r="A1644" s="7"/>
      <c r="B1644" s="8"/>
      <c r="C1644" s="8"/>
      <c r="D1644" s="9"/>
      <c r="E1644" s="8"/>
      <c r="F1644" s="8"/>
      <c r="G1644" s="8"/>
      <c r="H1644" s="8"/>
      <c r="I1644" s="10"/>
      <c r="J1644" s="8"/>
    </row>
    <row r="1645" spans="1:10" x14ac:dyDescent="0.15">
      <c r="A1645" s="7"/>
      <c r="B1645" s="8"/>
      <c r="C1645" s="8"/>
      <c r="D1645" s="9"/>
      <c r="E1645" s="8"/>
      <c r="F1645" s="8"/>
      <c r="G1645" s="8"/>
      <c r="H1645" s="8"/>
      <c r="I1645" s="10"/>
      <c r="J1645" s="8"/>
    </row>
    <row r="1646" spans="1:10" x14ac:dyDescent="0.15">
      <c r="A1646" s="7"/>
      <c r="B1646" s="8"/>
      <c r="C1646" s="8"/>
      <c r="D1646" s="9"/>
      <c r="E1646" s="8"/>
      <c r="F1646" s="8"/>
      <c r="G1646" s="8"/>
      <c r="H1646" s="8"/>
      <c r="I1646" s="10"/>
      <c r="J1646" s="8"/>
    </row>
    <row r="1647" spans="1:10" x14ac:dyDescent="0.15">
      <c r="A1647" s="7"/>
      <c r="B1647" s="8"/>
      <c r="C1647" s="8"/>
      <c r="D1647" s="9"/>
      <c r="E1647" s="8"/>
      <c r="F1647" s="8"/>
      <c r="G1647" s="8"/>
      <c r="H1647" s="8"/>
      <c r="I1647" s="10"/>
      <c r="J1647" s="8"/>
    </row>
    <row r="1648" spans="1:10" x14ac:dyDescent="0.15">
      <c r="A1648" s="7"/>
      <c r="B1648" s="8"/>
      <c r="C1648" s="8"/>
      <c r="D1648" s="9"/>
      <c r="E1648" s="8"/>
      <c r="F1648" s="8"/>
      <c r="G1648" s="8"/>
      <c r="H1648" s="8"/>
      <c r="I1648" s="10"/>
      <c r="J1648" s="8"/>
    </row>
    <row r="1649" spans="1:10" x14ac:dyDescent="0.15">
      <c r="A1649" s="7"/>
      <c r="B1649" s="8"/>
      <c r="C1649" s="8"/>
      <c r="D1649" s="9"/>
      <c r="E1649" s="8"/>
      <c r="F1649" s="8"/>
      <c r="G1649" s="8"/>
      <c r="H1649" s="8"/>
      <c r="I1649" s="10"/>
      <c r="J1649" s="8"/>
    </row>
    <row r="1650" spans="1:10" x14ac:dyDescent="0.15">
      <c r="A1650" s="7"/>
      <c r="B1650" s="8"/>
      <c r="C1650" s="8"/>
      <c r="D1650" s="9"/>
      <c r="E1650" s="8"/>
      <c r="F1650" s="8"/>
      <c r="G1650" s="8"/>
      <c r="H1650" s="8"/>
      <c r="I1650" s="10"/>
      <c r="J1650" s="8"/>
    </row>
    <row r="1651" spans="1:10" x14ac:dyDescent="0.15">
      <c r="A1651" s="7"/>
      <c r="B1651" s="8"/>
      <c r="C1651" s="8"/>
      <c r="D1651" s="9"/>
      <c r="E1651" s="8"/>
      <c r="F1651" s="8"/>
      <c r="G1651" s="8"/>
      <c r="H1651" s="8"/>
      <c r="I1651" s="10"/>
      <c r="J1651" s="8"/>
    </row>
    <row r="1652" spans="1:10" x14ac:dyDescent="0.15">
      <c r="A1652" s="7"/>
      <c r="B1652" s="8"/>
      <c r="C1652" s="8"/>
      <c r="D1652" s="9"/>
      <c r="E1652" s="8"/>
      <c r="F1652" s="8"/>
      <c r="G1652" s="8"/>
      <c r="H1652" s="8"/>
      <c r="I1652" s="10"/>
      <c r="J1652" s="8"/>
    </row>
    <row r="1653" spans="1:10" x14ac:dyDescent="0.15">
      <c r="A1653" s="7"/>
      <c r="B1653" s="8"/>
      <c r="C1653" s="8"/>
      <c r="D1653" s="9"/>
      <c r="E1653" s="8"/>
      <c r="F1653" s="8"/>
      <c r="G1653" s="8"/>
      <c r="H1653" s="8"/>
      <c r="I1653" s="10"/>
      <c r="J1653" s="8"/>
    </row>
    <row r="1654" spans="1:10" x14ac:dyDescent="0.15">
      <c r="A1654" s="7"/>
      <c r="B1654" s="8"/>
      <c r="C1654" s="8"/>
      <c r="D1654" s="9"/>
      <c r="E1654" s="8"/>
      <c r="F1654" s="8"/>
      <c r="G1654" s="8"/>
      <c r="H1654" s="8"/>
      <c r="I1654" s="10"/>
      <c r="J1654" s="8"/>
    </row>
    <row r="1655" spans="1:10" x14ac:dyDescent="0.15">
      <c r="A1655" s="7"/>
      <c r="B1655" s="8"/>
      <c r="C1655" s="8"/>
      <c r="D1655" s="9"/>
      <c r="E1655" s="8"/>
      <c r="F1655" s="8"/>
      <c r="G1655" s="8"/>
      <c r="H1655" s="8"/>
      <c r="I1655" s="10"/>
      <c r="J1655" s="8"/>
    </row>
    <row r="1656" spans="1:10" x14ac:dyDescent="0.15">
      <c r="A1656" s="7"/>
      <c r="B1656" s="8"/>
      <c r="C1656" s="8"/>
      <c r="D1656" s="9"/>
      <c r="E1656" s="8"/>
      <c r="F1656" s="8"/>
      <c r="G1656" s="8"/>
      <c r="H1656" s="8"/>
      <c r="I1656" s="10"/>
      <c r="J1656" s="8"/>
    </row>
    <row r="1657" spans="1:10" x14ac:dyDescent="0.15">
      <c r="A1657" s="7"/>
      <c r="B1657" s="8"/>
      <c r="C1657" s="8"/>
      <c r="D1657" s="9"/>
      <c r="E1657" s="8"/>
      <c r="F1657" s="8"/>
      <c r="G1657" s="8"/>
      <c r="H1657" s="8"/>
      <c r="I1657" s="10"/>
      <c r="J1657" s="8"/>
    </row>
    <row r="1658" spans="1:10" x14ac:dyDescent="0.15">
      <c r="A1658" s="7"/>
      <c r="B1658" s="8"/>
      <c r="C1658" s="8"/>
      <c r="D1658" s="9"/>
      <c r="E1658" s="8"/>
      <c r="F1658" s="8"/>
      <c r="G1658" s="8"/>
      <c r="H1658" s="8"/>
      <c r="I1658" s="10"/>
      <c r="J1658" s="8"/>
    </row>
    <row r="1659" spans="1:10" x14ac:dyDescent="0.15">
      <c r="A1659" s="7"/>
      <c r="B1659" s="8"/>
      <c r="C1659" s="8"/>
      <c r="D1659" s="9"/>
      <c r="E1659" s="8"/>
      <c r="F1659" s="8"/>
      <c r="G1659" s="8"/>
      <c r="H1659" s="8"/>
      <c r="I1659" s="10"/>
      <c r="J1659" s="8"/>
    </row>
    <row r="1660" spans="1:10" x14ac:dyDescent="0.15">
      <c r="A1660" s="7"/>
      <c r="B1660" s="8"/>
      <c r="C1660" s="8"/>
      <c r="D1660" s="9"/>
      <c r="E1660" s="8"/>
      <c r="F1660" s="8"/>
      <c r="G1660" s="8"/>
      <c r="H1660" s="8"/>
      <c r="I1660" s="10"/>
      <c r="J1660" s="8"/>
    </row>
    <row r="1661" spans="1:10" x14ac:dyDescent="0.15">
      <c r="A1661" s="7"/>
      <c r="B1661" s="8"/>
      <c r="C1661" s="8"/>
      <c r="D1661" s="9"/>
      <c r="E1661" s="8"/>
      <c r="F1661" s="8"/>
      <c r="G1661" s="8"/>
      <c r="H1661" s="8"/>
      <c r="I1661" s="10"/>
      <c r="J1661" s="8"/>
    </row>
    <row r="1662" spans="1:10" x14ac:dyDescent="0.15">
      <c r="A1662" s="7"/>
      <c r="B1662" s="8"/>
      <c r="C1662" s="8"/>
      <c r="D1662" s="9"/>
      <c r="E1662" s="8"/>
      <c r="F1662" s="8"/>
      <c r="G1662" s="8"/>
      <c r="H1662" s="8"/>
      <c r="I1662" s="10"/>
      <c r="J1662" s="8"/>
    </row>
    <row r="1663" spans="1:10" x14ac:dyDescent="0.15">
      <c r="A1663" s="7"/>
      <c r="B1663" s="8"/>
      <c r="C1663" s="8"/>
      <c r="D1663" s="9"/>
      <c r="E1663" s="8"/>
      <c r="F1663" s="8"/>
      <c r="G1663" s="8"/>
      <c r="H1663" s="8"/>
      <c r="I1663" s="10"/>
      <c r="J1663" s="8"/>
    </row>
    <row r="1664" spans="1:10" x14ac:dyDescent="0.15">
      <c r="A1664" s="7"/>
      <c r="B1664" s="8"/>
      <c r="C1664" s="8"/>
      <c r="D1664" s="9"/>
      <c r="E1664" s="8"/>
      <c r="F1664" s="8"/>
      <c r="G1664" s="8"/>
      <c r="H1664" s="8"/>
      <c r="I1664" s="10"/>
      <c r="J1664" s="8"/>
    </row>
    <row r="1665" spans="1:10" x14ac:dyDescent="0.15">
      <c r="A1665" s="7"/>
      <c r="B1665" s="8"/>
      <c r="C1665" s="8"/>
      <c r="D1665" s="9"/>
      <c r="E1665" s="8"/>
      <c r="F1665" s="8"/>
      <c r="G1665" s="8"/>
      <c r="H1665" s="8"/>
      <c r="I1665" s="10"/>
      <c r="J1665" s="8"/>
    </row>
    <row r="1666" spans="1:10" x14ac:dyDescent="0.15">
      <c r="A1666" s="7"/>
      <c r="B1666" s="8"/>
      <c r="C1666" s="8"/>
      <c r="D1666" s="9"/>
      <c r="E1666" s="8"/>
      <c r="F1666" s="8"/>
      <c r="G1666" s="8"/>
      <c r="H1666" s="8"/>
      <c r="I1666" s="10"/>
      <c r="J1666" s="8"/>
    </row>
    <row r="1667" spans="1:10" x14ac:dyDescent="0.15">
      <c r="A1667" s="7"/>
      <c r="B1667" s="8"/>
      <c r="C1667" s="8"/>
      <c r="D1667" s="9"/>
      <c r="E1667" s="8"/>
      <c r="F1667" s="8"/>
      <c r="G1667" s="8"/>
      <c r="H1667" s="8"/>
      <c r="I1667" s="10"/>
      <c r="J1667" s="8"/>
    </row>
    <row r="1668" spans="1:10" x14ac:dyDescent="0.15">
      <c r="A1668" s="7"/>
      <c r="B1668" s="8"/>
      <c r="C1668" s="8"/>
      <c r="D1668" s="9"/>
      <c r="E1668" s="8"/>
      <c r="F1668" s="8"/>
      <c r="G1668" s="8"/>
      <c r="H1668" s="8"/>
      <c r="I1668" s="10"/>
      <c r="J1668" s="8"/>
    </row>
    <row r="1669" spans="1:10" x14ac:dyDescent="0.15">
      <c r="A1669" s="7"/>
      <c r="B1669" s="8"/>
      <c r="C1669" s="8"/>
      <c r="D1669" s="9"/>
      <c r="E1669" s="8"/>
      <c r="F1669" s="8"/>
      <c r="G1669" s="8"/>
      <c r="H1669" s="8"/>
      <c r="I1669" s="10"/>
      <c r="J1669" s="8"/>
    </row>
    <row r="1670" spans="1:10" x14ac:dyDescent="0.15">
      <c r="A1670" s="7"/>
      <c r="B1670" s="8"/>
      <c r="C1670" s="8"/>
      <c r="D1670" s="9"/>
      <c r="E1670" s="8"/>
      <c r="F1670" s="8"/>
      <c r="G1670" s="8"/>
      <c r="H1670" s="8"/>
      <c r="I1670" s="10"/>
      <c r="J1670" s="8"/>
    </row>
    <row r="1671" spans="1:10" x14ac:dyDescent="0.15">
      <c r="A1671" s="7"/>
      <c r="B1671" s="8"/>
      <c r="C1671" s="8"/>
      <c r="D1671" s="9"/>
      <c r="E1671" s="8"/>
      <c r="F1671" s="8"/>
      <c r="G1671" s="8"/>
      <c r="H1671" s="8"/>
      <c r="I1671" s="10"/>
      <c r="J1671" s="8"/>
    </row>
    <row r="1672" spans="1:10" x14ac:dyDescent="0.15">
      <c r="A1672" s="7"/>
      <c r="B1672" s="8"/>
      <c r="C1672" s="8"/>
      <c r="D1672" s="9"/>
      <c r="E1672" s="8"/>
      <c r="F1672" s="8"/>
      <c r="G1672" s="8"/>
      <c r="H1672" s="8"/>
      <c r="I1672" s="10"/>
      <c r="J1672" s="8"/>
    </row>
    <row r="1673" spans="1:10" x14ac:dyDescent="0.15">
      <c r="A1673" s="7"/>
      <c r="B1673" s="8"/>
      <c r="C1673" s="8"/>
      <c r="D1673" s="9"/>
      <c r="E1673" s="8"/>
      <c r="F1673" s="8"/>
      <c r="G1673" s="8"/>
      <c r="H1673" s="8"/>
      <c r="I1673" s="10"/>
      <c r="J1673" s="8"/>
    </row>
    <row r="1674" spans="1:10" x14ac:dyDescent="0.15">
      <c r="A1674" s="7"/>
      <c r="B1674" s="8"/>
      <c r="C1674" s="8"/>
      <c r="D1674" s="9"/>
      <c r="E1674" s="8"/>
      <c r="F1674" s="8"/>
      <c r="G1674" s="8"/>
      <c r="H1674" s="8"/>
      <c r="I1674" s="10"/>
      <c r="J1674" s="8"/>
    </row>
    <row r="1675" spans="1:10" x14ac:dyDescent="0.15">
      <c r="A1675" s="7"/>
      <c r="B1675" s="8"/>
      <c r="C1675" s="8"/>
      <c r="D1675" s="9"/>
      <c r="E1675" s="8"/>
      <c r="F1675" s="8"/>
      <c r="G1675" s="8"/>
      <c r="H1675" s="8"/>
      <c r="I1675" s="10"/>
      <c r="J1675" s="8"/>
    </row>
    <row r="1676" spans="1:10" x14ac:dyDescent="0.15">
      <c r="A1676" s="7"/>
      <c r="B1676" s="8"/>
      <c r="C1676" s="8"/>
      <c r="D1676" s="9"/>
      <c r="E1676" s="8"/>
      <c r="F1676" s="8"/>
      <c r="G1676" s="8"/>
      <c r="H1676" s="8"/>
      <c r="I1676" s="10"/>
      <c r="J1676" s="8"/>
    </row>
    <row r="1677" spans="1:10" x14ac:dyDescent="0.15">
      <c r="A1677" s="7"/>
      <c r="B1677" s="8"/>
      <c r="C1677" s="8"/>
      <c r="D1677" s="9"/>
      <c r="E1677" s="8"/>
      <c r="F1677" s="8"/>
      <c r="G1677" s="8"/>
      <c r="H1677" s="8"/>
      <c r="I1677" s="10"/>
      <c r="J1677" s="8"/>
    </row>
    <row r="1678" spans="1:10" x14ac:dyDescent="0.15">
      <c r="A1678" s="7"/>
      <c r="B1678" s="8"/>
      <c r="C1678" s="8"/>
      <c r="D1678" s="9"/>
      <c r="E1678" s="8"/>
      <c r="F1678" s="8"/>
      <c r="G1678" s="8"/>
      <c r="H1678" s="8"/>
      <c r="I1678" s="10"/>
      <c r="J1678" s="8"/>
    </row>
    <row r="1679" spans="1:10" x14ac:dyDescent="0.15">
      <c r="A1679" s="7"/>
      <c r="B1679" s="8"/>
      <c r="C1679" s="8"/>
      <c r="D1679" s="9"/>
      <c r="E1679" s="8"/>
      <c r="F1679" s="8"/>
      <c r="G1679" s="8"/>
      <c r="H1679" s="8"/>
      <c r="I1679" s="10"/>
      <c r="J1679" s="8"/>
    </row>
    <row r="1680" spans="1:10" x14ac:dyDescent="0.15">
      <c r="A1680" s="7"/>
      <c r="B1680" s="8"/>
      <c r="C1680" s="8"/>
      <c r="D1680" s="9"/>
      <c r="E1680" s="8"/>
      <c r="F1680" s="8"/>
      <c r="G1680" s="8"/>
      <c r="H1680" s="8"/>
      <c r="I1680" s="10"/>
      <c r="J1680" s="8"/>
    </row>
    <row r="1681" spans="1:10" x14ac:dyDescent="0.15">
      <c r="A1681" s="7"/>
      <c r="B1681" s="8"/>
      <c r="C1681" s="8"/>
      <c r="D1681" s="9"/>
      <c r="E1681" s="8"/>
      <c r="F1681" s="8"/>
      <c r="G1681" s="8"/>
      <c r="H1681" s="8"/>
      <c r="I1681" s="10"/>
      <c r="J1681" s="8"/>
    </row>
    <row r="1682" spans="1:10" x14ac:dyDescent="0.15">
      <c r="A1682" s="7"/>
      <c r="B1682" s="8"/>
      <c r="C1682" s="8"/>
      <c r="D1682" s="9"/>
      <c r="E1682" s="8"/>
      <c r="F1682" s="8"/>
      <c r="G1682" s="8"/>
      <c r="H1682" s="8"/>
      <c r="I1682" s="10"/>
      <c r="J1682" s="8"/>
    </row>
    <row r="1683" spans="1:10" x14ac:dyDescent="0.15">
      <c r="A1683" s="7"/>
      <c r="B1683" s="8"/>
      <c r="C1683" s="8"/>
      <c r="D1683" s="9"/>
      <c r="E1683" s="8"/>
      <c r="F1683" s="8"/>
      <c r="G1683" s="8"/>
      <c r="H1683" s="8"/>
      <c r="I1683" s="10"/>
      <c r="J1683" s="8"/>
    </row>
    <row r="1684" spans="1:10" x14ac:dyDescent="0.15">
      <c r="A1684" s="7"/>
      <c r="B1684" s="8"/>
      <c r="C1684" s="8"/>
      <c r="D1684" s="9"/>
      <c r="E1684" s="8"/>
      <c r="F1684" s="8"/>
      <c r="G1684" s="8"/>
      <c r="H1684" s="8"/>
      <c r="I1684" s="10"/>
      <c r="J1684" s="8"/>
    </row>
    <row r="1685" spans="1:10" x14ac:dyDescent="0.15">
      <c r="A1685" s="7"/>
      <c r="B1685" s="8"/>
      <c r="C1685" s="8"/>
      <c r="D1685" s="9"/>
      <c r="E1685" s="8"/>
      <c r="F1685" s="8"/>
      <c r="G1685" s="8"/>
      <c r="H1685" s="8"/>
      <c r="I1685" s="10"/>
      <c r="J1685" s="8"/>
    </row>
    <row r="1686" spans="1:10" x14ac:dyDescent="0.15">
      <c r="A1686" s="7"/>
      <c r="B1686" s="8"/>
      <c r="C1686" s="8"/>
      <c r="D1686" s="9"/>
      <c r="E1686" s="8"/>
      <c r="F1686" s="8"/>
      <c r="G1686" s="8"/>
      <c r="H1686" s="8"/>
      <c r="I1686" s="10"/>
      <c r="J1686" s="8"/>
    </row>
    <row r="1687" spans="1:10" x14ac:dyDescent="0.15">
      <c r="A1687" s="7"/>
      <c r="B1687" s="8"/>
      <c r="C1687" s="8"/>
      <c r="D1687" s="9"/>
      <c r="E1687" s="8"/>
      <c r="F1687" s="8"/>
      <c r="G1687" s="8"/>
      <c r="H1687" s="8"/>
      <c r="I1687" s="10"/>
      <c r="J1687" s="8"/>
    </row>
    <row r="1688" spans="1:10" x14ac:dyDescent="0.15">
      <c r="A1688" s="7"/>
      <c r="B1688" s="8"/>
      <c r="C1688" s="8"/>
      <c r="D1688" s="9"/>
      <c r="E1688" s="8"/>
      <c r="F1688" s="8"/>
      <c r="G1688" s="8"/>
      <c r="H1688" s="8"/>
      <c r="I1688" s="10"/>
      <c r="J1688" s="8"/>
    </row>
    <row r="1689" spans="1:10" x14ac:dyDescent="0.15">
      <c r="A1689" s="7"/>
      <c r="B1689" s="8"/>
      <c r="C1689" s="8"/>
      <c r="D1689" s="9"/>
      <c r="E1689" s="8"/>
      <c r="F1689" s="8"/>
      <c r="G1689" s="8"/>
      <c r="H1689" s="8"/>
      <c r="I1689" s="10"/>
      <c r="J1689" s="8"/>
    </row>
    <row r="1690" spans="1:10" x14ac:dyDescent="0.15">
      <c r="A1690" s="7"/>
      <c r="B1690" s="8"/>
      <c r="C1690" s="8"/>
      <c r="D1690" s="9"/>
      <c r="E1690" s="8"/>
      <c r="F1690" s="8"/>
      <c r="G1690" s="8"/>
      <c r="H1690" s="8"/>
      <c r="I1690" s="10"/>
      <c r="J1690" s="8"/>
    </row>
    <row r="1691" spans="1:10" x14ac:dyDescent="0.15">
      <c r="A1691" s="7"/>
      <c r="B1691" s="8"/>
      <c r="C1691" s="8"/>
      <c r="D1691" s="9"/>
      <c r="E1691" s="8"/>
      <c r="F1691" s="8"/>
      <c r="G1691" s="8"/>
      <c r="H1691" s="8"/>
      <c r="I1691" s="10"/>
      <c r="J1691" s="8"/>
    </row>
    <row r="1692" spans="1:10" x14ac:dyDescent="0.15">
      <c r="A1692" s="7"/>
      <c r="B1692" s="8"/>
      <c r="C1692" s="8"/>
      <c r="D1692" s="9"/>
      <c r="E1692" s="8"/>
      <c r="F1692" s="8"/>
      <c r="G1692" s="8"/>
      <c r="H1692" s="8"/>
      <c r="I1692" s="10"/>
      <c r="J1692" s="8"/>
    </row>
    <row r="1693" spans="1:10" x14ac:dyDescent="0.15">
      <c r="A1693" s="7"/>
      <c r="B1693" s="8"/>
      <c r="C1693" s="8"/>
      <c r="D1693" s="9"/>
      <c r="E1693" s="8"/>
      <c r="F1693" s="8"/>
      <c r="G1693" s="8"/>
      <c r="H1693" s="8"/>
      <c r="I1693" s="10"/>
      <c r="J1693" s="8"/>
    </row>
    <row r="1694" spans="1:10" x14ac:dyDescent="0.15">
      <c r="A1694" s="7"/>
      <c r="B1694" s="8"/>
      <c r="C1694" s="8"/>
      <c r="D1694" s="9"/>
      <c r="E1694" s="8"/>
      <c r="F1694" s="8"/>
      <c r="G1694" s="8"/>
      <c r="H1694" s="8"/>
      <c r="I1694" s="10"/>
      <c r="J1694" s="8"/>
    </row>
    <row r="1695" spans="1:10" x14ac:dyDescent="0.15">
      <c r="A1695" s="7"/>
      <c r="B1695" s="8"/>
      <c r="C1695" s="8"/>
      <c r="D1695" s="9"/>
      <c r="E1695" s="8"/>
      <c r="F1695" s="8"/>
      <c r="G1695" s="8"/>
      <c r="H1695" s="8"/>
      <c r="I1695" s="10"/>
      <c r="J1695" s="8"/>
    </row>
    <row r="1696" spans="1:10" x14ac:dyDescent="0.15">
      <c r="A1696" s="7"/>
      <c r="B1696" s="8"/>
      <c r="C1696" s="8"/>
      <c r="D1696" s="9"/>
      <c r="E1696" s="8"/>
      <c r="F1696" s="8"/>
      <c r="G1696" s="8"/>
      <c r="H1696" s="8"/>
      <c r="I1696" s="10"/>
      <c r="J1696" s="8"/>
    </row>
    <row r="1697" spans="1:10" x14ac:dyDescent="0.15">
      <c r="A1697" s="7"/>
      <c r="B1697" s="8"/>
      <c r="C1697" s="8"/>
      <c r="D1697" s="9"/>
      <c r="E1697" s="8"/>
      <c r="F1697" s="8"/>
      <c r="G1697" s="8"/>
      <c r="H1697" s="8"/>
      <c r="I1697" s="10"/>
      <c r="J1697" s="8"/>
    </row>
    <row r="1698" spans="1:10" x14ac:dyDescent="0.15">
      <c r="A1698" s="7"/>
      <c r="B1698" s="8"/>
      <c r="C1698" s="8"/>
      <c r="D1698" s="9"/>
      <c r="E1698" s="8"/>
      <c r="F1698" s="8"/>
      <c r="G1698" s="8"/>
      <c r="H1698" s="8"/>
      <c r="I1698" s="10"/>
      <c r="J1698" s="8"/>
    </row>
    <row r="1699" spans="1:10" x14ac:dyDescent="0.15">
      <c r="A1699" s="7"/>
      <c r="B1699" s="8"/>
      <c r="C1699" s="8"/>
      <c r="D1699" s="9"/>
      <c r="E1699" s="8"/>
      <c r="F1699" s="8"/>
      <c r="G1699" s="8"/>
      <c r="H1699" s="8"/>
      <c r="I1699" s="10"/>
      <c r="J1699" s="8"/>
    </row>
    <row r="1700" spans="1:10" x14ac:dyDescent="0.15">
      <c r="A1700" s="7"/>
      <c r="B1700" s="8"/>
      <c r="C1700" s="8"/>
      <c r="D1700" s="9"/>
      <c r="E1700" s="8"/>
      <c r="F1700" s="8"/>
      <c r="G1700" s="8"/>
      <c r="H1700" s="8"/>
      <c r="I1700" s="10"/>
      <c r="J1700" s="8"/>
    </row>
    <row r="1701" spans="1:10" x14ac:dyDescent="0.15">
      <c r="A1701" s="7"/>
      <c r="B1701" s="8"/>
      <c r="C1701" s="8"/>
      <c r="D1701" s="9"/>
      <c r="E1701" s="8"/>
      <c r="F1701" s="8"/>
      <c r="G1701" s="8"/>
      <c r="H1701" s="8"/>
      <c r="I1701" s="10"/>
      <c r="J1701" s="8"/>
    </row>
    <row r="1702" spans="1:10" x14ac:dyDescent="0.15">
      <c r="A1702" s="7"/>
      <c r="B1702" s="8"/>
      <c r="C1702" s="8"/>
      <c r="D1702" s="9"/>
      <c r="E1702" s="8"/>
      <c r="F1702" s="8"/>
      <c r="G1702" s="8"/>
      <c r="H1702" s="8"/>
      <c r="I1702" s="10"/>
      <c r="J1702" s="8"/>
    </row>
    <row r="1703" spans="1:10" x14ac:dyDescent="0.15">
      <c r="A1703" s="7"/>
      <c r="B1703" s="8"/>
      <c r="C1703" s="8"/>
      <c r="D1703" s="9"/>
      <c r="E1703" s="8"/>
      <c r="F1703" s="8"/>
      <c r="G1703" s="8"/>
      <c r="H1703" s="8"/>
      <c r="I1703" s="10"/>
      <c r="J1703" s="8"/>
    </row>
    <row r="1704" spans="1:10" x14ac:dyDescent="0.15">
      <c r="A1704" s="7"/>
      <c r="B1704" s="8"/>
      <c r="C1704" s="8"/>
      <c r="D1704" s="9"/>
      <c r="E1704" s="8"/>
      <c r="F1704" s="8"/>
      <c r="G1704" s="8"/>
      <c r="H1704" s="8"/>
      <c r="I1704" s="10"/>
      <c r="J1704" s="8"/>
    </row>
    <row r="1705" spans="1:10" x14ac:dyDescent="0.15">
      <c r="A1705" s="7"/>
      <c r="B1705" s="8"/>
      <c r="C1705" s="8"/>
      <c r="D1705" s="9"/>
      <c r="E1705" s="8"/>
      <c r="F1705" s="8"/>
      <c r="G1705" s="8"/>
      <c r="H1705" s="8"/>
      <c r="I1705" s="10"/>
      <c r="J1705" s="8"/>
    </row>
    <row r="1706" spans="1:10" x14ac:dyDescent="0.15">
      <c r="A1706" s="7"/>
      <c r="B1706" s="8"/>
      <c r="C1706" s="8"/>
      <c r="D1706" s="9"/>
      <c r="E1706" s="8"/>
      <c r="F1706" s="8"/>
      <c r="G1706" s="8"/>
      <c r="H1706" s="8"/>
      <c r="I1706" s="10"/>
      <c r="J1706" s="8"/>
    </row>
    <row r="1707" spans="1:10" x14ac:dyDescent="0.15">
      <c r="A1707" s="7"/>
      <c r="B1707" s="8"/>
      <c r="C1707" s="8"/>
      <c r="D1707" s="9"/>
      <c r="E1707" s="8"/>
      <c r="F1707" s="8"/>
      <c r="G1707" s="8"/>
      <c r="H1707" s="8"/>
      <c r="I1707" s="10"/>
      <c r="J1707" s="8"/>
    </row>
    <row r="1708" spans="1:10" x14ac:dyDescent="0.15">
      <c r="A1708" s="7"/>
      <c r="B1708" s="8"/>
      <c r="C1708" s="8"/>
      <c r="D1708" s="9"/>
      <c r="E1708" s="8"/>
      <c r="F1708" s="8"/>
      <c r="G1708" s="8"/>
      <c r="H1708" s="8"/>
      <c r="I1708" s="10"/>
      <c r="J1708" s="8"/>
    </row>
    <row r="1709" spans="1:10" x14ac:dyDescent="0.15">
      <c r="A1709" s="7"/>
      <c r="B1709" s="8"/>
      <c r="C1709" s="8"/>
      <c r="D1709" s="9"/>
      <c r="E1709" s="8"/>
      <c r="F1709" s="8"/>
      <c r="G1709" s="8"/>
      <c r="H1709" s="8"/>
      <c r="I1709" s="10"/>
      <c r="J1709" s="8"/>
    </row>
    <row r="1710" spans="1:10" x14ac:dyDescent="0.15">
      <c r="A1710" s="7"/>
      <c r="B1710" s="8"/>
      <c r="C1710" s="8"/>
      <c r="D1710" s="9"/>
      <c r="E1710" s="8"/>
      <c r="F1710" s="8"/>
      <c r="G1710" s="8"/>
      <c r="H1710" s="8"/>
      <c r="I1710" s="10"/>
      <c r="J1710" s="8"/>
    </row>
    <row r="1711" spans="1:10" x14ac:dyDescent="0.15">
      <c r="A1711" s="7"/>
      <c r="B1711" s="8"/>
      <c r="C1711" s="8"/>
      <c r="D1711" s="9"/>
      <c r="E1711" s="8"/>
      <c r="F1711" s="8"/>
      <c r="G1711" s="8"/>
      <c r="H1711" s="8"/>
      <c r="I1711" s="10"/>
      <c r="J1711" s="8"/>
    </row>
    <row r="1712" spans="1:10" x14ac:dyDescent="0.15">
      <c r="A1712" s="7"/>
      <c r="B1712" s="8"/>
      <c r="C1712" s="8"/>
      <c r="D1712" s="9"/>
      <c r="E1712" s="8"/>
      <c r="F1712" s="8"/>
      <c r="G1712" s="8"/>
      <c r="H1712" s="8"/>
      <c r="I1712" s="10"/>
      <c r="J1712" s="8"/>
    </row>
    <row r="1713" spans="1:10" x14ac:dyDescent="0.15">
      <c r="A1713" s="7"/>
      <c r="B1713" s="8"/>
      <c r="C1713" s="8"/>
      <c r="D1713" s="9"/>
      <c r="E1713" s="8"/>
      <c r="F1713" s="8"/>
      <c r="G1713" s="8"/>
      <c r="H1713" s="8"/>
      <c r="I1713" s="10"/>
      <c r="J1713" s="8"/>
    </row>
    <row r="1714" spans="1:10" x14ac:dyDescent="0.15">
      <c r="A1714" s="7"/>
      <c r="B1714" s="8"/>
      <c r="C1714" s="8"/>
      <c r="D1714" s="9"/>
      <c r="E1714" s="8"/>
      <c r="F1714" s="8"/>
      <c r="G1714" s="8"/>
      <c r="H1714" s="8"/>
      <c r="I1714" s="10"/>
      <c r="J1714" s="8"/>
    </row>
    <row r="1715" spans="1:10" x14ac:dyDescent="0.15">
      <c r="A1715" s="7"/>
      <c r="B1715" s="8"/>
      <c r="C1715" s="8"/>
      <c r="D1715" s="9"/>
      <c r="E1715" s="8"/>
      <c r="F1715" s="8"/>
      <c r="G1715" s="8"/>
      <c r="H1715" s="8"/>
      <c r="I1715" s="10"/>
      <c r="J1715" s="8"/>
    </row>
    <row r="1716" spans="1:10" x14ac:dyDescent="0.15">
      <c r="A1716" s="7"/>
      <c r="B1716" s="8"/>
      <c r="C1716" s="8"/>
      <c r="D1716" s="9"/>
      <c r="E1716" s="8"/>
      <c r="F1716" s="8"/>
      <c r="G1716" s="8"/>
      <c r="H1716" s="8"/>
      <c r="I1716" s="10"/>
      <c r="J1716" s="8"/>
    </row>
    <row r="1717" spans="1:10" x14ac:dyDescent="0.15">
      <c r="A1717" s="7"/>
      <c r="B1717" s="8"/>
      <c r="C1717" s="8"/>
      <c r="D1717" s="9"/>
      <c r="E1717" s="8"/>
      <c r="F1717" s="8"/>
      <c r="G1717" s="8"/>
      <c r="H1717" s="8"/>
      <c r="I1717" s="10"/>
      <c r="J1717" s="8"/>
    </row>
    <row r="1718" spans="1:10" x14ac:dyDescent="0.15">
      <c r="A1718" s="7"/>
      <c r="B1718" s="8"/>
      <c r="C1718" s="8"/>
      <c r="D1718" s="9"/>
      <c r="E1718" s="8"/>
      <c r="F1718" s="8"/>
      <c r="G1718" s="8"/>
      <c r="H1718" s="8"/>
      <c r="I1718" s="10"/>
      <c r="J1718" s="8"/>
    </row>
    <row r="1719" spans="1:10" x14ac:dyDescent="0.15">
      <c r="A1719" s="7"/>
      <c r="B1719" s="8"/>
      <c r="C1719" s="8"/>
      <c r="D1719" s="9"/>
      <c r="E1719" s="8"/>
      <c r="F1719" s="8"/>
      <c r="G1719" s="8"/>
      <c r="H1719" s="8"/>
      <c r="I1719" s="10"/>
      <c r="J1719" s="8"/>
    </row>
    <row r="1720" spans="1:10" x14ac:dyDescent="0.15">
      <c r="A1720" s="7"/>
      <c r="B1720" s="8"/>
      <c r="C1720" s="8"/>
      <c r="D1720" s="9"/>
      <c r="E1720" s="8"/>
      <c r="F1720" s="8"/>
      <c r="G1720" s="8"/>
      <c r="H1720" s="8"/>
      <c r="I1720" s="10"/>
      <c r="J1720" s="8"/>
    </row>
    <row r="1721" spans="1:10" x14ac:dyDescent="0.15">
      <c r="A1721" s="7"/>
      <c r="B1721" s="8"/>
      <c r="C1721" s="8"/>
      <c r="D1721" s="9"/>
      <c r="E1721" s="8"/>
      <c r="F1721" s="8"/>
      <c r="G1721" s="8"/>
      <c r="H1721" s="8"/>
      <c r="I1721" s="10"/>
      <c r="J1721" s="8"/>
    </row>
    <row r="1722" spans="1:10" x14ac:dyDescent="0.15">
      <c r="A1722" s="7"/>
      <c r="B1722" s="8"/>
      <c r="C1722" s="8"/>
      <c r="D1722" s="9"/>
      <c r="E1722" s="8"/>
      <c r="F1722" s="8"/>
      <c r="G1722" s="8"/>
      <c r="H1722" s="8"/>
      <c r="I1722" s="10"/>
      <c r="J1722" s="8"/>
    </row>
    <row r="1723" spans="1:10" x14ac:dyDescent="0.15">
      <c r="A1723" s="7"/>
      <c r="B1723" s="8"/>
      <c r="C1723" s="8"/>
      <c r="D1723" s="9"/>
      <c r="E1723" s="8"/>
      <c r="F1723" s="8"/>
      <c r="G1723" s="8"/>
      <c r="H1723" s="8"/>
      <c r="I1723" s="10"/>
      <c r="J1723" s="8"/>
    </row>
    <row r="1724" spans="1:10" x14ac:dyDescent="0.15">
      <c r="A1724" s="7"/>
      <c r="B1724" s="8"/>
      <c r="C1724" s="8"/>
      <c r="D1724" s="9"/>
      <c r="E1724" s="8"/>
      <c r="F1724" s="8"/>
      <c r="G1724" s="8"/>
      <c r="H1724" s="8"/>
      <c r="I1724" s="10"/>
      <c r="J1724" s="8"/>
    </row>
    <row r="1725" spans="1:10" x14ac:dyDescent="0.15">
      <c r="A1725" s="7"/>
      <c r="B1725" s="8"/>
      <c r="C1725" s="8"/>
      <c r="D1725" s="9"/>
      <c r="E1725" s="8"/>
      <c r="F1725" s="8"/>
      <c r="G1725" s="8"/>
      <c r="H1725" s="8"/>
      <c r="I1725" s="10"/>
      <c r="J1725" s="8"/>
    </row>
    <row r="1726" spans="1:10" x14ac:dyDescent="0.15">
      <c r="A1726" s="7"/>
      <c r="B1726" s="8"/>
      <c r="C1726" s="8"/>
      <c r="D1726" s="9"/>
      <c r="E1726" s="8"/>
      <c r="F1726" s="8"/>
      <c r="G1726" s="8"/>
      <c r="H1726" s="8"/>
      <c r="I1726" s="10"/>
      <c r="J1726" s="8"/>
    </row>
    <row r="1727" spans="1:10" x14ac:dyDescent="0.15">
      <c r="A1727" s="7"/>
      <c r="B1727" s="8"/>
      <c r="C1727" s="8"/>
      <c r="D1727" s="9"/>
      <c r="E1727" s="8"/>
      <c r="F1727" s="8"/>
      <c r="G1727" s="8"/>
      <c r="H1727" s="8"/>
      <c r="I1727" s="10"/>
      <c r="J1727" s="8"/>
    </row>
    <row r="1728" spans="1:10" x14ac:dyDescent="0.15">
      <c r="A1728" s="7"/>
      <c r="B1728" s="8"/>
      <c r="C1728" s="8"/>
      <c r="D1728" s="9"/>
      <c r="E1728" s="8"/>
      <c r="F1728" s="8"/>
      <c r="G1728" s="8"/>
      <c r="H1728" s="8"/>
      <c r="I1728" s="10"/>
      <c r="J1728" s="8"/>
    </row>
    <row r="1729" spans="1:10" x14ac:dyDescent="0.15">
      <c r="A1729" s="7"/>
      <c r="B1729" s="8"/>
      <c r="C1729" s="8"/>
      <c r="D1729" s="9"/>
      <c r="E1729" s="8"/>
      <c r="F1729" s="8"/>
      <c r="G1729" s="8"/>
      <c r="H1729" s="8"/>
      <c r="I1729" s="10"/>
      <c r="J1729" s="8"/>
    </row>
    <row r="1730" spans="1:10" x14ac:dyDescent="0.15">
      <c r="A1730" s="7"/>
      <c r="B1730" s="8"/>
      <c r="C1730" s="8"/>
      <c r="D1730" s="9"/>
      <c r="E1730" s="8"/>
      <c r="F1730" s="8"/>
      <c r="G1730" s="8"/>
      <c r="H1730" s="8"/>
      <c r="I1730" s="10"/>
      <c r="J1730" s="8"/>
    </row>
    <row r="1731" spans="1:10" x14ac:dyDescent="0.15">
      <c r="A1731" s="7"/>
      <c r="B1731" s="8"/>
      <c r="C1731" s="8"/>
      <c r="D1731" s="9"/>
      <c r="E1731" s="8"/>
      <c r="F1731" s="8"/>
      <c r="G1731" s="8"/>
      <c r="H1731" s="8"/>
      <c r="I1731" s="10"/>
      <c r="J1731" s="8"/>
    </row>
    <row r="1732" spans="1:10" x14ac:dyDescent="0.15">
      <c r="A1732" s="7"/>
      <c r="B1732" s="8"/>
      <c r="C1732" s="8"/>
      <c r="D1732" s="9"/>
      <c r="E1732" s="8"/>
      <c r="F1732" s="8"/>
      <c r="G1732" s="8"/>
      <c r="H1732" s="8"/>
      <c r="I1732" s="10"/>
      <c r="J1732" s="8"/>
    </row>
    <row r="1733" spans="1:10" x14ac:dyDescent="0.15">
      <c r="A1733" s="7"/>
      <c r="B1733" s="8"/>
      <c r="C1733" s="8"/>
      <c r="D1733" s="9"/>
      <c r="E1733" s="8"/>
      <c r="F1733" s="8"/>
      <c r="G1733" s="8"/>
      <c r="H1733" s="8"/>
      <c r="I1733" s="10"/>
      <c r="J1733" s="8"/>
    </row>
    <row r="1734" spans="1:10" x14ac:dyDescent="0.15">
      <c r="A1734" s="7"/>
      <c r="B1734" s="8"/>
      <c r="C1734" s="8"/>
      <c r="D1734" s="9"/>
      <c r="E1734" s="8"/>
      <c r="F1734" s="8"/>
      <c r="G1734" s="8"/>
      <c r="H1734" s="8"/>
      <c r="I1734" s="10"/>
      <c r="J1734" s="8"/>
    </row>
    <row r="1735" spans="1:10" x14ac:dyDescent="0.15">
      <c r="A1735" s="7"/>
      <c r="B1735" s="8"/>
      <c r="C1735" s="8"/>
      <c r="D1735" s="9"/>
      <c r="E1735" s="8"/>
      <c r="F1735" s="8"/>
      <c r="G1735" s="8"/>
      <c r="H1735" s="8"/>
      <c r="I1735" s="10"/>
      <c r="J1735" s="8"/>
    </row>
    <row r="1736" spans="1:10" x14ac:dyDescent="0.15">
      <c r="A1736" s="7"/>
      <c r="B1736" s="8"/>
      <c r="C1736" s="8"/>
      <c r="D1736" s="9"/>
      <c r="E1736" s="8"/>
      <c r="F1736" s="8"/>
      <c r="G1736" s="8"/>
      <c r="H1736" s="8"/>
      <c r="I1736" s="10"/>
      <c r="J1736" s="8"/>
    </row>
    <row r="1737" spans="1:10" x14ac:dyDescent="0.15">
      <c r="A1737" s="7"/>
      <c r="B1737" s="8"/>
      <c r="C1737" s="8"/>
      <c r="D1737" s="9"/>
      <c r="E1737" s="8"/>
      <c r="F1737" s="8"/>
      <c r="G1737" s="8"/>
      <c r="H1737" s="8"/>
      <c r="I1737" s="10"/>
      <c r="J1737" s="8"/>
    </row>
    <row r="1738" spans="1:10" x14ac:dyDescent="0.15">
      <c r="A1738" s="7"/>
      <c r="B1738" s="8"/>
      <c r="C1738" s="8"/>
      <c r="D1738" s="9"/>
      <c r="E1738" s="8"/>
      <c r="F1738" s="8"/>
      <c r="G1738" s="8"/>
      <c r="H1738" s="8"/>
      <c r="I1738" s="10"/>
      <c r="J1738" s="8"/>
    </row>
    <row r="1739" spans="1:10" x14ac:dyDescent="0.15">
      <c r="A1739" s="7"/>
      <c r="B1739" s="8"/>
      <c r="C1739" s="8"/>
      <c r="D1739" s="9"/>
      <c r="E1739" s="8"/>
      <c r="F1739" s="8"/>
      <c r="G1739" s="8"/>
      <c r="H1739" s="8"/>
      <c r="I1739" s="10"/>
      <c r="J1739" s="8"/>
    </row>
    <row r="1740" spans="1:10" x14ac:dyDescent="0.15">
      <c r="A1740" s="7"/>
      <c r="B1740" s="8"/>
      <c r="C1740" s="8"/>
      <c r="D1740" s="9"/>
      <c r="E1740" s="8"/>
      <c r="F1740" s="8"/>
      <c r="G1740" s="8"/>
      <c r="H1740" s="8"/>
      <c r="I1740" s="10"/>
      <c r="J1740" s="8"/>
    </row>
    <row r="1741" spans="1:10" x14ac:dyDescent="0.15">
      <c r="A1741" s="7"/>
      <c r="B1741" s="8"/>
      <c r="C1741" s="8"/>
      <c r="D1741" s="9"/>
      <c r="E1741" s="8"/>
      <c r="F1741" s="8"/>
      <c r="G1741" s="8"/>
      <c r="H1741" s="8"/>
      <c r="I1741" s="10"/>
      <c r="J1741" s="8"/>
    </row>
    <row r="1742" spans="1:10" x14ac:dyDescent="0.15">
      <c r="A1742" s="7"/>
      <c r="B1742" s="8"/>
      <c r="C1742" s="8"/>
      <c r="D1742" s="9"/>
      <c r="E1742" s="8"/>
      <c r="F1742" s="8"/>
      <c r="G1742" s="8"/>
      <c r="H1742" s="8"/>
      <c r="I1742" s="10"/>
      <c r="J1742" s="8"/>
    </row>
    <row r="1743" spans="1:10" x14ac:dyDescent="0.15">
      <c r="A1743" s="7"/>
      <c r="B1743" s="8"/>
      <c r="C1743" s="8"/>
      <c r="D1743" s="9"/>
      <c r="E1743" s="8"/>
      <c r="F1743" s="8"/>
      <c r="G1743" s="8"/>
      <c r="H1743" s="8"/>
      <c r="I1743" s="10"/>
      <c r="J1743" s="8"/>
    </row>
    <row r="1744" spans="1:10" x14ac:dyDescent="0.15">
      <c r="A1744" s="7"/>
      <c r="B1744" s="8"/>
      <c r="C1744" s="8"/>
      <c r="D1744" s="9"/>
      <c r="E1744" s="8"/>
      <c r="F1744" s="8"/>
      <c r="G1744" s="8"/>
      <c r="H1744" s="8"/>
      <c r="I1744" s="10"/>
      <c r="J1744" s="8"/>
    </row>
    <row r="1745" spans="1:10" x14ac:dyDescent="0.15">
      <c r="A1745" s="7"/>
      <c r="B1745" s="8"/>
      <c r="C1745" s="8"/>
      <c r="D1745" s="9"/>
      <c r="E1745" s="8"/>
      <c r="F1745" s="8"/>
      <c r="G1745" s="8"/>
      <c r="H1745" s="8"/>
      <c r="I1745" s="10"/>
      <c r="J1745" s="8"/>
    </row>
    <row r="1746" spans="1:10" x14ac:dyDescent="0.15">
      <c r="A1746" s="7"/>
      <c r="B1746" s="8"/>
      <c r="C1746" s="8"/>
      <c r="D1746" s="9"/>
      <c r="E1746" s="8"/>
      <c r="F1746" s="8"/>
      <c r="G1746" s="8"/>
      <c r="H1746" s="8"/>
      <c r="I1746" s="10"/>
      <c r="J1746" s="8"/>
    </row>
    <row r="1747" spans="1:10" x14ac:dyDescent="0.15">
      <c r="A1747" s="7"/>
      <c r="B1747" s="8"/>
      <c r="C1747" s="8"/>
      <c r="D1747" s="9"/>
      <c r="E1747" s="8"/>
      <c r="F1747" s="8"/>
      <c r="G1747" s="8"/>
      <c r="H1747" s="8"/>
      <c r="I1747" s="10"/>
      <c r="J1747" s="8"/>
    </row>
    <row r="1748" spans="1:10" x14ac:dyDescent="0.15">
      <c r="A1748" s="7"/>
      <c r="B1748" s="8"/>
      <c r="C1748" s="8"/>
      <c r="D1748" s="9"/>
      <c r="E1748" s="8"/>
      <c r="F1748" s="8"/>
      <c r="G1748" s="8"/>
      <c r="H1748" s="8"/>
      <c r="I1748" s="10"/>
      <c r="J1748" s="8"/>
    </row>
    <row r="1749" spans="1:10" x14ac:dyDescent="0.15">
      <c r="A1749" s="7"/>
      <c r="B1749" s="8"/>
      <c r="C1749" s="8"/>
      <c r="D1749" s="9"/>
      <c r="E1749" s="8"/>
      <c r="F1749" s="8"/>
      <c r="G1749" s="8"/>
      <c r="H1749" s="8"/>
      <c r="I1749" s="10"/>
      <c r="J1749" s="8"/>
    </row>
    <row r="1750" spans="1:10" x14ac:dyDescent="0.15">
      <c r="A1750" s="7"/>
      <c r="B1750" s="8"/>
      <c r="C1750" s="8"/>
      <c r="D1750" s="9"/>
      <c r="E1750" s="8"/>
      <c r="F1750" s="8"/>
      <c r="G1750" s="8"/>
      <c r="H1750" s="8"/>
      <c r="I1750" s="10"/>
      <c r="J1750" s="8"/>
    </row>
    <row r="1751" spans="1:10" x14ac:dyDescent="0.15">
      <c r="A1751" s="7"/>
      <c r="B1751" s="8"/>
      <c r="C1751" s="8"/>
      <c r="D1751" s="9"/>
      <c r="E1751" s="8"/>
      <c r="F1751" s="8"/>
      <c r="G1751" s="8"/>
      <c r="H1751" s="8"/>
      <c r="I1751" s="10"/>
      <c r="J1751" s="8"/>
    </row>
    <row r="1752" spans="1:10" x14ac:dyDescent="0.15">
      <c r="A1752" s="7"/>
      <c r="B1752" s="8"/>
      <c r="C1752" s="8"/>
      <c r="D1752" s="9"/>
      <c r="E1752" s="8"/>
      <c r="F1752" s="8"/>
      <c r="G1752" s="8"/>
      <c r="H1752" s="8"/>
      <c r="I1752" s="10"/>
      <c r="J1752" s="8"/>
    </row>
    <row r="1753" spans="1:10" x14ac:dyDescent="0.15">
      <c r="A1753" s="7"/>
      <c r="B1753" s="8"/>
      <c r="C1753" s="8"/>
      <c r="D1753" s="9"/>
      <c r="E1753" s="8"/>
      <c r="F1753" s="8"/>
      <c r="G1753" s="8"/>
      <c r="H1753" s="8"/>
      <c r="I1753" s="10"/>
      <c r="J1753" s="8"/>
    </row>
    <row r="1754" spans="1:10" x14ac:dyDescent="0.15">
      <c r="A1754" s="7"/>
      <c r="B1754" s="8"/>
      <c r="C1754" s="8"/>
      <c r="D1754" s="9"/>
      <c r="E1754" s="8"/>
      <c r="F1754" s="8"/>
      <c r="G1754" s="8"/>
      <c r="H1754" s="8"/>
      <c r="I1754" s="10"/>
      <c r="J1754" s="8"/>
    </row>
    <row r="1755" spans="1:10" x14ac:dyDescent="0.15">
      <c r="A1755" s="7"/>
      <c r="B1755" s="8"/>
      <c r="C1755" s="8"/>
      <c r="D1755" s="9"/>
      <c r="E1755" s="8"/>
      <c r="F1755" s="8"/>
      <c r="G1755" s="8"/>
      <c r="H1755" s="8"/>
      <c r="I1755" s="10"/>
      <c r="J1755" s="8"/>
    </row>
    <row r="1756" spans="1:10" x14ac:dyDescent="0.15">
      <c r="A1756" s="7"/>
      <c r="B1756" s="8"/>
      <c r="C1756" s="8"/>
      <c r="D1756" s="9"/>
      <c r="E1756" s="8"/>
      <c r="F1756" s="8"/>
      <c r="G1756" s="8"/>
      <c r="H1756" s="8"/>
      <c r="I1756" s="10"/>
      <c r="J1756" s="8"/>
    </row>
    <row r="1757" spans="1:10" x14ac:dyDescent="0.15">
      <c r="A1757" s="7"/>
      <c r="B1757" s="8"/>
      <c r="C1757" s="8"/>
      <c r="D1757" s="9"/>
      <c r="E1757" s="8"/>
      <c r="F1757" s="8"/>
      <c r="G1757" s="8"/>
      <c r="H1757" s="8"/>
      <c r="I1757" s="10"/>
      <c r="J1757" s="8"/>
    </row>
    <row r="1758" spans="1:10" x14ac:dyDescent="0.15">
      <c r="A1758" s="7"/>
      <c r="B1758" s="8"/>
      <c r="C1758" s="8"/>
      <c r="D1758" s="9"/>
      <c r="E1758" s="8"/>
      <c r="F1758" s="8"/>
      <c r="G1758" s="8"/>
      <c r="H1758" s="8"/>
      <c r="I1758" s="10"/>
      <c r="J1758" s="8"/>
    </row>
    <row r="1759" spans="1:10" x14ac:dyDescent="0.15">
      <c r="A1759" s="7"/>
      <c r="B1759" s="8"/>
      <c r="C1759" s="8"/>
      <c r="D1759" s="9"/>
      <c r="E1759" s="8"/>
      <c r="F1759" s="8"/>
      <c r="G1759" s="8"/>
      <c r="H1759" s="8"/>
      <c r="I1759" s="10"/>
      <c r="J1759" s="8"/>
    </row>
    <row r="1760" spans="1:10" x14ac:dyDescent="0.15">
      <c r="A1760" s="7"/>
      <c r="B1760" s="8"/>
      <c r="C1760" s="8"/>
      <c r="D1760" s="9"/>
      <c r="E1760" s="8"/>
      <c r="F1760" s="8"/>
      <c r="G1760" s="8"/>
      <c r="H1760" s="8"/>
      <c r="I1760" s="10"/>
      <c r="J1760" s="8"/>
    </row>
    <row r="1761" spans="1:10" x14ac:dyDescent="0.15">
      <c r="A1761" s="7"/>
      <c r="B1761" s="8"/>
      <c r="C1761" s="8"/>
      <c r="D1761" s="9"/>
      <c r="E1761" s="8"/>
      <c r="F1761" s="8"/>
      <c r="G1761" s="8"/>
      <c r="H1761" s="8"/>
      <c r="I1761" s="10"/>
      <c r="J1761" s="8"/>
    </row>
    <row r="1762" spans="1:10" x14ac:dyDescent="0.15">
      <c r="A1762" s="7"/>
      <c r="B1762" s="8"/>
      <c r="C1762" s="8"/>
      <c r="D1762" s="9"/>
      <c r="E1762" s="8"/>
      <c r="F1762" s="8"/>
      <c r="G1762" s="8"/>
      <c r="H1762" s="8"/>
      <c r="I1762" s="10"/>
      <c r="J1762" s="8"/>
    </row>
    <row r="1763" spans="1:10" x14ac:dyDescent="0.15">
      <c r="A1763" s="7"/>
      <c r="B1763" s="8"/>
      <c r="C1763" s="8"/>
      <c r="D1763" s="9"/>
      <c r="E1763" s="8"/>
      <c r="F1763" s="8"/>
      <c r="G1763" s="8"/>
      <c r="H1763" s="8"/>
      <c r="I1763" s="10"/>
      <c r="J1763" s="8"/>
    </row>
    <row r="1764" spans="1:10" x14ac:dyDescent="0.15">
      <c r="A1764" s="7"/>
      <c r="B1764" s="8"/>
      <c r="C1764" s="8"/>
      <c r="D1764" s="9"/>
      <c r="E1764" s="8"/>
      <c r="F1764" s="8"/>
      <c r="G1764" s="8"/>
      <c r="H1764" s="8"/>
      <c r="I1764" s="10"/>
      <c r="J1764" s="8"/>
    </row>
    <row r="1765" spans="1:10" x14ac:dyDescent="0.15">
      <c r="A1765" s="7"/>
      <c r="B1765" s="8"/>
      <c r="C1765" s="8"/>
      <c r="D1765" s="9"/>
      <c r="E1765" s="8"/>
      <c r="F1765" s="8"/>
      <c r="G1765" s="8"/>
      <c r="H1765" s="8"/>
      <c r="I1765" s="10"/>
      <c r="J1765" s="8"/>
    </row>
    <row r="1766" spans="1:10" x14ac:dyDescent="0.15">
      <c r="A1766" s="7"/>
      <c r="B1766" s="8"/>
      <c r="C1766" s="8"/>
      <c r="D1766" s="9"/>
      <c r="E1766" s="8"/>
      <c r="F1766" s="8"/>
      <c r="G1766" s="8"/>
      <c r="H1766" s="8"/>
      <c r="I1766" s="10"/>
      <c r="J1766" s="8"/>
    </row>
    <row r="1767" spans="1:10" x14ac:dyDescent="0.15">
      <c r="A1767" s="7"/>
      <c r="B1767" s="8"/>
      <c r="C1767" s="8"/>
      <c r="D1767" s="9"/>
      <c r="E1767" s="8"/>
      <c r="F1767" s="8"/>
      <c r="G1767" s="8"/>
      <c r="H1767" s="8"/>
      <c r="I1767" s="10"/>
      <c r="J1767" s="8"/>
    </row>
    <row r="1768" spans="1:10" x14ac:dyDescent="0.15">
      <c r="A1768" s="7"/>
      <c r="B1768" s="8"/>
      <c r="C1768" s="8"/>
      <c r="D1768" s="9"/>
      <c r="E1768" s="8"/>
      <c r="F1768" s="8"/>
      <c r="G1768" s="8"/>
      <c r="H1768" s="8"/>
      <c r="I1768" s="10"/>
      <c r="J1768" s="8"/>
    </row>
    <row r="1769" spans="1:10" x14ac:dyDescent="0.15">
      <c r="A1769" s="7"/>
      <c r="B1769" s="8"/>
      <c r="C1769" s="8"/>
      <c r="D1769" s="9"/>
      <c r="E1769" s="8"/>
      <c r="F1769" s="8"/>
      <c r="G1769" s="8"/>
      <c r="H1769" s="8"/>
      <c r="I1769" s="10"/>
      <c r="J1769" s="8"/>
    </row>
    <row r="1770" spans="1:10" x14ac:dyDescent="0.15">
      <c r="A1770" s="7"/>
      <c r="B1770" s="8"/>
      <c r="C1770" s="8"/>
      <c r="D1770" s="9"/>
      <c r="E1770" s="8"/>
      <c r="F1770" s="8"/>
      <c r="G1770" s="8"/>
      <c r="H1770" s="8"/>
      <c r="I1770" s="10"/>
      <c r="J1770" s="8"/>
    </row>
    <row r="1771" spans="1:10" x14ac:dyDescent="0.15">
      <c r="A1771" s="7"/>
      <c r="B1771" s="8"/>
      <c r="C1771" s="8"/>
      <c r="D1771" s="9"/>
      <c r="E1771" s="8"/>
      <c r="F1771" s="8"/>
      <c r="G1771" s="8"/>
      <c r="H1771" s="8"/>
      <c r="I1771" s="10"/>
      <c r="J1771" s="8"/>
    </row>
    <row r="1772" spans="1:10" x14ac:dyDescent="0.15">
      <c r="A1772" s="7"/>
      <c r="B1772" s="8"/>
      <c r="C1772" s="8"/>
      <c r="D1772" s="9"/>
      <c r="E1772" s="8"/>
      <c r="F1772" s="8"/>
      <c r="G1772" s="8"/>
      <c r="H1772" s="8"/>
      <c r="I1772" s="10"/>
      <c r="J1772" s="8"/>
    </row>
    <row r="1773" spans="1:10" x14ac:dyDescent="0.15">
      <c r="A1773" s="7"/>
      <c r="B1773" s="8"/>
      <c r="C1773" s="8"/>
      <c r="D1773" s="9"/>
      <c r="E1773" s="8"/>
      <c r="F1773" s="8"/>
      <c r="G1773" s="8"/>
      <c r="H1773" s="8"/>
      <c r="I1773" s="10"/>
      <c r="J1773" s="8"/>
    </row>
    <row r="1774" spans="1:10" x14ac:dyDescent="0.15">
      <c r="A1774" s="7"/>
      <c r="B1774" s="8"/>
      <c r="C1774" s="8"/>
      <c r="D1774" s="9"/>
      <c r="E1774" s="8"/>
      <c r="F1774" s="8"/>
      <c r="G1774" s="8"/>
      <c r="H1774" s="8"/>
      <c r="I1774" s="10"/>
      <c r="J1774" s="8"/>
    </row>
    <row r="1775" spans="1:10" x14ac:dyDescent="0.15">
      <c r="A1775" s="7"/>
      <c r="B1775" s="8"/>
      <c r="C1775" s="8"/>
      <c r="D1775" s="9"/>
      <c r="E1775" s="8"/>
      <c r="F1775" s="8"/>
      <c r="G1775" s="8"/>
      <c r="H1775" s="8"/>
      <c r="I1775" s="10"/>
      <c r="J1775" s="8"/>
    </row>
    <row r="1776" spans="1:10" x14ac:dyDescent="0.15">
      <c r="A1776" s="7"/>
      <c r="B1776" s="8"/>
      <c r="C1776" s="8"/>
      <c r="D1776" s="9"/>
      <c r="E1776" s="8"/>
      <c r="F1776" s="8"/>
      <c r="G1776" s="8"/>
      <c r="H1776" s="8"/>
      <c r="I1776" s="10"/>
      <c r="J1776" s="8"/>
    </row>
    <row r="1777" spans="1:10" x14ac:dyDescent="0.15">
      <c r="A1777" s="7"/>
      <c r="B1777" s="8"/>
      <c r="C1777" s="8"/>
      <c r="D1777" s="9"/>
      <c r="E1777" s="8"/>
      <c r="F1777" s="8"/>
      <c r="G1777" s="8"/>
      <c r="H1777" s="8"/>
      <c r="I1777" s="10"/>
      <c r="J1777" s="8"/>
    </row>
    <row r="1778" spans="1:10" x14ac:dyDescent="0.15">
      <c r="A1778" s="7"/>
      <c r="B1778" s="8"/>
      <c r="C1778" s="8"/>
      <c r="D1778" s="9"/>
      <c r="E1778" s="8"/>
      <c r="F1778" s="8"/>
      <c r="G1778" s="8"/>
      <c r="H1778" s="8"/>
      <c r="I1778" s="10"/>
      <c r="J1778" s="8"/>
    </row>
    <row r="1779" spans="1:10" x14ac:dyDescent="0.15">
      <c r="A1779" s="7"/>
      <c r="B1779" s="8"/>
      <c r="C1779" s="8"/>
      <c r="D1779" s="9"/>
      <c r="E1779" s="8"/>
      <c r="F1779" s="8"/>
      <c r="G1779" s="8"/>
      <c r="H1779" s="8"/>
      <c r="I1779" s="10"/>
      <c r="J1779" s="8"/>
    </row>
    <row r="1780" spans="1:10" x14ac:dyDescent="0.15">
      <c r="A1780" s="7"/>
      <c r="B1780" s="8"/>
      <c r="C1780" s="8"/>
      <c r="D1780" s="9"/>
      <c r="E1780" s="8"/>
      <c r="F1780" s="8"/>
      <c r="G1780" s="8"/>
      <c r="H1780" s="8"/>
      <c r="I1780" s="10"/>
      <c r="J1780" s="8"/>
    </row>
    <row r="1781" spans="1:10" x14ac:dyDescent="0.15">
      <c r="A1781" s="7"/>
      <c r="B1781" s="8"/>
      <c r="C1781" s="8"/>
      <c r="D1781" s="9"/>
      <c r="E1781" s="8"/>
      <c r="F1781" s="8"/>
      <c r="G1781" s="8"/>
      <c r="H1781" s="8"/>
      <c r="I1781" s="10"/>
      <c r="J1781" s="8"/>
    </row>
    <row r="1782" spans="1:10" x14ac:dyDescent="0.15">
      <c r="A1782" s="7"/>
      <c r="B1782" s="8"/>
      <c r="C1782" s="8"/>
      <c r="D1782" s="9"/>
      <c r="E1782" s="8"/>
      <c r="F1782" s="8"/>
      <c r="G1782" s="8"/>
      <c r="H1782" s="8"/>
      <c r="I1782" s="10"/>
      <c r="J1782" s="8"/>
    </row>
    <row r="1783" spans="1:10" x14ac:dyDescent="0.15">
      <c r="A1783" s="7"/>
      <c r="B1783" s="8"/>
      <c r="C1783" s="8"/>
      <c r="D1783" s="9"/>
      <c r="E1783" s="8"/>
      <c r="F1783" s="8"/>
      <c r="G1783" s="8"/>
      <c r="H1783" s="8"/>
      <c r="I1783" s="10"/>
      <c r="J1783" s="8"/>
    </row>
    <row r="1784" spans="1:10" x14ac:dyDescent="0.15">
      <c r="A1784" s="7"/>
      <c r="B1784" s="8"/>
      <c r="C1784" s="8"/>
      <c r="D1784" s="9"/>
      <c r="E1784" s="8"/>
      <c r="F1784" s="8"/>
      <c r="G1784" s="8"/>
      <c r="H1784" s="8"/>
      <c r="I1784" s="10"/>
      <c r="J1784" s="8"/>
    </row>
    <row r="1785" spans="1:10" x14ac:dyDescent="0.15">
      <c r="A1785" s="7"/>
      <c r="B1785" s="8"/>
      <c r="C1785" s="8"/>
      <c r="D1785" s="9"/>
      <c r="E1785" s="8"/>
      <c r="F1785" s="8"/>
      <c r="G1785" s="8"/>
      <c r="H1785" s="8"/>
      <c r="I1785" s="10"/>
      <c r="J1785" s="8"/>
    </row>
    <row r="1786" spans="1:10" x14ac:dyDescent="0.15">
      <c r="A1786" s="7"/>
      <c r="B1786" s="8"/>
      <c r="C1786" s="8"/>
      <c r="D1786" s="9"/>
      <c r="E1786" s="8"/>
      <c r="F1786" s="8"/>
      <c r="G1786" s="8"/>
      <c r="H1786" s="8"/>
      <c r="I1786" s="10"/>
      <c r="J1786" s="8"/>
    </row>
    <row r="1787" spans="1:10" x14ac:dyDescent="0.15">
      <c r="A1787" s="7"/>
      <c r="B1787" s="8"/>
      <c r="C1787" s="8"/>
      <c r="D1787" s="9"/>
      <c r="E1787" s="8"/>
      <c r="F1787" s="8"/>
      <c r="G1787" s="8"/>
      <c r="H1787" s="8"/>
      <c r="I1787" s="10"/>
      <c r="J1787" s="8"/>
    </row>
    <row r="1788" spans="1:10" x14ac:dyDescent="0.15">
      <c r="A1788" s="7"/>
      <c r="B1788" s="8"/>
      <c r="C1788" s="8"/>
      <c r="D1788" s="9"/>
      <c r="E1788" s="8"/>
      <c r="F1788" s="8"/>
      <c r="G1788" s="8"/>
      <c r="H1788" s="8"/>
      <c r="I1788" s="10"/>
      <c r="J1788" s="8"/>
    </row>
    <row r="1789" spans="1:10" x14ac:dyDescent="0.15">
      <c r="A1789" s="7"/>
      <c r="B1789" s="8"/>
      <c r="C1789" s="8"/>
      <c r="D1789" s="9"/>
      <c r="E1789" s="8"/>
      <c r="F1789" s="8"/>
      <c r="G1789" s="8"/>
      <c r="H1789" s="8"/>
      <c r="I1789" s="10"/>
      <c r="J1789" s="8"/>
    </row>
    <row r="1790" spans="1:10" x14ac:dyDescent="0.15">
      <c r="A1790" s="7"/>
      <c r="B1790" s="8"/>
      <c r="C1790" s="8"/>
      <c r="D1790" s="9"/>
      <c r="E1790" s="8"/>
      <c r="F1790" s="8"/>
      <c r="G1790" s="8"/>
      <c r="H1790" s="8"/>
      <c r="I1790" s="10"/>
      <c r="J1790" s="8"/>
    </row>
    <row r="1791" spans="1:10" x14ac:dyDescent="0.15">
      <c r="A1791" s="7"/>
      <c r="B1791" s="8"/>
      <c r="C1791" s="8"/>
      <c r="D1791" s="9"/>
      <c r="E1791" s="8"/>
      <c r="F1791" s="8"/>
      <c r="G1791" s="8"/>
      <c r="H1791" s="8"/>
      <c r="I1791" s="10"/>
      <c r="J1791" s="8"/>
    </row>
    <row r="1792" spans="1:10" x14ac:dyDescent="0.15">
      <c r="A1792" s="7"/>
      <c r="B1792" s="8"/>
      <c r="C1792" s="8"/>
      <c r="D1792" s="9"/>
      <c r="E1792" s="8"/>
      <c r="F1792" s="8"/>
      <c r="G1792" s="8"/>
      <c r="H1792" s="8"/>
      <c r="I1792" s="10"/>
      <c r="J1792" s="8"/>
    </row>
    <row r="1793" spans="1:10" x14ac:dyDescent="0.15">
      <c r="A1793" s="7"/>
      <c r="B1793" s="8"/>
      <c r="C1793" s="8"/>
      <c r="D1793" s="9"/>
      <c r="E1793" s="8"/>
      <c r="F1793" s="8"/>
      <c r="G1793" s="8"/>
      <c r="H1793" s="8"/>
      <c r="I1793" s="10"/>
      <c r="J1793" s="8"/>
    </row>
    <row r="1794" spans="1:10" x14ac:dyDescent="0.15">
      <c r="A1794" s="7"/>
      <c r="B1794" s="8"/>
      <c r="C1794" s="8"/>
      <c r="D1794" s="9"/>
      <c r="E1794" s="8"/>
      <c r="F1794" s="8"/>
      <c r="G1794" s="8"/>
      <c r="H1794" s="8"/>
      <c r="I1794" s="10"/>
      <c r="J1794" s="8"/>
    </row>
    <row r="1795" spans="1:10" x14ac:dyDescent="0.15">
      <c r="A1795" s="7"/>
      <c r="B1795" s="8"/>
      <c r="C1795" s="8"/>
      <c r="D1795" s="9"/>
      <c r="E1795" s="8"/>
      <c r="F1795" s="8"/>
      <c r="G1795" s="8"/>
      <c r="H1795" s="8"/>
      <c r="I1795" s="10"/>
      <c r="J1795" s="8"/>
    </row>
    <row r="1796" spans="1:10" x14ac:dyDescent="0.15">
      <c r="A1796" s="7"/>
      <c r="B1796" s="8"/>
      <c r="C1796" s="8"/>
      <c r="D1796" s="9"/>
      <c r="E1796" s="8"/>
      <c r="F1796" s="8"/>
      <c r="G1796" s="8"/>
      <c r="H1796" s="8"/>
      <c r="I1796" s="10"/>
      <c r="J1796" s="8"/>
    </row>
    <row r="1797" spans="1:10" x14ac:dyDescent="0.15">
      <c r="A1797" s="7"/>
      <c r="B1797" s="8"/>
      <c r="C1797" s="8"/>
      <c r="D1797" s="9"/>
      <c r="E1797" s="8"/>
      <c r="F1797" s="8"/>
      <c r="G1797" s="8"/>
      <c r="H1797" s="8"/>
      <c r="I1797" s="10"/>
      <c r="J1797" s="8"/>
    </row>
    <row r="1798" spans="1:10" x14ac:dyDescent="0.15">
      <c r="A1798" s="7"/>
      <c r="B1798" s="8"/>
      <c r="C1798" s="8"/>
      <c r="D1798" s="9"/>
      <c r="E1798" s="8"/>
      <c r="F1798" s="8"/>
      <c r="G1798" s="8"/>
      <c r="H1798" s="8"/>
      <c r="I1798" s="10"/>
      <c r="J1798" s="8"/>
    </row>
    <row r="1799" spans="1:10" x14ac:dyDescent="0.15">
      <c r="A1799" s="7"/>
      <c r="B1799" s="8"/>
      <c r="C1799" s="8"/>
      <c r="D1799" s="9"/>
      <c r="E1799" s="8"/>
      <c r="F1799" s="8"/>
      <c r="G1799" s="8"/>
      <c r="H1799" s="8"/>
      <c r="I1799" s="10"/>
      <c r="J1799" s="8"/>
    </row>
    <row r="1800" spans="1:10" x14ac:dyDescent="0.15">
      <c r="A1800" s="7"/>
      <c r="B1800" s="8"/>
      <c r="C1800" s="8"/>
      <c r="D1800" s="9"/>
      <c r="E1800" s="8"/>
      <c r="F1800" s="8"/>
      <c r="G1800" s="8"/>
      <c r="H1800" s="8"/>
      <c r="I1800" s="10"/>
      <c r="J1800" s="8"/>
    </row>
    <row r="1801" spans="1:10" x14ac:dyDescent="0.15">
      <c r="A1801" s="7"/>
      <c r="B1801" s="8"/>
      <c r="C1801" s="8"/>
      <c r="D1801" s="9"/>
      <c r="E1801" s="8"/>
      <c r="F1801" s="8"/>
      <c r="G1801" s="8"/>
      <c r="H1801" s="8"/>
      <c r="I1801" s="10"/>
      <c r="J1801" s="8"/>
    </row>
    <row r="1802" spans="1:10" x14ac:dyDescent="0.15">
      <c r="A1802" s="7"/>
      <c r="B1802" s="8"/>
      <c r="C1802" s="8"/>
      <c r="D1802" s="9"/>
      <c r="E1802" s="8"/>
      <c r="F1802" s="8"/>
      <c r="G1802" s="8"/>
      <c r="H1802" s="8"/>
      <c r="I1802" s="10"/>
      <c r="J1802" s="8"/>
    </row>
    <row r="1803" spans="1:10" x14ac:dyDescent="0.15">
      <c r="A1803" s="7"/>
      <c r="B1803" s="8"/>
      <c r="C1803" s="8"/>
      <c r="D1803" s="9"/>
      <c r="E1803" s="8"/>
      <c r="F1803" s="8"/>
      <c r="G1803" s="8"/>
      <c r="H1803" s="8"/>
      <c r="I1803" s="10"/>
      <c r="J1803" s="8"/>
    </row>
    <row r="1804" spans="1:10" x14ac:dyDescent="0.15">
      <c r="A1804" s="7"/>
      <c r="B1804" s="8"/>
      <c r="C1804" s="8"/>
      <c r="D1804" s="9"/>
      <c r="E1804" s="8"/>
      <c r="F1804" s="8"/>
      <c r="G1804" s="8"/>
      <c r="H1804" s="8"/>
      <c r="I1804" s="10"/>
      <c r="J1804" s="8"/>
    </row>
    <row r="1805" spans="1:10" x14ac:dyDescent="0.15">
      <c r="A1805" s="7"/>
      <c r="B1805" s="8"/>
      <c r="C1805" s="8"/>
      <c r="D1805" s="9"/>
      <c r="E1805" s="8"/>
      <c r="F1805" s="8"/>
      <c r="G1805" s="8"/>
      <c r="H1805" s="8"/>
      <c r="I1805" s="10"/>
      <c r="J1805" s="8"/>
    </row>
    <row r="1806" spans="1:10" x14ac:dyDescent="0.15">
      <c r="A1806" s="7"/>
      <c r="B1806" s="8"/>
      <c r="C1806" s="8"/>
      <c r="D1806" s="9"/>
      <c r="E1806" s="8"/>
      <c r="F1806" s="8"/>
      <c r="G1806" s="8"/>
      <c r="H1806" s="8"/>
      <c r="I1806" s="10"/>
      <c r="J1806" s="8"/>
    </row>
    <row r="1807" spans="1:10" x14ac:dyDescent="0.15">
      <c r="A1807" s="7"/>
      <c r="B1807" s="8"/>
      <c r="C1807" s="8"/>
      <c r="D1807" s="9"/>
      <c r="E1807" s="8"/>
      <c r="F1807" s="8"/>
      <c r="G1807" s="8"/>
      <c r="H1807" s="8"/>
      <c r="I1807" s="10"/>
      <c r="J1807" s="8"/>
    </row>
    <row r="1808" spans="1:10" x14ac:dyDescent="0.15">
      <c r="A1808" s="7"/>
      <c r="B1808" s="8"/>
      <c r="C1808" s="8"/>
      <c r="D1808" s="9"/>
      <c r="E1808" s="8"/>
      <c r="F1808" s="8"/>
      <c r="G1808" s="8"/>
      <c r="H1808" s="8"/>
      <c r="I1808" s="10"/>
      <c r="J1808" s="8"/>
    </row>
    <row r="1809" spans="1:10" x14ac:dyDescent="0.15">
      <c r="A1809" s="7"/>
      <c r="B1809" s="8"/>
      <c r="C1809" s="8"/>
      <c r="D1809" s="9"/>
      <c r="E1809" s="8"/>
      <c r="F1809" s="8"/>
      <c r="G1809" s="8"/>
      <c r="H1809" s="8"/>
      <c r="I1809" s="10"/>
      <c r="J1809" s="8"/>
    </row>
    <row r="1810" spans="1:10" x14ac:dyDescent="0.15">
      <c r="A1810" s="7"/>
      <c r="B1810" s="8"/>
      <c r="C1810" s="8"/>
      <c r="D1810" s="9"/>
      <c r="E1810" s="8"/>
      <c r="F1810" s="8"/>
      <c r="G1810" s="8"/>
      <c r="H1810" s="8"/>
      <c r="I1810" s="10"/>
      <c r="J1810" s="8"/>
    </row>
    <row r="1811" spans="1:10" x14ac:dyDescent="0.15">
      <c r="A1811" s="7"/>
      <c r="B1811" s="8"/>
      <c r="C1811" s="8"/>
      <c r="D1811" s="9"/>
      <c r="E1811" s="8"/>
      <c r="F1811" s="8"/>
      <c r="G1811" s="8"/>
      <c r="H1811" s="8"/>
      <c r="I1811" s="10"/>
      <c r="J1811" s="8"/>
    </row>
    <row r="1812" spans="1:10" x14ac:dyDescent="0.15">
      <c r="A1812" s="7"/>
      <c r="B1812" s="8"/>
      <c r="C1812" s="8"/>
      <c r="D1812" s="9"/>
      <c r="E1812" s="8"/>
      <c r="F1812" s="8"/>
      <c r="G1812" s="8"/>
      <c r="H1812" s="8"/>
      <c r="I1812" s="10"/>
      <c r="J1812" s="8"/>
    </row>
    <row r="1813" spans="1:10" x14ac:dyDescent="0.15">
      <c r="A1813" s="7"/>
      <c r="B1813" s="8"/>
      <c r="C1813" s="8"/>
      <c r="D1813" s="9"/>
      <c r="E1813" s="8"/>
      <c r="F1813" s="8"/>
      <c r="G1813" s="8"/>
      <c r="H1813" s="8"/>
      <c r="I1813" s="10"/>
      <c r="J1813" s="8"/>
    </row>
    <row r="1814" spans="1:10" x14ac:dyDescent="0.15">
      <c r="A1814" s="7"/>
      <c r="B1814" s="8"/>
      <c r="C1814" s="8"/>
      <c r="D1814" s="9"/>
      <c r="E1814" s="8"/>
      <c r="F1814" s="8"/>
      <c r="G1814" s="8"/>
      <c r="H1814" s="8"/>
      <c r="I1814" s="10"/>
      <c r="J1814" s="8"/>
    </row>
    <row r="1815" spans="1:10" x14ac:dyDescent="0.15">
      <c r="A1815" s="7"/>
      <c r="B1815" s="8"/>
      <c r="C1815" s="8"/>
      <c r="D1815" s="9"/>
      <c r="E1815" s="8"/>
      <c r="F1815" s="8"/>
      <c r="G1815" s="8"/>
      <c r="H1815" s="8"/>
      <c r="I1815" s="10"/>
      <c r="J1815" s="8"/>
    </row>
    <row r="1816" spans="1:10" x14ac:dyDescent="0.15">
      <c r="A1816" s="7"/>
      <c r="B1816" s="8"/>
      <c r="C1816" s="8"/>
      <c r="D1816" s="9"/>
      <c r="E1816" s="8"/>
      <c r="F1816" s="8"/>
      <c r="G1816" s="8"/>
      <c r="H1816" s="8"/>
      <c r="I1816" s="10"/>
      <c r="J1816" s="8"/>
    </row>
    <row r="1817" spans="1:10" x14ac:dyDescent="0.15">
      <c r="A1817" s="7"/>
      <c r="B1817" s="8"/>
      <c r="C1817" s="8"/>
      <c r="D1817" s="9"/>
      <c r="E1817" s="8"/>
      <c r="F1817" s="8"/>
      <c r="G1817" s="8"/>
      <c r="H1817" s="8"/>
      <c r="I1817" s="10"/>
      <c r="J1817" s="8"/>
    </row>
    <row r="1818" spans="1:10" x14ac:dyDescent="0.15">
      <c r="A1818" s="7"/>
      <c r="B1818" s="8"/>
      <c r="C1818" s="8"/>
      <c r="D1818" s="9"/>
      <c r="E1818" s="8"/>
      <c r="F1818" s="8"/>
      <c r="G1818" s="8"/>
      <c r="H1818" s="8"/>
      <c r="I1818" s="10"/>
      <c r="J1818" s="8"/>
    </row>
    <row r="1819" spans="1:10" x14ac:dyDescent="0.15">
      <c r="A1819" s="7"/>
      <c r="B1819" s="8"/>
      <c r="C1819" s="8"/>
      <c r="D1819" s="9"/>
      <c r="E1819" s="8"/>
      <c r="F1819" s="8"/>
      <c r="G1819" s="8"/>
      <c r="H1819" s="8"/>
      <c r="I1819" s="10"/>
      <c r="J1819" s="8"/>
    </row>
    <row r="1820" spans="1:10" x14ac:dyDescent="0.15">
      <c r="A1820" s="7"/>
      <c r="B1820" s="8"/>
      <c r="C1820" s="8"/>
      <c r="D1820" s="9"/>
      <c r="E1820" s="8"/>
      <c r="F1820" s="8"/>
      <c r="G1820" s="8"/>
      <c r="H1820" s="8"/>
      <c r="I1820" s="10"/>
      <c r="J1820" s="8"/>
    </row>
    <row r="1821" spans="1:10" x14ac:dyDescent="0.15">
      <c r="A1821" s="7"/>
      <c r="B1821" s="8"/>
      <c r="C1821" s="8"/>
      <c r="D1821" s="9"/>
      <c r="E1821" s="8"/>
      <c r="F1821" s="8"/>
      <c r="G1821" s="8"/>
      <c r="H1821" s="8"/>
      <c r="I1821" s="10"/>
      <c r="J1821" s="8"/>
    </row>
    <row r="1822" spans="1:10" x14ac:dyDescent="0.15">
      <c r="A1822" s="7"/>
      <c r="B1822" s="8"/>
      <c r="C1822" s="8"/>
      <c r="D1822" s="9"/>
      <c r="E1822" s="8"/>
      <c r="F1822" s="8"/>
      <c r="G1822" s="8"/>
      <c r="H1822" s="8"/>
      <c r="I1822" s="10"/>
      <c r="J1822" s="8"/>
    </row>
    <row r="1823" spans="1:10" x14ac:dyDescent="0.15">
      <c r="A1823" s="7"/>
      <c r="B1823" s="8"/>
      <c r="C1823" s="8"/>
      <c r="D1823" s="9"/>
      <c r="E1823" s="8"/>
      <c r="F1823" s="8"/>
      <c r="G1823" s="8"/>
      <c r="H1823" s="8"/>
      <c r="I1823" s="10"/>
      <c r="J1823" s="8"/>
    </row>
    <row r="1824" spans="1:10" x14ac:dyDescent="0.15">
      <c r="A1824" s="7"/>
      <c r="B1824" s="8"/>
      <c r="C1824" s="8"/>
      <c r="D1824" s="9"/>
      <c r="E1824" s="8"/>
      <c r="F1824" s="8"/>
      <c r="G1824" s="8"/>
      <c r="H1824" s="8"/>
      <c r="I1824" s="10"/>
      <c r="J1824" s="8"/>
    </row>
    <row r="1825" spans="1:10" x14ac:dyDescent="0.15">
      <c r="A1825" s="7"/>
      <c r="B1825" s="8"/>
      <c r="C1825" s="8"/>
      <c r="D1825" s="9"/>
      <c r="E1825" s="8"/>
      <c r="F1825" s="8"/>
      <c r="G1825" s="8"/>
      <c r="H1825" s="8"/>
      <c r="I1825" s="10"/>
      <c r="J1825" s="8"/>
    </row>
    <row r="1826" spans="1:10" x14ac:dyDescent="0.15">
      <c r="A1826" s="7"/>
      <c r="B1826" s="8"/>
      <c r="C1826" s="8"/>
      <c r="D1826" s="9"/>
      <c r="E1826" s="8"/>
      <c r="F1826" s="8"/>
      <c r="G1826" s="8"/>
      <c r="H1826" s="8"/>
      <c r="I1826" s="10"/>
      <c r="J1826" s="8"/>
    </row>
    <row r="1827" spans="1:10" x14ac:dyDescent="0.15">
      <c r="A1827" s="7"/>
      <c r="B1827" s="8"/>
      <c r="C1827" s="8"/>
      <c r="D1827" s="9"/>
      <c r="E1827" s="8"/>
      <c r="F1827" s="8"/>
      <c r="G1827" s="8"/>
      <c r="H1827" s="8"/>
      <c r="I1827" s="10"/>
      <c r="J1827" s="8"/>
    </row>
    <row r="1828" spans="1:10" x14ac:dyDescent="0.15">
      <c r="A1828" s="7"/>
      <c r="B1828" s="8"/>
      <c r="C1828" s="8"/>
      <c r="D1828" s="9"/>
      <c r="E1828" s="8"/>
      <c r="F1828" s="8"/>
      <c r="G1828" s="8"/>
      <c r="H1828" s="8"/>
      <c r="I1828" s="10"/>
      <c r="J1828" s="8"/>
    </row>
    <row r="1829" spans="1:10" x14ac:dyDescent="0.15">
      <c r="A1829" s="7"/>
      <c r="B1829" s="8"/>
      <c r="C1829" s="8"/>
      <c r="D1829" s="9"/>
      <c r="E1829" s="8"/>
      <c r="F1829" s="8"/>
      <c r="G1829" s="8"/>
      <c r="H1829" s="8"/>
      <c r="I1829" s="10"/>
      <c r="J1829" s="8"/>
    </row>
    <row r="1830" spans="1:10" x14ac:dyDescent="0.15">
      <c r="A1830" s="7"/>
      <c r="B1830" s="8"/>
      <c r="C1830" s="8"/>
      <c r="D1830" s="9"/>
      <c r="E1830" s="8"/>
      <c r="F1830" s="8"/>
      <c r="G1830" s="8"/>
      <c r="H1830" s="8"/>
      <c r="I1830" s="10"/>
      <c r="J1830" s="8"/>
    </row>
    <row r="1831" spans="1:10" x14ac:dyDescent="0.15">
      <c r="A1831" s="7"/>
      <c r="B1831" s="8"/>
      <c r="C1831" s="8"/>
      <c r="D1831" s="9"/>
      <c r="E1831" s="8"/>
      <c r="F1831" s="8"/>
      <c r="G1831" s="8"/>
      <c r="H1831" s="8"/>
      <c r="I1831" s="10"/>
      <c r="J1831" s="8"/>
    </row>
    <row r="1832" spans="1:10" x14ac:dyDescent="0.15">
      <c r="A1832" s="7"/>
      <c r="B1832" s="8"/>
      <c r="C1832" s="8"/>
      <c r="D1832" s="9"/>
      <c r="E1832" s="8"/>
      <c r="F1832" s="8"/>
      <c r="G1832" s="8"/>
      <c r="H1832" s="8"/>
      <c r="I1832" s="10"/>
      <c r="J1832" s="8"/>
    </row>
    <row r="1833" spans="1:10" x14ac:dyDescent="0.15">
      <c r="A1833" s="7"/>
      <c r="B1833" s="8"/>
      <c r="C1833" s="8"/>
      <c r="D1833" s="9"/>
      <c r="E1833" s="8"/>
      <c r="F1833" s="8"/>
      <c r="G1833" s="8"/>
      <c r="H1833" s="8"/>
      <c r="I1833" s="10"/>
      <c r="J1833" s="8"/>
    </row>
    <row r="1834" spans="1:10" x14ac:dyDescent="0.15">
      <c r="A1834" s="7"/>
      <c r="B1834" s="8"/>
      <c r="C1834" s="8"/>
      <c r="D1834" s="9"/>
      <c r="E1834" s="8"/>
      <c r="F1834" s="8"/>
      <c r="G1834" s="8"/>
      <c r="H1834" s="8"/>
      <c r="I1834" s="10"/>
      <c r="J1834" s="8"/>
    </row>
    <row r="1835" spans="1:10" x14ac:dyDescent="0.15">
      <c r="A1835" s="7"/>
      <c r="B1835" s="8"/>
      <c r="C1835" s="8"/>
      <c r="D1835" s="9"/>
      <c r="E1835" s="8"/>
      <c r="F1835" s="8"/>
      <c r="G1835" s="8"/>
      <c r="H1835" s="8"/>
      <c r="I1835" s="10"/>
      <c r="J1835" s="8"/>
    </row>
    <row r="1836" spans="1:10" x14ac:dyDescent="0.15">
      <c r="A1836" s="7"/>
      <c r="B1836" s="8"/>
      <c r="C1836" s="8"/>
      <c r="D1836" s="9"/>
      <c r="E1836" s="8"/>
      <c r="F1836" s="8"/>
      <c r="G1836" s="8"/>
      <c r="H1836" s="8"/>
      <c r="I1836" s="10"/>
      <c r="J1836" s="8"/>
    </row>
    <row r="1837" spans="1:10" x14ac:dyDescent="0.15">
      <c r="A1837" s="7"/>
      <c r="B1837" s="8"/>
      <c r="C1837" s="8"/>
      <c r="D1837" s="9"/>
      <c r="E1837" s="8"/>
      <c r="F1837" s="8"/>
      <c r="G1837" s="8"/>
      <c r="H1837" s="8"/>
      <c r="I1837" s="10"/>
      <c r="J1837" s="8"/>
    </row>
    <row r="1838" spans="1:10" x14ac:dyDescent="0.15">
      <c r="A1838" s="7"/>
      <c r="B1838" s="8"/>
      <c r="C1838" s="8"/>
      <c r="D1838" s="9"/>
      <c r="E1838" s="8"/>
      <c r="F1838" s="8"/>
      <c r="G1838" s="8"/>
      <c r="H1838" s="8"/>
      <c r="I1838" s="10"/>
      <c r="J1838" s="8"/>
    </row>
    <row r="1839" spans="1:10" x14ac:dyDescent="0.15">
      <c r="A1839" s="7"/>
      <c r="B1839" s="8"/>
      <c r="C1839" s="8"/>
      <c r="D1839" s="9"/>
      <c r="E1839" s="8"/>
      <c r="F1839" s="8"/>
      <c r="G1839" s="8"/>
      <c r="H1839" s="8"/>
      <c r="I1839" s="10"/>
      <c r="J1839" s="8"/>
    </row>
    <row r="1840" spans="1:10" x14ac:dyDescent="0.15">
      <c r="A1840" s="7"/>
      <c r="B1840" s="8"/>
      <c r="C1840" s="8"/>
      <c r="D1840" s="9"/>
      <c r="E1840" s="8"/>
      <c r="F1840" s="8"/>
      <c r="G1840" s="8"/>
      <c r="H1840" s="8"/>
      <c r="I1840" s="10"/>
      <c r="J1840" s="8"/>
    </row>
    <row r="1841" spans="1:10" x14ac:dyDescent="0.15">
      <c r="A1841" s="7"/>
      <c r="B1841" s="8"/>
      <c r="C1841" s="8"/>
      <c r="D1841" s="9"/>
      <c r="E1841" s="8"/>
      <c r="F1841" s="8"/>
      <c r="G1841" s="8"/>
      <c r="H1841" s="8"/>
      <c r="I1841" s="10"/>
      <c r="J1841" s="8"/>
    </row>
    <row r="1842" spans="1:10" x14ac:dyDescent="0.15">
      <c r="A1842" s="7"/>
      <c r="B1842" s="8"/>
      <c r="C1842" s="8"/>
      <c r="D1842" s="9"/>
      <c r="E1842" s="8"/>
      <c r="F1842" s="8"/>
      <c r="G1842" s="8"/>
      <c r="H1842" s="8"/>
      <c r="I1842" s="10"/>
      <c r="J1842" s="8"/>
    </row>
    <row r="1843" spans="1:10" x14ac:dyDescent="0.15">
      <c r="A1843" s="7"/>
      <c r="B1843" s="8"/>
      <c r="C1843" s="8"/>
      <c r="D1843" s="9"/>
      <c r="E1843" s="8"/>
      <c r="F1843" s="8"/>
      <c r="G1843" s="8"/>
      <c r="H1843" s="8"/>
      <c r="I1843" s="10"/>
      <c r="J1843" s="8"/>
    </row>
    <row r="1844" spans="1:10" x14ac:dyDescent="0.15">
      <c r="A1844" s="7"/>
      <c r="B1844" s="8"/>
      <c r="C1844" s="8"/>
      <c r="D1844" s="9"/>
      <c r="E1844" s="8"/>
      <c r="F1844" s="8"/>
      <c r="G1844" s="8"/>
      <c r="H1844" s="8"/>
      <c r="I1844" s="10"/>
      <c r="J1844" s="8"/>
    </row>
    <row r="1845" spans="1:10" x14ac:dyDescent="0.15">
      <c r="A1845" s="7"/>
      <c r="B1845" s="8"/>
      <c r="C1845" s="8"/>
      <c r="D1845" s="9"/>
      <c r="E1845" s="8"/>
      <c r="F1845" s="8"/>
      <c r="G1845" s="8"/>
      <c r="H1845" s="8"/>
      <c r="I1845" s="10"/>
      <c r="J1845" s="8"/>
    </row>
    <row r="1846" spans="1:10" x14ac:dyDescent="0.15">
      <c r="A1846" s="7"/>
      <c r="B1846" s="8"/>
      <c r="C1846" s="8"/>
      <c r="D1846" s="9"/>
      <c r="E1846" s="8"/>
      <c r="F1846" s="8"/>
      <c r="G1846" s="8"/>
      <c r="H1846" s="8"/>
      <c r="I1846" s="10"/>
      <c r="J1846" s="8"/>
    </row>
    <row r="1847" spans="1:10" x14ac:dyDescent="0.15">
      <c r="A1847" s="7"/>
      <c r="B1847" s="8"/>
      <c r="C1847" s="8"/>
      <c r="D1847" s="9"/>
      <c r="E1847" s="8"/>
      <c r="F1847" s="8"/>
      <c r="G1847" s="8"/>
      <c r="H1847" s="8"/>
      <c r="I1847" s="10"/>
      <c r="J1847" s="8"/>
    </row>
    <row r="1848" spans="1:10" x14ac:dyDescent="0.15">
      <c r="A1848" s="7"/>
      <c r="B1848" s="8"/>
      <c r="C1848" s="8"/>
      <c r="D1848" s="9"/>
      <c r="E1848" s="8"/>
      <c r="F1848" s="8"/>
      <c r="G1848" s="8"/>
      <c r="H1848" s="8"/>
      <c r="I1848" s="10"/>
      <c r="J1848" s="8"/>
    </row>
    <row r="1849" spans="1:10" x14ac:dyDescent="0.15">
      <c r="A1849" s="7"/>
      <c r="B1849" s="8"/>
      <c r="C1849" s="8"/>
      <c r="D1849" s="9"/>
      <c r="E1849" s="8"/>
      <c r="F1849" s="8"/>
      <c r="G1849" s="8"/>
      <c r="H1849" s="8"/>
      <c r="I1849" s="10"/>
      <c r="J1849" s="8"/>
    </row>
    <row r="1850" spans="1:10" x14ac:dyDescent="0.15">
      <c r="A1850" s="7"/>
      <c r="B1850" s="8"/>
      <c r="C1850" s="8"/>
      <c r="D1850" s="9"/>
      <c r="E1850" s="8"/>
      <c r="F1850" s="8"/>
      <c r="G1850" s="8"/>
      <c r="H1850" s="8"/>
      <c r="I1850" s="10"/>
      <c r="J1850" s="8"/>
    </row>
    <row r="1851" spans="1:10" x14ac:dyDescent="0.15">
      <c r="A1851" s="7"/>
      <c r="B1851" s="8"/>
      <c r="C1851" s="8"/>
      <c r="D1851" s="9"/>
      <c r="E1851" s="8"/>
      <c r="F1851" s="8"/>
      <c r="G1851" s="8"/>
      <c r="H1851" s="8"/>
      <c r="I1851" s="10"/>
      <c r="J1851" s="8"/>
    </row>
    <row r="1852" spans="1:10" x14ac:dyDescent="0.15">
      <c r="A1852" s="7"/>
      <c r="B1852" s="8"/>
      <c r="C1852" s="8"/>
      <c r="D1852" s="9"/>
      <c r="E1852" s="8"/>
      <c r="F1852" s="8"/>
      <c r="G1852" s="8"/>
      <c r="H1852" s="8"/>
      <c r="I1852" s="10"/>
      <c r="J1852" s="8"/>
    </row>
    <row r="1853" spans="1:10" x14ac:dyDescent="0.15">
      <c r="A1853" s="7"/>
      <c r="B1853" s="8"/>
      <c r="C1853" s="8"/>
      <c r="D1853" s="9"/>
      <c r="E1853" s="8"/>
      <c r="F1853" s="8"/>
      <c r="G1853" s="8"/>
      <c r="H1853" s="8"/>
      <c r="I1853" s="10"/>
      <c r="J1853" s="8"/>
    </row>
    <row r="1854" spans="1:10" x14ac:dyDescent="0.15">
      <c r="A1854" s="7"/>
      <c r="B1854" s="8"/>
      <c r="C1854" s="8"/>
      <c r="D1854" s="9"/>
      <c r="E1854" s="8"/>
      <c r="F1854" s="8"/>
      <c r="G1854" s="8"/>
      <c r="H1854" s="8"/>
      <c r="I1854" s="10"/>
      <c r="J1854" s="8"/>
    </row>
    <row r="1855" spans="1:10" x14ac:dyDescent="0.15">
      <c r="A1855" s="7"/>
      <c r="B1855" s="8"/>
      <c r="C1855" s="8"/>
      <c r="D1855" s="9"/>
      <c r="E1855" s="8"/>
      <c r="F1855" s="8"/>
      <c r="G1855" s="8"/>
      <c r="H1855" s="8"/>
      <c r="I1855" s="10"/>
      <c r="J1855" s="8"/>
    </row>
    <row r="1856" spans="1:10" x14ac:dyDescent="0.15">
      <c r="A1856" s="7"/>
      <c r="B1856" s="8"/>
      <c r="C1856" s="8"/>
      <c r="D1856" s="9"/>
      <c r="E1856" s="8"/>
      <c r="F1856" s="8"/>
      <c r="G1856" s="8"/>
      <c r="H1856" s="8"/>
      <c r="I1856" s="10"/>
      <c r="J1856" s="8"/>
    </row>
    <row r="1857" spans="1:10" x14ac:dyDescent="0.15">
      <c r="A1857" s="7"/>
      <c r="B1857" s="8"/>
      <c r="C1857" s="8"/>
      <c r="D1857" s="9"/>
      <c r="E1857" s="8"/>
      <c r="F1857" s="8"/>
      <c r="G1857" s="8"/>
      <c r="H1857" s="8"/>
      <c r="I1857" s="10"/>
      <c r="J1857" s="8"/>
    </row>
    <row r="1858" spans="1:10" x14ac:dyDescent="0.15">
      <c r="A1858" s="7"/>
      <c r="B1858" s="8"/>
      <c r="C1858" s="8"/>
      <c r="D1858" s="9"/>
      <c r="E1858" s="8"/>
      <c r="F1858" s="8"/>
      <c r="G1858" s="8"/>
      <c r="H1858" s="8"/>
      <c r="I1858" s="10"/>
      <c r="J1858" s="8"/>
    </row>
    <row r="1859" spans="1:10" x14ac:dyDescent="0.15">
      <c r="A1859" s="7"/>
      <c r="B1859" s="8"/>
      <c r="C1859" s="8"/>
      <c r="D1859" s="9"/>
      <c r="E1859" s="8"/>
      <c r="F1859" s="8"/>
      <c r="G1859" s="8"/>
      <c r="H1859" s="8"/>
      <c r="I1859" s="10"/>
      <c r="J1859" s="8"/>
    </row>
    <row r="1860" spans="1:10" x14ac:dyDescent="0.15">
      <c r="A1860" s="7"/>
      <c r="B1860" s="8"/>
      <c r="C1860" s="8"/>
      <c r="D1860" s="9"/>
      <c r="E1860" s="8"/>
      <c r="F1860" s="8"/>
      <c r="G1860" s="8"/>
      <c r="H1860" s="8"/>
      <c r="I1860" s="10"/>
      <c r="J1860" s="8"/>
    </row>
    <row r="1861" spans="1:10" x14ac:dyDescent="0.15">
      <c r="A1861" s="7"/>
      <c r="B1861" s="8"/>
      <c r="C1861" s="8"/>
      <c r="D1861" s="9"/>
      <c r="E1861" s="8"/>
      <c r="F1861" s="8"/>
      <c r="G1861" s="8"/>
      <c r="H1861" s="8"/>
      <c r="I1861" s="10"/>
      <c r="J1861" s="8"/>
    </row>
    <row r="1862" spans="1:10" x14ac:dyDescent="0.15">
      <c r="A1862" s="7"/>
      <c r="B1862" s="8"/>
      <c r="C1862" s="8"/>
      <c r="D1862" s="9"/>
      <c r="E1862" s="8"/>
      <c r="F1862" s="8"/>
      <c r="G1862" s="8"/>
      <c r="H1862" s="8"/>
      <c r="I1862" s="10"/>
      <c r="J1862" s="8"/>
    </row>
    <row r="1863" spans="1:10" x14ac:dyDescent="0.15">
      <c r="A1863" s="7"/>
      <c r="B1863" s="8"/>
      <c r="C1863" s="8"/>
      <c r="D1863" s="9"/>
      <c r="E1863" s="8"/>
      <c r="F1863" s="8"/>
      <c r="G1863" s="8"/>
      <c r="H1863" s="8"/>
      <c r="I1863" s="10"/>
      <c r="J1863" s="8"/>
    </row>
    <row r="1864" spans="1:10" x14ac:dyDescent="0.15">
      <c r="A1864" s="7"/>
      <c r="B1864" s="8"/>
      <c r="C1864" s="8"/>
      <c r="D1864" s="9"/>
      <c r="E1864" s="8"/>
      <c r="F1864" s="8"/>
      <c r="G1864" s="8"/>
      <c r="H1864" s="8"/>
      <c r="I1864" s="10"/>
      <c r="J1864" s="8"/>
    </row>
    <row r="1865" spans="1:10" x14ac:dyDescent="0.15">
      <c r="A1865" s="7"/>
      <c r="B1865" s="8"/>
      <c r="C1865" s="8"/>
      <c r="D1865" s="9"/>
      <c r="E1865" s="8"/>
      <c r="F1865" s="8"/>
      <c r="G1865" s="8"/>
      <c r="H1865" s="8"/>
      <c r="I1865" s="10"/>
      <c r="J1865" s="8"/>
    </row>
    <row r="1866" spans="1:10" x14ac:dyDescent="0.15">
      <c r="A1866" s="7"/>
      <c r="B1866" s="8"/>
      <c r="C1866" s="8"/>
      <c r="D1866" s="9"/>
      <c r="E1866" s="8"/>
      <c r="F1866" s="8"/>
      <c r="G1866" s="8"/>
      <c r="H1866" s="8"/>
      <c r="I1866" s="10"/>
      <c r="J1866" s="8"/>
    </row>
    <row r="1867" spans="1:10" x14ac:dyDescent="0.15">
      <c r="A1867" s="7"/>
      <c r="B1867" s="8"/>
      <c r="C1867" s="8"/>
      <c r="D1867" s="9"/>
      <c r="E1867" s="8"/>
      <c r="F1867" s="8"/>
      <c r="G1867" s="8"/>
      <c r="H1867" s="8"/>
      <c r="I1867" s="10"/>
      <c r="J1867" s="8"/>
    </row>
    <row r="1868" spans="1:10" x14ac:dyDescent="0.15">
      <c r="A1868" s="7"/>
      <c r="B1868" s="8"/>
      <c r="C1868" s="8"/>
      <c r="D1868" s="9"/>
      <c r="E1868" s="8"/>
      <c r="F1868" s="8"/>
      <c r="G1868" s="8"/>
      <c r="H1868" s="8"/>
      <c r="I1868" s="10"/>
      <c r="J1868" s="8"/>
    </row>
    <row r="1869" spans="1:10" x14ac:dyDescent="0.15">
      <c r="A1869" s="7"/>
      <c r="B1869" s="8"/>
      <c r="C1869" s="8"/>
      <c r="D1869" s="9"/>
      <c r="E1869" s="8"/>
      <c r="F1869" s="8"/>
      <c r="G1869" s="8"/>
      <c r="H1869" s="8"/>
      <c r="I1869" s="10"/>
      <c r="J1869" s="8"/>
    </row>
    <row r="1870" spans="1:10" x14ac:dyDescent="0.15">
      <c r="A1870" s="7"/>
      <c r="B1870" s="8"/>
      <c r="C1870" s="8"/>
      <c r="D1870" s="9"/>
      <c r="E1870" s="8"/>
      <c r="F1870" s="8"/>
      <c r="G1870" s="8"/>
      <c r="H1870" s="8"/>
      <c r="I1870" s="10"/>
      <c r="J1870" s="8"/>
    </row>
    <row r="1871" spans="1:10" x14ac:dyDescent="0.15">
      <c r="A1871" s="7"/>
      <c r="B1871" s="8"/>
      <c r="C1871" s="8"/>
      <c r="D1871" s="9"/>
      <c r="E1871" s="8"/>
      <c r="F1871" s="8"/>
      <c r="G1871" s="8"/>
      <c r="H1871" s="8"/>
      <c r="I1871" s="10"/>
      <c r="J1871" s="8"/>
    </row>
    <row r="1872" spans="1:10" x14ac:dyDescent="0.15">
      <c r="A1872" s="7"/>
      <c r="B1872" s="8"/>
      <c r="C1872" s="8"/>
      <c r="D1872" s="9"/>
      <c r="E1872" s="8"/>
      <c r="F1872" s="8"/>
      <c r="G1872" s="8"/>
      <c r="H1872" s="8"/>
      <c r="I1872" s="10"/>
      <c r="J1872" s="8"/>
    </row>
    <row r="1873" spans="1:10" x14ac:dyDescent="0.15">
      <c r="A1873" s="7"/>
      <c r="B1873" s="8"/>
      <c r="C1873" s="8"/>
      <c r="D1873" s="9"/>
      <c r="E1873" s="8"/>
      <c r="F1873" s="8"/>
      <c r="G1873" s="8"/>
      <c r="H1873" s="8"/>
      <c r="I1873" s="10"/>
      <c r="J1873" s="8"/>
    </row>
    <row r="1874" spans="1:10" x14ac:dyDescent="0.15">
      <c r="A1874" s="7"/>
      <c r="B1874" s="8"/>
      <c r="C1874" s="8"/>
      <c r="D1874" s="9"/>
      <c r="E1874" s="8"/>
      <c r="F1874" s="8"/>
      <c r="G1874" s="8"/>
      <c r="H1874" s="8"/>
      <c r="I1874" s="10"/>
      <c r="J1874" s="8"/>
    </row>
    <row r="1875" spans="1:10" x14ac:dyDescent="0.15">
      <c r="A1875" s="7"/>
      <c r="B1875" s="8"/>
      <c r="C1875" s="8"/>
      <c r="D1875" s="9"/>
      <c r="E1875" s="8"/>
      <c r="F1875" s="8"/>
      <c r="G1875" s="8"/>
      <c r="H1875" s="8"/>
      <c r="I1875" s="10"/>
      <c r="J1875" s="8"/>
    </row>
    <row r="1876" spans="1:10" x14ac:dyDescent="0.15">
      <c r="A1876" s="7"/>
      <c r="B1876" s="8"/>
      <c r="C1876" s="8"/>
      <c r="D1876" s="9"/>
      <c r="E1876" s="8"/>
      <c r="F1876" s="8"/>
      <c r="G1876" s="8"/>
      <c r="H1876" s="8"/>
      <c r="I1876" s="10"/>
      <c r="J1876" s="8"/>
    </row>
    <row r="1877" spans="1:10" x14ac:dyDescent="0.15">
      <c r="A1877" s="7"/>
      <c r="B1877" s="8"/>
      <c r="C1877" s="8"/>
      <c r="D1877" s="9"/>
      <c r="E1877" s="8"/>
      <c r="F1877" s="8"/>
      <c r="G1877" s="8"/>
      <c r="H1877" s="8"/>
      <c r="I1877" s="10"/>
      <c r="J1877" s="8"/>
    </row>
    <row r="1878" spans="1:10" x14ac:dyDescent="0.15">
      <c r="A1878" s="7"/>
      <c r="B1878" s="8"/>
      <c r="C1878" s="8"/>
      <c r="D1878" s="9"/>
      <c r="E1878" s="8"/>
      <c r="F1878" s="8"/>
      <c r="G1878" s="8"/>
      <c r="H1878" s="8"/>
      <c r="I1878" s="10"/>
      <c r="J1878" s="8"/>
    </row>
    <row r="1879" spans="1:10" x14ac:dyDescent="0.15">
      <c r="A1879" s="7"/>
      <c r="B1879" s="8"/>
      <c r="C1879" s="8"/>
      <c r="D1879" s="9"/>
      <c r="E1879" s="8"/>
      <c r="F1879" s="8"/>
      <c r="G1879" s="8"/>
      <c r="H1879" s="8"/>
      <c r="I1879" s="10"/>
      <c r="J1879" s="8"/>
    </row>
    <row r="1880" spans="1:10" x14ac:dyDescent="0.15">
      <c r="A1880" s="7"/>
      <c r="B1880" s="8"/>
      <c r="C1880" s="8"/>
      <c r="D1880" s="9"/>
      <c r="E1880" s="8"/>
      <c r="F1880" s="8"/>
      <c r="G1880" s="8"/>
      <c r="H1880" s="8"/>
      <c r="I1880" s="10"/>
      <c r="J1880" s="8"/>
    </row>
    <row r="1881" spans="1:10" x14ac:dyDescent="0.15">
      <c r="A1881" s="7"/>
      <c r="B1881" s="8"/>
      <c r="C1881" s="8"/>
      <c r="D1881" s="9"/>
      <c r="E1881" s="8"/>
      <c r="F1881" s="8"/>
      <c r="G1881" s="8"/>
      <c r="H1881" s="8"/>
      <c r="I1881" s="10"/>
      <c r="J1881" s="8"/>
    </row>
    <row r="1882" spans="1:10" x14ac:dyDescent="0.15">
      <c r="A1882" s="7"/>
      <c r="B1882" s="8"/>
      <c r="C1882" s="8"/>
      <c r="D1882" s="9"/>
      <c r="E1882" s="8"/>
      <c r="F1882" s="8"/>
      <c r="G1882" s="8"/>
      <c r="H1882" s="8"/>
      <c r="I1882" s="10"/>
      <c r="J1882" s="8"/>
    </row>
    <row r="1883" spans="1:10" x14ac:dyDescent="0.15">
      <c r="A1883" s="7"/>
      <c r="B1883" s="8"/>
      <c r="C1883" s="8"/>
      <c r="D1883" s="9"/>
      <c r="E1883" s="8"/>
      <c r="F1883" s="8"/>
      <c r="G1883" s="8"/>
      <c r="H1883" s="8"/>
      <c r="I1883" s="10"/>
      <c r="J1883" s="8"/>
    </row>
    <row r="1884" spans="1:10" x14ac:dyDescent="0.15">
      <c r="A1884" s="7"/>
      <c r="B1884" s="8"/>
      <c r="C1884" s="8"/>
      <c r="D1884" s="9"/>
      <c r="E1884" s="8"/>
      <c r="F1884" s="8"/>
      <c r="G1884" s="8"/>
      <c r="H1884" s="8"/>
      <c r="I1884" s="10"/>
      <c r="J1884" s="8"/>
    </row>
    <row r="1885" spans="1:10" x14ac:dyDescent="0.15">
      <c r="A1885" s="7"/>
      <c r="B1885" s="8"/>
      <c r="C1885" s="8"/>
      <c r="D1885" s="9"/>
      <c r="E1885" s="8"/>
      <c r="F1885" s="8"/>
      <c r="G1885" s="8"/>
      <c r="H1885" s="8"/>
      <c r="I1885" s="10"/>
      <c r="J1885" s="8"/>
    </row>
    <row r="1886" spans="1:10" x14ac:dyDescent="0.15">
      <c r="A1886" s="7"/>
      <c r="B1886" s="8"/>
      <c r="C1886" s="8"/>
      <c r="D1886" s="9"/>
      <c r="E1886" s="8"/>
      <c r="F1886" s="8"/>
      <c r="G1886" s="8"/>
      <c r="H1886" s="8"/>
      <c r="I1886" s="10"/>
      <c r="J1886" s="8"/>
    </row>
    <row r="1887" spans="1:10" x14ac:dyDescent="0.15">
      <c r="A1887" s="7"/>
      <c r="B1887" s="8"/>
      <c r="C1887" s="8"/>
      <c r="D1887" s="9"/>
      <c r="E1887" s="8"/>
      <c r="F1887" s="8"/>
      <c r="G1887" s="8"/>
      <c r="H1887" s="8"/>
      <c r="I1887" s="10"/>
      <c r="J1887" s="8"/>
    </row>
    <row r="1888" spans="1:10" x14ac:dyDescent="0.15">
      <c r="A1888" s="7"/>
      <c r="B1888" s="8"/>
      <c r="C1888" s="8"/>
      <c r="D1888" s="9"/>
      <c r="E1888" s="8"/>
      <c r="F1888" s="8"/>
      <c r="G1888" s="8"/>
      <c r="H1888" s="8"/>
      <c r="I1888" s="10"/>
      <c r="J1888" s="8"/>
    </row>
    <row r="1889" spans="1:10" x14ac:dyDescent="0.15">
      <c r="A1889" s="7"/>
      <c r="B1889" s="8"/>
      <c r="C1889" s="8"/>
      <c r="D1889" s="9"/>
      <c r="E1889" s="8"/>
      <c r="F1889" s="8"/>
      <c r="G1889" s="8"/>
      <c r="H1889" s="8"/>
      <c r="I1889" s="10"/>
      <c r="J1889" s="8"/>
    </row>
    <row r="1890" spans="1:10" x14ac:dyDescent="0.15">
      <c r="A1890" s="7"/>
      <c r="B1890" s="8"/>
      <c r="C1890" s="8"/>
      <c r="D1890" s="9"/>
      <c r="E1890" s="8"/>
      <c r="F1890" s="8"/>
      <c r="G1890" s="8"/>
      <c r="H1890" s="8"/>
      <c r="I1890" s="10"/>
      <c r="J1890" s="8"/>
    </row>
    <row r="1891" spans="1:10" x14ac:dyDescent="0.15">
      <c r="A1891" s="7"/>
      <c r="B1891" s="8"/>
      <c r="C1891" s="8"/>
      <c r="D1891" s="9"/>
      <c r="E1891" s="8"/>
      <c r="F1891" s="8"/>
      <c r="G1891" s="8"/>
      <c r="H1891" s="8"/>
      <c r="I1891" s="10"/>
      <c r="J1891" s="8"/>
    </row>
    <row r="1892" spans="1:10" x14ac:dyDescent="0.15">
      <c r="A1892" s="7"/>
      <c r="B1892" s="8"/>
      <c r="C1892" s="8"/>
      <c r="D1892" s="9"/>
      <c r="E1892" s="8"/>
      <c r="F1892" s="8"/>
      <c r="G1892" s="8"/>
      <c r="H1892" s="8"/>
      <c r="I1892" s="10"/>
      <c r="J1892" s="8"/>
    </row>
    <row r="1893" spans="1:10" x14ac:dyDescent="0.15">
      <c r="A1893" s="7"/>
      <c r="B1893" s="8"/>
      <c r="C1893" s="8"/>
      <c r="D1893" s="9"/>
      <c r="E1893" s="8"/>
      <c r="F1893" s="8"/>
      <c r="G1893" s="8"/>
      <c r="H1893" s="8"/>
      <c r="I1893" s="10"/>
      <c r="J1893" s="8"/>
    </row>
    <row r="1894" spans="1:10" x14ac:dyDescent="0.15">
      <c r="A1894" s="7"/>
      <c r="B1894" s="8"/>
      <c r="C1894" s="8"/>
      <c r="D1894" s="9"/>
      <c r="E1894" s="8"/>
      <c r="F1894" s="8"/>
      <c r="G1894" s="8"/>
      <c r="H1894" s="8"/>
      <c r="I1894" s="10"/>
      <c r="J1894" s="8"/>
    </row>
    <row r="1895" spans="1:10" x14ac:dyDescent="0.15">
      <c r="A1895" s="7"/>
      <c r="B1895" s="8"/>
      <c r="C1895" s="8"/>
      <c r="D1895" s="9"/>
      <c r="E1895" s="8"/>
      <c r="F1895" s="8"/>
      <c r="G1895" s="8"/>
      <c r="H1895" s="8"/>
      <c r="I1895" s="10"/>
      <c r="J1895" s="8"/>
    </row>
    <row r="1896" spans="1:10" x14ac:dyDescent="0.15">
      <c r="A1896" s="7"/>
      <c r="B1896" s="8"/>
      <c r="C1896" s="8"/>
      <c r="D1896" s="9"/>
      <c r="E1896" s="8"/>
      <c r="F1896" s="8"/>
      <c r="G1896" s="8"/>
      <c r="H1896" s="8"/>
      <c r="I1896" s="10"/>
      <c r="J1896" s="8"/>
    </row>
    <row r="1897" spans="1:10" x14ac:dyDescent="0.15">
      <c r="A1897" s="7"/>
      <c r="B1897" s="8"/>
      <c r="C1897" s="8"/>
      <c r="D1897" s="9"/>
      <c r="E1897" s="8"/>
      <c r="F1897" s="8"/>
      <c r="G1897" s="8"/>
      <c r="H1897" s="8"/>
      <c r="I1897" s="10"/>
      <c r="J1897" s="8"/>
    </row>
    <row r="1898" spans="1:10" x14ac:dyDescent="0.15">
      <c r="A1898" s="7"/>
      <c r="B1898" s="8"/>
      <c r="C1898" s="8"/>
      <c r="D1898" s="9"/>
      <c r="E1898" s="8"/>
      <c r="F1898" s="8"/>
      <c r="G1898" s="8"/>
      <c r="H1898" s="8"/>
      <c r="I1898" s="10"/>
      <c r="J1898" s="8"/>
    </row>
    <row r="1899" spans="1:10" x14ac:dyDescent="0.15">
      <c r="A1899" s="7"/>
      <c r="B1899" s="8"/>
      <c r="C1899" s="8"/>
      <c r="D1899" s="9"/>
      <c r="E1899" s="8"/>
      <c r="F1899" s="8"/>
      <c r="G1899" s="8"/>
      <c r="H1899" s="8"/>
      <c r="I1899" s="10"/>
      <c r="J1899" s="8"/>
    </row>
    <row r="1900" spans="1:10" x14ac:dyDescent="0.15">
      <c r="A1900" s="7"/>
      <c r="B1900" s="8"/>
      <c r="C1900" s="8"/>
      <c r="D1900" s="9"/>
      <c r="E1900" s="8"/>
      <c r="F1900" s="8"/>
      <c r="G1900" s="8"/>
      <c r="H1900" s="8"/>
      <c r="I1900" s="10"/>
      <c r="J1900" s="8"/>
    </row>
    <row r="1901" spans="1:10" x14ac:dyDescent="0.15">
      <c r="A1901" s="7"/>
      <c r="B1901" s="8"/>
      <c r="C1901" s="8"/>
      <c r="D1901" s="9"/>
      <c r="E1901" s="8"/>
      <c r="F1901" s="8"/>
      <c r="G1901" s="8"/>
      <c r="H1901" s="8"/>
      <c r="I1901" s="10"/>
      <c r="J1901" s="8"/>
    </row>
    <row r="1902" spans="1:10" x14ac:dyDescent="0.15">
      <c r="A1902" s="7"/>
      <c r="B1902" s="8"/>
      <c r="C1902" s="8"/>
      <c r="D1902" s="9"/>
      <c r="E1902" s="8"/>
      <c r="F1902" s="8"/>
      <c r="G1902" s="8"/>
      <c r="H1902" s="8"/>
      <c r="I1902" s="10"/>
      <c r="J1902" s="8"/>
    </row>
    <row r="1903" spans="1:10" x14ac:dyDescent="0.15">
      <c r="A1903" s="7"/>
      <c r="B1903" s="8"/>
      <c r="C1903" s="8"/>
      <c r="D1903" s="9"/>
      <c r="E1903" s="8"/>
      <c r="F1903" s="8"/>
      <c r="G1903" s="8"/>
      <c r="H1903" s="8"/>
      <c r="I1903" s="10"/>
      <c r="J1903" s="8"/>
    </row>
    <row r="1904" spans="1:10" x14ac:dyDescent="0.15">
      <c r="A1904" s="7"/>
      <c r="B1904" s="8"/>
      <c r="C1904" s="8"/>
      <c r="D1904" s="9"/>
      <c r="E1904" s="8"/>
      <c r="F1904" s="8"/>
      <c r="G1904" s="8"/>
      <c r="H1904" s="8"/>
      <c r="I1904" s="10"/>
      <c r="J1904" s="8"/>
    </row>
    <row r="1905" spans="1:10" x14ac:dyDescent="0.15">
      <c r="A1905" s="7"/>
      <c r="B1905" s="8"/>
      <c r="C1905" s="8"/>
      <c r="D1905" s="9"/>
      <c r="E1905" s="8"/>
      <c r="F1905" s="8"/>
      <c r="G1905" s="8"/>
      <c r="H1905" s="8"/>
      <c r="I1905" s="10"/>
      <c r="J1905" s="8"/>
    </row>
    <row r="1906" spans="1:10" x14ac:dyDescent="0.15">
      <c r="A1906" s="7"/>
      <c r="B1906" s="8"/>
      <c r="C1906" s="8"/>
      <c r="D1906" s="9"/>
      <c r="E1906" s="8"/>
      <c r="F1906" s="8"/>
      <c r="G1906" s="8"/>
      <c r="H1906" s="8"/>
      <c r="I1906" s="10"/>
      <c r="J1906" s="8"/>
    </row>
    <row r="1907" spans="1:10" x14ac:dyDescent="0.15">
      <c r="A1907" s="7"/>
      <c r="B1907" s="8"/>
      <c r="C1907" s="8"/>
      <c r="D1907" s="9"/>
      <c r="E1907" s="8"/>
      <c r="F1907" s="8"/>
      <c r="G1907" s="8"/>
      <c r="H1907" s="8"/>
      <c r="I1907" s="10"/>
      <c r="J1907" s="8"/>
    </row>
    <row r="1908" spans="1:10" x14ac:dyDescent="0.15">
      <c r="A1908" s="7"/>
      <c r="B1908" s="8"/>
      <c r="C1908" s="8"/>
      <c r="D1908" s="9"/>
      <c r="E1908" s="8"/>
      <c r="F1908" s="8"/>
      <c r="G1908" s="8"/>
      <c r="H1908" s="8"/>
      <c r="I1908" s="10"/>
      <c r="J1908" s="8"/>
    </row>
    <row r="1909" spans="1:10" x14ac:dyDescent="0.15">
      <c r="A1909" s="7"/>
      <c r="B1909" s="8"/>
      <c r="C1909" s="8"/>
      <c r="D1909" s="9"/>
      <c r="E1909" s="8"/>
      <c r="F1909" s="8"/>
      <c r="G1909" s="8"/>
      <c r="H1909" s="8"/>
      <c r="I1909" s="10"/>
      <c r="J1909" s="8"/>
    </row>
    <row r="1910" spans="1:10" x14ac:dyDescent="0.15">
      <c r="A1910" s="7"/>
      <c r="B1910" s="8"/>
      <c r="C1910" s="8"/>
      <c r="D1910" s="9"/>
      <c r="E1910" s="8"/>
      <c r="F1910" s="8"/>
      <c r="G1910" s="8"/>
      <c r="H1910" s="8"/>
      <c r="I1910" s="10"/>
      <c r="J1910" s="8"/>
    </row>
    <row r="1911" spans="1:10" x14ac:dyDescent="0.15">
      <c r="A1911" s="7"/>
      <c r="B1911" s="8"/>
      <c r="C1911" s="8"/>
      <c r="D1911" s="9"/>
      <c r="E1911" s="8"/>
      <c r="F1911" s="8"/>
      <c r="G1911" s="8"/>
      <c r="H1911" s="8"/>
      <c r="I1911" s="10"/>
      <c r="J1911" s="8"/>
    </row>
    <row r="1912" spans="1:10" x14ac:dyDescent="0.15">
      <c r="A1912" s="7"/>
      <c r="B1912" s="8"/>
      <c r="C1912" s="8"/>
      <c r="D1912" s="9"/>
      <c r="E1912" s="8"/>
      <c r="F1912" s="8"/>
      <c r="G1912" s="8"/>
      <c r="H1912" s="8"/>
      <c r="I1912" s="10"/>
      <c r="J1912" s="8"/>
    </row>
    <row r="1913" spans="1:10" x14ac:dyDescent="0.15">
      <c r="A1913" s="7"/>
      <c r="B1913" s="8"/>
      <c r="C1913" s="8"/>
      <c r="D1913" s="9"/>
      <c r="E1913" s="8"/>
      <c r="F1913" s="8"/>
      <c r="G1913" s="8"/>
      <c r="H1913" s="8"/>
      <c r="I1913" s="10"/>
      <c r="J1913" s="8"/>
    </row>
    <row r="1914" spans="1:10" x14ac:dyDescent="0.15">
      <c r="A1914" s="7"/>
      <c r="B1914" s="8"/>
      <c r="C1914" s="8"/>
      <c r="D1914" s="9"/>
      <c r="E1914" s="8"/>
      <c r="F1914" s="8"/>
      <c r="G1914" s="8"/>
      <c r="H1914" s="8"/>
      <c r="I1914" s="10"/>
      <c r="J1914" s="8"/>
    </row>
    <row r="1915" spans="1:10" x14ac:dyDescent="0.15">
      <c r="A1915" s="7"/>
      <c r="B1915" s="8"/>
      <c r="C1915" s="8"/>
      <c r="D1915" s="9"/>
      <c r="E1915" s="8"/>
      <c r="F1915" s="8"/>
      <c r="G1915" s="8"/>
      <c r="H1915" s="8"/>
      <c r="I1915" s="10"/>
      <c r="J1915" s="8"/>
    </row>
    <row r="1916" spans="1:10" x14ac:dyDescent="0.15">
      <c r="A1916" s="7"/>
      <c r="B1916" s="8"/>
      <c r="C1916" s="8"/>
      <c r="D1916" s="9"/>
      <c r="E1916" s="8"/>
      <c r="F1916" s="8"/>
      <c r="G1916" s="8"/>
      <c r="H1916" s="8"/>
      <c r="I1916" s="10"/>
      <c r="J1916" s="8"/>
    </row>
    <row r="1917" spans="1:10" x14ac:dyDescent="0.15">
      <c r="A1917" s="7"/>
      <c r="B1917" s="8"/>
      <c r="C1917" s="8"/>
      <c r="D1917" s="9"/>
      <c r="E1917" s="8"/>
      <c r="F1917" s="8"/>
      <c r="G1917" s="8"/>
      <c r="H1917" s="8"/>
      <c r="I1917" s="10"/>
      <c r="J1917" s="8"/>
    </row>
    <row r="1918" spans="1:10" x14ac:dyDescent="0.15">
      <c r="A1918" s="7"/>
      <c r="B1918" s="8"/>
      <c r="C1918" s="8"/>
      <c r="D1918" s="9"/>
      <c r="E1918" s="8"/>
      <c r="F1918" s="8"/>
      <c r="G1918" s="8"/>
      <c r="H1918" s="8"/>
      <c r="I1918" s="10"/>
      <c r="J1918" s="8"/>
    </row>
    <row r="1919" spans="1:10" x14ac:dyDescent="0.15">
      <c r="A1919" s="7"/>
      <c r="B1919" s="8"/>
      <c r="C1919" s="8"/>
      <c r="D1919" s="9"/>
      <c r="E1919" s="8"/>
      <c r="F1919" s="8"/>
      <c r="G1919" s="8"/>
      <c r="H1919" s="8"/>
      <c r="I1919" s="10"/>
      <c r="J1919" s="8"/>
    </row>
    <row r="1920" spans="1:10" x14ac:dyDescent="0.15">
      <c r="A1920" s="7"/>
      <c r="B1920" s="8"/>
      <c r="C1920" s="8"/>
      <c r="D1920" s="9"/>
      <c r="E1920" s="8"/>
      <c r="F1920" s="8"/>
      <c r="G1920" s="8"/>
      <c r="H1920" s="8"/>
      <c r="I1920" s="10"/>
      <c r="J1920" s="8"/>
    </row>
    <row r="1921" spans="1:10" x14ac:dyDescent="0.15">
      <c r="A1921" s="7"/>
      <c r="B1921" s="8"/>
      <c r="C1921" s="8"/>
      <c r="D1921" s="9"/>
      <c r="E1921" s="8"/>
      <c r="F1921" s="8"/>
      <c r="G1921" s="8"/>
      <c r="H1921" s="8"/>
      <c r="I1921" s="10"/>
      <c r="J1921" s="8"/>
    </row>
    <row r="1922" spans="1:10" x14ac:dyDescent="0.15">
      <c r="A1922" s="7"/>
      <c r="B1922" s="8"/>
      <c r="C1922" s="8"/>
      <c r="D1922" s="9"/>
      <c r="E1922" s="8"/>
      <c r="F1922" s="8"/>
      <c r="G1922" s="8"/>
      <c r="H1922" s="8"/>
      <c r="I1922" s="10"/>
      <c r="J1922" s="8"/>
    </row>
    <row r="1923" spans="1:10" x14ac:dyDescent="0.15">
      <c r="A1923" s="7"/>
      <c r="B1923" s="8"/>
      <c r="C1923" s="8"/>
      <c r="D1923" s="9"/>
      <c r="E1923" s="8"/>
      <c r="F1923" s="8"/>
      <c r="G1923" s="8"/>
      <c r="H1923" s="8"/>
      <c r="I1923" s="10"/>
      <c r="J1923" s="8"/>
    </row>
    <row r="1924" spans="1:10" x14ac:dyDescent="0.15">
      <c r="A1924" s="7"/>
      <c r="B1924" s="8"/>
      <c r="C1924" s="8"/>
      <c r="D1924" s="9"/>
      <c r="E1924" s="8"/>
      <c r="F1924" s="8"/>
      <c r="G1924" s="8"/>
      <c r="H1924" s="8"/>
      <c r="I1924" s="10"/>
      <c r="J1924" s="8"/>
    </row>
    <row r="1925" spans="1:10" x14ac:dyDescent="0.15">
      <c r="A1925" s="7"/>
      <c r="B1925" s="8"/>
      <c r="C1925" s="8"/>
      <c r="D1925" s="9"/>
      <c r="E1925" s="8"/>
      <c r="F1925" s="8"/>
      <c r="G1925" s="8"/>
      <c r="H1925" s="8"/>
      <c r="I1925" s="10"/>
      <c r="J1925" s="8"/>
    </row>
    <row r="1926" spans="1:10" x14ac:dyDescent="0.15">
      <c r="A1926" s="7"/>
      <c r="B1926" s="8"/>
      <c r="C1926" s="8"/>
      <c r="D1926" s="9"/>
      <c r="E1926" s="8"/>
      <c r="F1926" s="8"/>
      <c r="G1926" s="8"/>
      <c r="H1926" s="8"/>
      <c r="I1926" s="10"/>
      <c r="J1926" s="8"/>
    </row>
    <row r="1927" spans="1:10" x14ac:dyDescent="0.15">
      <c r="A1927" s="7"/>
      <c r="B1927" s="8"/>
      <c r="C1927" s="8"/>
      <c r="D1927" s="9"/>
      <c r="E1927" s="8"/>
      <c r="F1927" s="8"/>
      <c r="G1927" s="8"/>
      <c r="H1927" s="8"/>
      <c r="I1927" s="10"/>
      <c r="J1927" s="8"/>
    </row>
    <row r="1928" spans="1:10" x14ac:dyDescent="0.15">
      <c r="A1928" s="7"/>
      <c r="B1928" s="8"/>
      <c r="C1928" s="8"/>
      <c r="D1928" s="9"/>
      <c r="E1928" s="8"/>
      <c r="F1928" s="8"/>
      <c r="G1928" s="8"/>
      <c r="H1928" s="8"/>
      <c r="I1928" s="10"/>
      <c r="J1928" s="8"/>
    </row>
    <row r="1929" spans="1:10" x14ac:dyDescent="0.15">
      <c r="A1929" s="7"/>
      <c r="B1929" s="8"/>
      <c r="C1929" s="8"/>
      <c r="D1929" s="9"/>
      <c r="E1929" s="8"/>
      <c r="F1929" s="8"/>
      <c r="G1929" s="8"/>
      <c r="H1929" s="8"/>
      <c r="I1929" s="10"/>
      <c r="J1929" s="8"/>
    </row>
    <row r="1930" spans="1:10" x14ac:dyDescent="0.15">
      <c r="A1930" s="7"/>
      <c r="B1930" s="8"/>
      <c r="C1930" s="8"/>
      <c r="D1930" s="9"/>
      <c r="E1930" s="8"/>
      <c r="F1930" s="8"/>
      <c r="G1930" s="8"/>
      <c r="H1930" s="8"/>
      <c r="I1930" s="10"/>
      <c r="J1930" s="8"/>
    </row>
    <row r="1931" spans="1:10" x14ac:dyDescent="0.15">
      <c r="A1931" s="7"/>
      <c r="B1931" s="8"/>
      <c r="C1931" s="8"/>
      <c r="D1931" s="9"/>
      <c r="E1931" s="8"/>
      <c r="F1931" s="8"/>
      <c r="G1931" s="8"/>
      <c r="H1931" s="8"/>
      <c r="I1931" s="10"/>
      <c r="J1931" s="8"/>
    </row>
    <row r="1932" spans="1:10" x14ac:dyDescent="0.15">
      <c r="A1932" s="7"/>
      <c r="B1932" s="8"/>
      <c r="C1932" s="8"/>
      <c r="D1932" s="9"/>
      <c r="E1932" s="8"/>
      <c r="F1932" s="8"/>
      <c r="G1932" s="8"/>
      <c r="H1932" s="8"/>
      <c r="I1932" s="10"/>
      <c r="J1932" s="8"/>
    </row>
    <row r="1933" spans="1:10" x14ac:dyDescent="0.15">
      <c r="A1933" s="7"/>
      <c r="B1933" s="8"/>
      <c r="C1933" s="8"/>
      <c r="D1933" s="9"/>
      <c r="E1933" s="8"/>
      <c r="F1933" s="8"/>
      <c r="G1933" s="8"/>
      <c r="H1933" s="8"/>
      <c r="I1933" s="10"/>
      <c r="J1933" s="8"/>
    </row>
    <row r="1934" spans="1:10" x14ac:dyDescent="0.15">
      <c r="A1934" s="7"/>
      <c r="B1934" s="8"/>
      <c r="C1934" s="8"/>
      <c r="D1934" s="9"/>
      <c r="E1934" s="8"/>
      <c r="F1934" s="8"/>
      <c r="G1934" s="8"/>
      <c r="H1934" s="8"/>
      <c r="I1934" s="10"/>
      <c r="J1934" s="8"/>
    </row>
    <row r="1935" spans="1:10" x14ac:dyDescent="0.15">
      <c r="A1935" s="7"/>
      <c r="B1935" s="8"/>
      <c r="C1935" s="8"/>
      <c r="D1935" s="9"/>
      <c r="E1935" s="8"/>
      <c r="F1935" s="8"/>
      <c r="G1935" s="8"/>
      <c r="H1935" s="8"/>
      <c r="I1935" s="10"/>
      <c r="J1935" s="8"/>
    </row>
    <row r="1936" spans="1:10" x14ac:dyDescent="0.15">
      <c r="A1936" s="7"/>
      <c r="B1936" s="8"/>
      <c r="C1936" s="8"/>
      <c r="D1936" s="9"/>
      <c r="E1936" s="8"/>
      <c r="F1936" s="8"/>
      <c r="G1936" s="8"/>
      <c r="H1936" s="8"/>
      <c r="I1936" s="10"/>
      <c r="J1936" s="8"/>
    </row>
    <row r="1937" spans="1:10" x14ac:dyDescent="0.15">
      <c r="A1937" s="7"/>
      <c r="B1937" s="8"/>
      <c r="C1937" s="8"/>
      <c r="D1937" s="9"/>
      <c r="E1937" s="8"/>
      <c r="F1937" s="8"/>
      <c r="G1937" s="8"/>
      <c r="H1937" s="8"/>
      <c r="I1937" s="10"/>
      <c r="J1937" s="8"/>
    </row>
    <row r="1938" spans="1:10" x14ac:dyDescent="0.15">
      <c r="A1938" s="7"/>
      <c r="B1938" s="8"/>
      <c r="C1938" s="8"/>
      <c r="D1938" s="9"/>
      <c r="E1938" s="8"/>
      <c r="F1938" s="8"/>
      <c r="G1938" s="8"/>
      <c r="H1938" s="8"/>
      <c r="I1938" s="10"/>
      <c r="J1938" s="8"/>
    </row>
    <row r="1939" spans="1:10" x14ac:dyDescent="0.15">
      <c r="A1939" s="7"/>
      <c r="B1939" s="8"/>
      <c r="C1939" s="8"/>
      <c r="D1939" s="9"/>
      <c r="E1939" s="8"/>
      <c r="F1939" s="8"/>
      <c r="G1939" s="8"/>
      <c r="H1939" s="8"/>
      <c r="I1939" s="10"/>
      <c r="J1939" s="8"/>
    </row>
    <row r="1940" spans="1:10" x14ac:dyDescent="0.15">
      <c r="A1940" s="7"/>
      <c r="B1940" s="8"/>
      <c r="C1940" s="8"/>
      <c r="D1940" s="9"/>
      <c r="E1940" s="8"/>
      <c r="F1940" s="8"/>
      <c r="G1940" s="8"/>
      <c r="H1940" s="8"/>
      <c r="I1940" s="10"/>
      <c r="J1940" s="8"/>
    </row>
    <row r="1941" spans="1:10" x14ac:dyDescent="0.15">
      <c r="A1941" s="7"/>
      <c r="B1941" s="8"/>
      <c r="C1941" s="8"/>
      <c r="D1941" s="9"/>
      <c r="E1941" s="8"/>
      <c r="F1941" s="8"/>
      <c r="G1941" s="8"/>
      <c r="H1941" s="8"/>
      <c r="I1941" s="10"/>
      <c r="J1941" s="8"/>
    </row>
    <row r="1942" spans="1:10" x14ac:dyDescent="0.15">
      <c r="A1942" s="7"/>
      <c r="B1942" s="8"/>
      <c r="C1942" s="8"/>
      <c r="D1942" s="9"/>
      <c r="E1942" s="8"/>
      <c r="F1942" s="8"/>
      <c r="G1942" s="8"/>
      <c r="H1942" s="8"/>
      <c r="I1942" s="10"/>
      <c r="J1942" s="8"/>
    </row>
    <row r="1943" spans="1:10" x14ac:dyDescent="0.15">
      <c r="A1943" s="7"/>
      <c r="B1943" s="8"/>
      <c r="C1943" s="8"/>
      <c r="D1943" s="9"/>
      <c r="E1943" s="8"/>
      <c r="F1943" s="8"/>
      <c r="G1943" s="8"/>
      <c r="H1943" s="8"/>
      <c r="I1943" s="10"/>
      <c r="J1943" s="8"/>
    </row>
    <row r="1944" spans="1:10" x14ac:dyDescent="0.15">
      <c r="A1944" s="7"/>
      <c r="B1944" s="8"/>
      <c r="C1944" s="8"/>
      <c r="D1944" s="9"/>
      <c r="E1944" s="8"/>
      <c r="F1944" s="8"/>
      <c r="G1944" s="8"/>
      <c r="H1944" s="8"/>
      <c r="I1944" s="10"/>
      <c r="J1944" s="8"/>
    </row>
    <row r="1945" spans="1:10" x14ac:dyDescent="0.15">
      <c r="A1945" s="7"/>
      <c r="B1945" s="8"/>
      <c r="C1945" s="8"/>
      <c r="D1945" s="9"/>
      <c r="E1945" s="8"/>
      <c r="F1945" s="8"/>
      <c r="G1945" s="8"/>
      <c r="H1945" s="8"/>
      <c r="I1945" s="10"/>
      <c r="J1945" s="8"/>
    </row>
    <row r="1946" spans="1:10" x14ac:dyDescent="0.15">
      <c r="A1946" s="7"/>
      <c r="B1946" s="8"/>
      <c r="C1946" s="8"/>
      <c r="D1946" s="9"/>
      <c r="E1946" s="8"/>
      <c r="F1946" s="8"/>
      <c r="G1946" s="8"/>
      <c r="H1946" s="8"/>
      <c r="I1946" s="10"/>
      <c r="J1946" s="8"/>
    </row>
    <row r="1947" spans="1:10" x14ac:dyDescent="0.15">
      <c r="A1947" s="7"/>
      <c r="B1947" s="8"/>
      <c r="C1947" s="8"/>
      <c r="D1947" s="9"/>
      <c r="E1947" s="8"/>
      <c r="F1947" s="8"/>
      <c r="G1947" s="8"/>
      <c r="H1947" s="8"/>
      <c r="I1947" s="10"/>
      <c r="J1947" s="8"/>
    </row>
    <row r="1948" spans="1:10" x14ac:dyDescent="0.15">
      <c r="A1948" s="7"/>
      <c r="B1948" s="8"/>
      <c r="C1948" s="8"/>
      <c r="D1948" s="9"/>
      <c r="E1948" s="8"/>
      <c r="F1948" s="8"/>
      <c r="G1948" s="8"/>
      <c r="H1948" s="8"/>
      <c r="I1948" s="10"/>
      <c r="J1948" s="8"/>
    </row>
    <row r="1949" spans="1:10" x14ac:dyDescent="0.15">
      <c r="A1949" s="7"/>
      <c r="B1949" s="8"/>
      <c r="C1949" s="8"/>
      <c r="D1949" s="9"/>
      <c r="E1949" s="8"/>
      <c r="F1949" s="8"/>
      <c r="G1949" s="8"/>
      <c r="H1949" s="8"/>
      <c r="I1949" s="10"/>
      <c r="J1949" s="8"/>
    </row>
    <row r="1950" spans="1:10" x14ac:dyDescent="0.15">
      <c r="A1950" s="7"/>
      <c r="B1950" s="8"/>
      <c r="C1950" s="8"/>
      <c r="D1950" s="9"/>
      <c r="E1950" s="8"/>
      <c r="F1950" s="8"/>
      <c r="G1950" s="8"/>
      <c r="H1950" s="8"/>
      <c r="I1950" s="10"/>
      <c r="J1950" s="8"/>
    </row>
    <row r="1951" spans="1:10" x14ac:dyDescent="0.15">
      <c r="A1951" s="7"/>
      <c r="B1951" s="8"/>
      <c r="C1951" s="8"/>
      <c r="D1951" s="9"/>
      <c r="E1951" s="8"/>
      <c r="F1951" s="8"/>
      <c r="G1951" s="8"/>
      <c r="H1951" s="8"/>
      <c r="I1951" s="10"/>
      <c r="J1951" s="8"/>
    </row>
    <row r="1952" spans="1:10" x14ac:dyDescent="0.15">
      <c r="A1952" s="7"/>
      <c r="B1952" s="8"/>
      <c r="C1952" s="8"/>
      <c r="D1952" s="9"/>
      <c r="E1952" s="8"/>
      <c r="F1952" s="8"/>
      <c r="G1952" s="8"/>
      <c r="H1952" s="8"/>
      <c r="I1952" s="10"/>
      <c r="J1952" s="8"/>
    </row>
    <row r="1953" spans="1:10" x14ac:dyDescent="0.15">
      <c r="A1953" s="7"/>
      <c r="B1953" s="8"/>
      <c r="C1953" s="8"/>
      <c r="D1953" s="9"/>
      <c r="E1953" s="8"/>
      <c r="F1953" s="8"/>
      <c r="G1953" s="8"/>
      <c r="H1953" s="8"/>
      <c r="I1953" s="10"/>
      <c r="J1953" s="8"/>
    </row>
    <row r="1954" spans="1:10" x14ac:dyDescent="0.15">
      <c r="A1954" s="7"/>
      <c r="B1954" s="8"/>
      <c r="C1954" s="8"/>
      <c r="D1954" s="9"/>
      <c r="E1954" s="8"/>
      <c r="F1954" s="8"/>
      <c r="G1954" s="8"/>
      <c r="H1954" s="8"/>
      <c r="I1954" s="10"/>
      <c r="J1954" s="8"/>
    </row>
    <row r="1955" spans="1:10" x14ac:dyDescent="0.15">
      <c r="A1955" s="7"/>
      <c r="B1955" s="8"/>
      <c r="C1955" s="8"/>
      <c r="D1955" s="9"/>
      <c r="E1955" s="8"/>
      <c r="F1955" s="8"/>
      <c r="G1955" s="8"/>
      <c r="H1955" s="8"/>
      <c r="I1955" s="10"/>
      <c r="J1955" s="8"/>
    </row>
    <row r="1956" spans="1:10" x14ac:dyDescent="0.15">
      <c r="A1956" s="7"/>
      <c r="B1956" s="8"/>
      <c r="C1956" s="8"/>
      <c r="D1956" s="9"/>
      <c r="E1956" s="8"/>
      <c r="F1956" s="8"/>
      <c r="G1956" s="8"/>
      <c r="H1956" s="8"/>
      <c r="I1956" s="10"/>
      <c r="J1956" s="8"/>
    </row>
    <row r="1957" spans="1:10" x14ac:dyDescent="0.15">
      <c r="A1957" s="7"/>
      <c r="B1957" s="8"/>
      <c r="C1957" s="8"/>
      <c r="D1957" s="9"/>
      <c r="E1957" s="8"/>
      <c r="F1957" s="8"/>
      <c r="G1957" s="8"/>
      <c r="H1957" s="8"/>
      <c r="I1957" s="10"/>
      <c r="J1957" s="8"/>
    </row>
    <row r="1958" spans="1:10" x14ac:dyDescent="0.15">
      <c r="A1958" s="7"/>
      <c r="B1958" s="8"/>
      <c r="C1958" s="8"/>
      <c r="D1958" s="9"/>
      <c r="E1958" s="8"/>
      <c r="F1958" s="8"/>
      <c r="G1958" s="8"/>
      <c r="H1958" s="8"/>
      <c r="I1958" s="10"/>
      <c r="J1958" s="8"/>
    </row>
    <row r="1959" spans="1:10" x14ac:dyDescent="0.15">
      <c r="A1959" s="7"/>
      <c r="B1959" s="8"/>
      <c r="C1959" s="8"/>
      <c r="D1959" s="9"/>
      <c r="E1959" s="8"/>
      <c r="F1959" s="8"/>
      <c r="G1959" s="8"/>
      <c r="H1959" s="8"/>
      <c r="I1959" s="10"/>
      <c r="J1959" s="8"/>
    </row>
    <row r="1960" spans="1:10" x14ac:dyDescent="0.15">
      <c r="A1960" s="7"/>
      <c r="B1960" s="8"/>
      <c r="C1960" s="8"/>
      <c r="D1960" s="9"/>
      <c r="E1960" s="8"/>
      <c r="F1960" s="8"/>
      <c r="G1960" s="8"/>
      <c r="H1960" s="8"/>
      <c r="I1960" s="10"/>
      <c r="J1960" s="8"/>
    </row>
    <row r="1961" spans="1:10" x14ac:dyDescent="0.15">
      <c r="A1961" s="7"/>
      <c r="B1961" s="8"/>
      <c r="C1961" s="8"/>
      <c r="D1961" s="9"/>
      <c r="E1961" s="8"/>
      <c r="F1961" s="8"/>
      <c r="G1961" s="8"/>
      <c r="H1961" s="8"/>
      <c r="I1961" s="10"/>
      <c r="J1961" s="8"/>
    </row>
    <row r="1962" spans="1:10" x14ac:dyDescent="0.15">
      <c r="A1962" s="7"/>
      <c r="B1962" s="8"/>
      <c r="C1962" s="8"/>
      <c r="D1962" s="9"/>
      <c r="E1962" s="8"/>
      <c r="F1962" s="8"/>
      <c r="G1962" s="8"/>
      <c r="H1962" s="8"/>
      <c r="I1962" s="10"/>
      <c r="J1962" s="8"/>
    </row>
    <row r="1963" spans="1:10" x14ac:dyDescent="0.15">
      <c r="A1963" s="7"/>
      <c r="B1963" s="8"/>
      <c r="C1963" s="8"/>
      <c r="D1963" s="9"/>
      <c r="E1963" s="8"/>
      <c r="F1963" s="8"/>
      <c r="G1963" s="8"/>
      <c r="H1963" s="8"/>
      <c r="I1963" s="10"/>
      <c r="J1963" s="8"/>
    </row>
    <row r="1964" spans="1:10" x14ac:dyDescent="0.15">
      <c r="A1964" s="7"/>
      <c r="B1964" s="8"/>
      <c r="C1964" s="8"/>
      <c r="D1964" s="9"/>
      <c r="E1964" s="8"/>
      <c r="F1964" s="8"/>
      <c r="G1964" s="8"/>
      <c r="H1964" s="8"/>
      <c r="I1964" s="10"/>
      <c r="J1964" s="8"/>
    </row>
    <row r="1965" spans="1:10" x14ac:dyDescent="0.15">
      <c r="A1965" s="7"/>
      <c r="B1965" s="8"/>
      <c r="C1965" s="8"/>
      <c r="D1965" s="9"/>
      <c r="E1965" s="8"/>
      <c r="F1965" s="8"/>
      <c r="G1965" s="8"/>
      <c r="H1965" s="8"/>
      <c r="I1965" s="10"/>
      <c r="J1965" s="8"/>
    </row>
    <row r="1966" spans="1:10" x14ac:dyDescent="0.15">
      <c r="A1966" s="7"/>
      <c r="B1966" s="8"/>
      <c r="C1966" s="8"/>
      <c r="D1966" s="9"/>
      <c r="E1966" s="8"/>
      <c r="F1966" s="8"/>
      <c r="G1966" s="8"/>
      <c r="H1966" s="8"/>
      <c r="I1966" s="10"/>
      <c r="J1966" s="8"/>
    </row>
    <row r="1967" spans="1:10" x14ac:dyDescent="0.15">
      <c r="A1967" s="7"/>
      <c r="B1967" s="8"/>
      <c r="C1967" s="8"/>
      <c r="D1967" s="9"/>
      <c r="E1967" s="8"/>
      <c r="F1967" s="8"/>
      <c r="G1967" s="8"/>
      <c r="H1967" s="8"/>
      <c r="I1967" s="10"/>
      <c r="J1967" s="8"/>
    </row>
    <row r="1968" spans="1:10" x14ac:dyDescent="0.15">
      <c r="A1968" s="7"/>
      <c r="B1968" s="8"/>
      <c r="C1968" s="8"/>
      <c r="D1968" s="9"/>
      <c r="E1968" s="8"/>
      <c r="F1968" s="8"/>
      <c r="G1968" s="8"/>
      <c r="H1968" s="8"/>
      <c r="I1968" s="10"/>
      <c r="J1968" s="8"/>
    </row>
    <row r="1969" spans="1:10" x14ac:dyDescent="0.15">
      <c r="A1969" s="7"/>
      <c r="B1969" s="8"/>
      <c r="C1969" s="8"/>
      <c r="D1969" s="9"/>
      <c r="E1969" s="8"/>
      <c r="F1969" s="8"/>
      <c r="G1969" s="8"/>
      <c r="H1969" s="8"/>
      <c r="I1969" s="10"/>
      <c r="J1969" s="8"/>
    </row>
    <row r="1970" spans="1:10" x14ac:dyDescent="0.15">
      <c r="A1970" s="7"/>
      <c r="B1970" s="8"/>
      <c r="C1970" s="8"/>
      <c r="D1970" s="9"/>
      <c r="E1970" s="8"/>
      <c r="F1970" s="8"/>
      <c r="G1970" s="8"/>
      <c r="H1970" s="8"/>
      <c r="I1970" s="10"/>
      <c r="J1970" s="8"/>
    </row>
    <row r="1971" spans="1:10" x14ac:dyDescent="0.15">
      <c r="A1971" s="7"/>
      <c r="B1971" s="8"/>
      <c r="C1971" s="8"/>
      <c r="D1971" s="9"/>
      <c r="E1971" s="8"/>
      <c r="F1971" s="8"/>
      <c r="G1971" s="8"/>
      <c r="H1971" s="8"/>
      <c r="I1971" s="10"/>
      <c r="J1971" s="8"/>
    </row>
    <row r="1972" spans="1:10" x14ac:dyDescent="0.15">
      <c r="A1972" s="7"/>
      <c r="B1972" s="8"/>
      <c r="C1972" s="8"/>
      <c r="D1972" s="9"/>
      <c r="E1972" s="8"/>
      <c r="F1972" s="8"/>
      <c r="G1972" s="8"/>
      <c r="H1972" s="8"/>
      <c r="I1972" s="10"/>
      <c r="J1972" s="8"/>
    </row>
    <row r="1973" spans="1:10" x14ac:dyDescent="0.15">
      <c r="A1973" s="7"/>
      <c r="B1973" s="8"/>
      <c r="C1973" s="8"/>
      <c r="D1973" s="9"/>
      <c r="E1973" s="8"/>
      <c r="F1973" s="8"/>
      <c r="G1973" s="8"/>
      <c r="H1973" s="8"/>
      <c r="I1973" s="10"/>
      <c r="J1973" s="8"/>
    </row>
    <row r="1974" spans="1:10" x14ac:dyDescent="0.15">
      <c r="A1974" s="7"/>
      <c r="B1974" s="8"/>
      <c r="C1974" s="8"/>
      <c r="D1974" s="9"/>
      <c r="E1974" s="8"/>
      <c r="F1974" s="8"/>
      <c r="G1974" s="8"/>
      <c r="H1974" s="8"/>
      <c r="I1974" s="10"/>
      <c r="J1974" s="8"/>
    </row>
    <row r="1975" spans="1:10" x14ac:dyDescent="0.15">
      <c r="A1975" s="7"/>
      <c r="B1975" s="8"/>
      <c r="C1975" s="8"/>
      <c r="D1975" s="9"/>
      <c r="E1975" s="8"/>
      <c r="F1975" s="8"/>
      <c r="G1975" s="8"/>
      <c r="H1975" s="8"/>
      <c r="I1975" s="10"/>
      <c r="J1975" s="8"/>
    </row>
    <row r="1976" spans="1:10" x14ac:dyDescent="0.15">
      <c r="A1976" s="7"/>
      <c r="B1976" s="8"/>
      <c r="C1976" s="8"/>
      <c r="D1976" s="9"/>
      <c r="E1976" s="8"/>
      <c r="F1976" s="8"/>
      <c r="G1976" s="8"/>
      <c r="H1976" s="8"/>
      <c r="I1976" s="10"/>
      <c r="J1976" s="8"/>
    </row>
    <row r="1977" spans="1:10" x14ac:dyDescent="0.15">
      <c r="A1977" s="7"/>
      <c r="B1977" s="8"/>
      <c r="C1977" s="8"/>
      <c r="D1977" s="9"/>
      <c r="E1977" s="8"/>
      <c r="F1977" s="8"/>
      <c r="G1977" s="8"/>
      <c r="H1977" s="8"/>
      <c r="I1977" s="10"/>
      <c r="J1977" s="8"/>
    </row>
    <row r="1978" spans="1:10" x14ac:dyDescent="0.15">
      <c r="A1978" s="7"/>
      <c r="B1978" s="8"/>
      <c r="C1978" s="8"/>
      <c r="D1978" s="9"/>
      <c r="E1978" s="8"/>
      <c r="F1978" s="8"/>
      <c r="G1978" s="8"/>
      <c r="H1978" s="8"/>
      <c r="I1978" s="10"/>
      <c r="J1978" s="8"/>
    </row>
    <row r="1979" spans="1:10" x14ac:dyDescent="0.15">
      <c r="A1979" s="7"/>
      <c r="B1979" s="8"/>
      <c r="C1979" s="8"/>
      <c r="D1979" s="9"/>
      <c r="E1979" s="8"/>
      <c r="F1979" s="8"/>
      <c r="G1979" s="8"/>
      <c r="H1979" s="8"/>
      <c r="I1979" s="10"/>
      <c r="J1979" s="8"/>
    </row>
    <row r="1980" spans="1:10" x14ac:dyDescent="0.15">
      <c r="A1980" s="7"/>
      <c r="B1980" s="8"/>
      <c r="C1980" s="8"/>
      <c r="D1980" s="9"/>
      <c r="E1980" s="8"/>
      <c r="F1980" s="8"/>
      <c r="G1980" s="8"/>
      <c r="H1980" s="8"/>
      <c r="I1980" s="10"/>
      <c r="J1980" s="8"/>
    </row>
    <row r="1981" spans="1:10" x14ac:dyDescent="0.15">
      <c r="A1981" s="7"/>
      <c r="B1981" s="8"/>
      <c r="C1981" s="8"/>
      <c r="D1981" s="9"/>
      <c r="E1981" s="8"/>
      <c r="F1981" s="8"/>
      <c r="G1981" s="8"/>
      <c r="H1981" s="8"/>
      <c r="I1981" s="10"/>
      <c r="J1981" s="8"/>
    </row>
    <row r="1982" spans="1:10" x14ac:dyDescent="0.15">
      <c r="A1982" s="7"/>
      <c r="B1982" s="8"/>
      <c r="C1982" s="8"/>
      <c r="D1982" s="9"/>
      <c r="E1982" s="8"/>
      <c r="F1982" s="8"/>
      <c r="G1982" s="8"/>
      <c r="H1982" s="8"/>
      <c r="I1982" s="10"/>
      <c r="J1982" s="8"/>
    </row>
    <row r="1983" spans="1:10" x14ac:dyDescent="0.15">
      <c r="A1983" s="7"/>
      <c r="B1983" s="8"/>
      <c r="C1983" s="8"/>
      <c r="D1983" s="9"/>
      <c r="E1983" s="8"/>
      <c r="F1983" s="8"/>
      <c r="G1983" s="8"/>
      <c r="H1983" s="8"/>
      <c r="I1983" s="10"/>
      <c r="J1983" s="8"/>
    </row>
    <row r="1984" spans="1:10" x14ac:dyDescent="0.15">
      <c r="A1984" s="7"/>
      <c r="B1984" s="8"/>
      <c r="C1984" s="8"/>
      <c r="D1984" s="9"/>
      <c r="E1984" s="8"/>
      <c r="F1984" s="8"/>
      <c r="G1984" s="8"/>
      <c r="H1984" s="8"/>
      <c r="I1984" s="10"/>
      <c r="J1984" s="8"/>
    </row>
    <row r="1985" spans="1:10" x14ac:dyDescent="0.15">
      <c r="A1985" s="7"/>
      <c r="B1985" s="8"/>
      <c r="C1985" s="8"/>
      <c r="D1985" s="9"/>
      <c r="E1985" s="8"/>
      <c r="F1985" s="8"/>
      <c r="G1985" s="8"/>
      <c r="H1985" s="8"/>
      <c r="I1985" s="10"/>
      <c r="J1985" s="8"/>
    </row>
    <row r="1986" spans="1:10" x14ac:dyDescent="0.15">
      <c r="A1986" s="7"/>
      <c r="B1986" s="8"/>
      <c r="C1986" s="8"/>
      <c r="D1986" s="9"/>
      <c r="E1986" s="8"/>
      <c r="F1986" s="8"/>
      <c r="G1986" s="8"/>
      <c r="H1986" s="8"/>
      <c r="I1986" s="10"/>
      <c r="J1986" s="8"/>
    </row>
    <row r="1987" spans="1:10" x14ac:dyDescent="0.15">
      <c r="A1987" s="7"/>
      <c r="B1987" s="8"/>
      <c r="C1987" s="8"/>
      <c r="D1987" s="9"/>
      <c r="E1987" s="8"/>
      <c r="F1987" s="8"/>
      <c r="G1987" s="8"/>
      <c r="H1987" s="8"/>
      <c r="I1987" s="10"/>
      <c r="J1987" s="8"/>
    </row>
    <row r="1988" spans="1:10" x14ac:dyDescent="0.15">
      <c r="A1988" s="7"/>
      <c r="B1988" s="8"/>
      <c r="C1988" s="8"/>
      <c r="D1988" s="9"/>
      <c r="E1988" s="8"/>
      <c r="F1988" s="8"/>
      <c r="G1988" s="8"/>
      <c r="H1988" s="8"/>
      <c r="I1988" s="10"/>
      <c r="J1988" s="8"/>
    </row>
    <row r="1989" spans="1:10" x14ac:dyDescent="0.15">
      <c r="A1989" s="7"/>
      <c r="B1989" s="8"/>
      <c r="C1989" s="8"/>
      <c r="D1989" s="9"/>
      <c r="E1989" s="8"/>
      <c r="F1989" s="8"/>
      <c r="G1989" s="8"/>
      <c r="H1989" s="8"/>
      <c r="I1989" s="10"/>
      <c r="J1989" s="8"/>
    </row>
    <row r="1990" spans="1:10" x14ac:dyDescent="0.15">
      <c r="A1990" s="7"/>
      <c r="B1990" s="8"/>
      <c r="C1990" s="8"/>
      <c r="D1990" s="9"/>
      <c r="E1990" s="8"/>
      <c r="F1990" s="8"/>
      <c r="G1990" s="8"/>
      <c r="H1990" s="8"/>
      <c r="I1990" s="10"/>
      <c r="J1990" s="8"/>
    </row>
    <row r="1991" spans="1:10" x14ac:dyDescent="0.15">
      <c r="A1991" s="7"/>
      <c r="B1991" s="8"/>
      <c r="C1991" s="8"/>
      <c r="D1991" s="9"/>
      <c r="E1991" s="8"/>
      <c r="F1991" s="8"/>
      <c r="G1991" s="8"/>
      <c r="H1991" s="8"/>
      <c r="I1991" s="10"/>
      <c r="J1991" s="8"/>
    </row>
    <row r="1992" spans="1:10" x14ac:dyDescent="0.15">
      <c r="A1992" s="7"/>
      <c r="B1992" s="8"/>
      <c r="C1992" s="8"/>
      <c r="D1992" s="9"/>
      <c r="E1992" s="8"/>
      <c r="F1992" s="8"/>
      <c r="G1992" s="8"/>
      <c r="H1992" s="8"/>
      <c r="I1992" s="10"/>
      <c r="J1992" s="8"/>
    </row>
    <row r="1993" spans="1:10" x14ac:dyDescent="0.15">
      <c r="A1993" s="7"/>
      <c r="B1993" s="8"/>
      <c r="C1993" s="8"/>
      <c r="D1993" s="9"/>
      <c r="E1993" s="8"/>
      <c r="F1993" s="8"/>
      <c r="G1993" s="8"/>
      <c r="H1993" s="8"/>
      <c r="I1993" s="10"/>
      <c r="J1993" s="8"/>
    </row>
    <row r="1994" spans="1:10" x14ac:dyDescent="0.15">
      <c r="A1994" s="7"/>
      <c r="B1994" s="8"/>
      <c r="C1994" s="8"/>
      <c r="D1994" s="9"/>
      <c r="E1994" s="8"/>
      <c r="F1994" s="8"/>
      <c r="G1994" s="8"/>
      <c r="H1994" s="8"/>
      <c r="I1994" s="10"/>
      <c r="J1994" s="8"/>
    </row>
    <row r="1995" spans="1:10" x14ac:dyDescent="0.15">
      <c r="A1995" s="7"/>
      <c r="B1995" s="8"/>
      <c r="C1995" s="8"/>
      <c r="D1995" s="9"/>
      <c r="E1995" s="8"/>
      <c r="F1995" s="8"/>
      <c r="G1995" s="8"/>
      <c r="H1995" s="8"/>
      <c r="I1995" s="10"/>
      <c r="J1995" s="8"/>
    </row>
    <row r="1996" spans="1:10" x14ac:dyDescent="0.15">
      <c r="A1996" s="7"/>
      <c r="B1996" s="8"/>
      <c r="C1996" s="8"/>
      <c r="D1996" s="9"/>
      <c r="E1996" s="8"/>
      <c r="F1996" s="8"/>
      <c r="G1996" s="8"/>
      <c r="H1996" s="8"/>
      <c r="I1996" s="10"/>
      <c r="J1996" s="8"/>
    </row>
    <row r="1997" spans="1:10" x14ac:dyDescent="0.15">
      <c r="A1997" s="7"/>
      <c r="B1997" s="8"/>
      <c r="C1997" s="8"/>
      <c r="D1997" s="9"/>
      <c r="E1997" s="8"/>
      <c r="F1997" s="8"/>
      <c r="G1997" s="8"/>
      <c r="H1997" s="8"/>
      <c r="I1997" s="10"/>
      <c r="J1997" s="8"/>
    </row>
    <row r="1998" spans="1:10" x14ac:dyDescent="0.15">
      <c r="A1998" s="7"/>
      <c r="B1998" s="8"/>
      <c r="C1998" s="8"/>
      <c r="D1998" s="9"/>
      <c r="E1998" s="8"/>
      <c r="F1998" s="8"/>
      <c r="G1998" s="8"/>
      <c r="H1998" s="8"/>
      <c r="I1998" s="10"/>
      <c r="J1998" s="8"/>
    </row>
    <row r="1999" spans="1:10" x14ac:dyDescent="0.15">
      <c r="A1999" s="7"/>
      <c r="B1999" s="8"/>
      <c r="C1999" s="8"/>
      <c r="D1999" s="9"/>
      <c r="E1999" s="8"/>
      <c r="F1999" s="8"/>
      <c r="G1999" s="8"/>
      <c r="H1999" s="8"/>
      <c r="I1999" s="10"/>
      <c r="J1999" s="8"/>
    </row>
    <row r="2000" spans="1:10" x14ac:dyDescent="0.15">
      <c r="A2000" s="7"/>
      <c r="B2000" s="8"/>
      <c r="C2000" s="8"/>
      <c r="D2000" s="9"/>
      <c r="E2000" s="8"/>
      <c r="F2000" s="8"/>
      <c r="G2000" s="8"/>
      <c r="H2000" s="8"/>
      <c r="I2000" s="10"/>
      <c r="J2000" s="8"/>
    </row>
    <row r="2001" spans="1:10" x14ac:dyDescent="0.15">
      <c r="A2001" s="7"/>
      <c r="B2001" s="8"/>
      <c r="C2001" s="8"/>
      <c r="D2001" s="9"/>
      <c r="E2001" s="8"/>
      <c r="F2001" s="8"/>
      <c r="G2001" s="8"/>
      <c r="H2001" s="8"/>
      <c r="I2001" s="10"/>
      <c r="J2001" s="8"/>
    </row>
    <row r="2002" spans="1:10" x14ac:dyDescent="0.15">
      <c r="A2002" s="7"/>
      <c r="B2002" s="8"/>
      <c r="C2002" s="8"/>
      <c r="D2002" s="9"/>
      <c r="E2002" s="8"/>
      <c r="F2002" s="8"/>
      <c r="G2002" s="8"/>
      <c r="H2002" s="8"/>
      <c r="I2002" s="10"/>
      <c r="J2002" s="8"/>
    </row>
    <row r="2003" spans="1:10" x14ac:dyDescent="0.15">
      <c r="A2003" s="7"/>
      <c r="B2003" s="8"/>
      <c r="C2003" s="8"/>
      <c r="D2003" s="9"/>
      <c r="E2003" s="8"/>
      <c r="F2003" s="8"/>
      <c r="G2003" s="8"/>
      <c r="H2003" s="8"/>
      <c r="I2003" s="10"/>
      <c r="J2003" s="8"/>
    </row>
    <row r="2004" spans="1:10" x14ac:dyDescent="0.15">
      <c r="A2004" s="7"/>
      <c r="B2004" s="8"/>
      <c r="C2004" s="8"/>
      <c r="D2004" s="9"/>
      <c r="E2004" s="8"/>
      <c r="F2004" s="8"/>
      <c r="G2004" s="8"/>
      <c r="H2004" s="8"/>
      <c r="I2004" s="10"/>
      <c r="J2004" s="8"/>
    </row>
    <row r="2005" spans="1:10" x14ac:dyDescent="0.15">
      <c r="A2005" s="7"/>
      <c r="B2005" s="8"/>
      <c r="C2005" s="8"/>
      <c r="D2005" s="9"/>
      <c r="E2005" s="8"/>
      <c r="F2005" s="8"/>
      <c r="G2005" s="8"/>
      <c r="H2005" s="8"/>
      <c r="I2005" s="10"/>
      <c r="J2005" s="8"/>
    </row>
    <row r="2006" spans="1:10" x14ac:dyDescent="0.15">
      <c r="A2006" s="7"/>
      <c r="B2006" s="8"/>
      <c r="C2006" s="8"/>
      <c r="D2006" s="9"/>
      <c r="E2006" s="8"/>
      <c r="F2006" s="8"/>
      <c r="G2006" s="8"/>
      <c r="H2006" s="8"/>
      <c r="I2006" s="10"/>
      <c r="J2006" s="8"/>
    </row>
    <row r="2007" spans="1:10" x14ac:dyDescent="0.15">
      <c r="A2007" s="7"/>
      <c r="B2007" s="8"/>
      <c r="C2007" s="8"/>
      <c r="D2007" s="9"/>
      <c r="E2007" s="8"/>
      <c r="F2007" s="8"/>
      <c r="G2007" s="8"/>
      <c r="H2007" s="8"/>
      <c r="I2007" s="10"/>
      <c r="J2007" s="8"/>
    </row>
    <row r="2008" spans="1:10" x14ac:dyDescent="0.15">
      <c r="A2008" s="7"/>
      <c r="B2008" s="8"/>
      <c r="C2008" s="8"/>
      <c r="D2008" s="9"/>
      <c r="E2008" s="8"/>
      <c r="F2008" s="8"/>
      <c r="G2008" s="8"/>
      <c r="H2008" s="8"/>
      <c r="I2008" s="10"/>
      <c r="J2008" s="8"/>
    </row>
    <row r="2009" spans="1:10" x14ac:dyDescent="0.15">
      <c r="A2009" s="7"/>
      <c r="B2009" s="8"/>
      <c r="C2009" s="8"/>
      <c r="D2009" s="9"/>
      <c r="E2009" s="8"/>
      <c r="F2009" s="8"/>
      <c r="G2009" s="8"/>
      <c r="H2009" s="8"/>
      <c r="I2009" s="10"/>
      <c r="J2009" s="8"/>
    </row>
    <row r="2010" spans="1:10" x14ac:dyDescent="0.15">
      <c r="A2010" s="7"/>
      <c r="B2010" s="8"/>
      <c r="C2010" s="8"/>
      <c r="D2010" s="9"/>
      <c r="E2010" s="8"/>
      <c r="F2010" s="8"/>
      <c r="G2010" s="8"/>
      <c r="H2010" s="8"/>
      <c r="I2010" s="10"/>
      <c r="J2010" s="8"/>
    </row>
    <row r="2011" spans="1:10" x14ac:dyDescent="0.15">
      <c r="A2011" s="7"/>
      <c r="B2011" s="8"/>
      <c r="C2011" s="8"/>
      <c r="D2011" s="9"/>
      <c r="E2011" s="8"/>
      <c r="F2011" s="8"/>
      <c r="G2011" s="8"/>
      <c r="H2011" s="8"/>
      <c r="I2011" s="10"/>
      <c r="J2011" s="8"/>
    </row>
    <row r="2012" spans="1:10" x14ac:dyDescent="0.15">
      <c r="A2012" s="7"/>
      <c r="B2012" s="8"/>
      <c r="C2012" s="8"/>
      <c r="D2012" s="9"/>
      <c r="E2012" s="8"/>
      <c r="F2012" s="8"/>
      <c r="G2012" s="8"/>
      <c r="H2012" s="8"/>
      <c r="I2012" s="10"/>
      <c r="J2012" s="8"/>
    </row>
    <row r="2013" spans="1:10" x14ac:dyDescent="0.15">
      <c r="A2013" s="7"/>
      <c r="B2013" s="8"/>
      <c r="C2013" s="8"/>
      <c r="D2013" s="9"/>
      <c r="E2013" s="8"/>
      <c r="F2013" s="8"/>
      <c r="G2013" s="8"/>
      <c r="H2013" s="8"/>
      <c r="I2013" s="10"/>
      <c r="J2013" s="8"/>
    </row>
    <row r="2014" spans="1:10" x14ac:dyDescent="0.15">
      <c r="A2014" s="7"/>
      <c r="B2014" s="8"/>
      <c r="C2014" s="8"/>
      <c r="D2014" s="9"/>
      <c r="E2014" s="8"/>
      <c r="F2014" s="8"/>
      <c r="G2014" s="8"/>
      <c r="H2014" s="8"/>
      <c r="I2014" s="10"/>
      <c r="J2014" s="8"/>
    </row>
    <row r="2015" spans="1:10" x14ac:dyDescent="0.15">
      <c r="A2015" s="7"/>
      <c r="B2015" s="8"/>
      <c r="C2015" s="8"/>
      <c r="D2015" s="9"/>
      <c r="E2015" s="8"/>
      <c r="F2015" s="8"/>
      <c r="G2015" s="8"/>
      <c r="H2015" s="8"/>
      <c r="I2015" s="10"/>
      <c r="J2015" s="8"/>
    </row>
    <row r="2016" spans="1:10" x14ac:dyDescent="0.15">
      <c r="A2016" s="7"/>
      <c r="B2016" s="8"/>
      <c r="C2016" s="8"/>
      <c r="D2016" s="9"/>
      <c r="E2016" s="8"/>
      <c r="F2016" s="8"/>
      <c r="G2016" s="8"/>
      <c r="H2016" s="8"/>
      <c r="I2016" s="10"/>
      <c r="J2016" s="8"/>
    </row>
    <row r="2017" spans="1:10" x14ac:dyDescent="0.15">
      <c r="A2017" s="7"/>
      <c r="B2017" s="8"/>
      <c r="C2017" s="8"/>
      <c r="D2017" s="9"/>
      <c r="E2017" s="8"/>
      <c r="F2017" s="8"/>
      <c r="G2017" s="8"/>
      <c r="H2017" s="8"/>
      <c r="I2017" s="10"/>
      <c r="J2017" s="8"/>
    </row>
    <row r="2018" spans="1:10" x14ac:dyDescent="0.15">
      <c r="A2018" s="7"/>
      <c r="B2018" s="8"/>
      <c r="C2018" s="8"/>
      <c r="D2018" s="9"/>
      <c r="E2018" s="8"/>
      <c r="F2018" s="8"/>
      <c r="G2018" s="8"/>
      <c r="H2018" s="8"/>
      <c r="I2018" s="10"/>
      <c r="J2018" s="8"/>
    </row>
    <row r="2019" spans="1:10" x14ac:dyDescent="0.15">
      <c r="A2019" s="7"/>
      <c r="B2019" s="8"/>
      <c r="C2019" s="8"/>
      <c r="D2019" s="9"/>
      <c r="E2019" s="8"/>
      <c r="F2019" s="8"/>
      <c r="G2019" s="8"/>
      <c r="H2019" s="8"/>
      <c r="I2019" s="10"/>
      <c r="J2019" s="8"/>
    </row>
    <row r="2020" spans="1:10" x14ac:dyDescent="0.15">
      <c r="A2020" s="7"/>
      <c r="B2020" s="8"/>
      <c r="C2020" s="8"/>
      <c r="D2020" s="9"/>
      <c r="E2020" s="8"/>
      <c r="F2020" s="8"/>
      <c r="G2020" s="8"/>
      <c r="H2020" s="8"/>
      <c r="I2020" s="10"/>
      <c r="J2020" s="8"/>
    </row>
    <row r="2021" spans="1:10" x14ac:dyDescent="0.15">
      <c r="A2021" s="7"/>
      <c r="B2021" s="8"/>
      <c r="C2021" s="8"/>
      <c r="D2021" s="9"/>
      <c r="E2021" s="8"/>
      <c r="F2021" s="8"/>
      <c r="G2021" s="8"/>
      <c r="H2021" s="8"/>
      <c r="I2021" s="10"/>
      <c r="J2021" s="8"/>
    </row>
    <row r="2022" spans="1:10" x14ac:dyDescent="0.15">
      <c r="A2022" s="7"/>
      <c r="B2022" s="8"/>
      <c r="C2022" s="8"/>
      <c r="D2022" s="9"/>
      <c r="E2022" s="8"/>
      <c r="F2022" s="8"/>
      <c r="G2022" s="8"/>
      <c r="H2022" s="8"/>
      <c r="I2022" s="10"/>
      <c r="J2022" s="8"/>
    </row>
    <row r="2023" spans="1:10" x14ac:dyDescent="0.15">
      <c r="A2023" s="7"/>
      <c r="B2023" s="8"/>
      <c r="C2023" s="8"/>
      <c r="D2023" s="9"/>
      <c r="E2023" s="8"/>
      <c r="F2023" s="8"/>
      <c r="G2023" s="8"/>
      <c r="H2023" s="8"/>
      <c r="I2023" s="10"/>
      <c r="J2023" s="8"/>
    </row>
    <row r="2024" spans="1:10" x14ac:dyDescent="0.15">
      <c r="A2024" s="7"/>
      <c r="B2024" s="8"/>
      <c r="C2024" s="8"/>
      <c r="D2024" s="9"/>
      <c r="E2024" s="8"/>
      <c r="F2024" s="8"/>
      <c r="G2024" s="8"/>
      <c r="H2024" s="8"/>
      <c r="I2024" s="10"/>
      <c r="J2024" s="8"/>
    </row>
    <row r="2025" spans="1:10" x14ac:dyDescent="0.15">
      <c r="A2025" s="7"/>
      <c r="B2025" s="8"/>
      <c r="C2025" s="8"/>
      <c r="D2025" s="9"/>
      <c r="E2025" s="8"/>
      <c r="F2025" s="8"/>
      <c r="G2025" s="8"/>
      <c r="H2025" s="8"/>
      <c r="I2025" s="10"/>
      <c r="J2025" s="8"/>
    </row>
    <row r="2026" spans="1:10" x14ac:dyDescent="0.15">
      <c r="A2026" s="7"/>
      <c r="B2026" s="8"/>
      <c r="C2026" s="8"/>
      <c r="D2026" s="9"/>
      <c r="E2026" s="8"/>
      <c r="F2026" s="8"/>
      <c r="G2026" s="8"/>
      <c r="H2026" s="8"/>
      <c r="I2026" s="10"/>
      <c r="J2026" s="8"/>
    </row>
    <row r="2027" spans="1:10" x14ac:dyDescent="0.15">
      <c r="A2027" s="7"/>
      <c r="B2027" s="8"/>
      <c r="C2027" s="8"/>
      <c r="D2027" s="9"/>
      <c r="E2027" s="8"/>
      <c r="F2027" s="8"/>
      <c r="G2027" s="8"/>
      <c r="H2027" s="8"/>
      <c r="I2027" s="10"/>
      <c r="J2027" s="8"/>
    </row>
    <row r="2028" spans="1:10" x14ac:dyDescent="0.15">
      <c r="A2028" s="7"/>
      <c r="B2028" s="8"/>
      <c r="C2028" s="8"/>
      <c r="D2028" s="9"/>
      <c r="E2028" s="8"/>
      <c r="F2028" s="8"/>
      <c r="G2028" s="8"/>
      <c r="H2028" s="8"/>
      <c r="I2028" s="10"/>
      <c r="J2028" s="8"/>
    </row>
    <row r="2029" spans="1:10" x14ac:dyDescent="0.15">
      <c r="A2029" s="7"/>
      <c r="B2029" s="8"/>
      <c r="C2029" s="8"/>
      <c r="D2029" s="9"/>
      <c r="E2029" s="8"/>
      <c r="F2029" s="8"/>
      <c r="G2029" s="8"/>
      <c r="H2029" s="8"/>
      <c r="I2029" s="10"/>
      <c r="J2029" s="8"/>
    </row>
    <row r="2030" spans="1:10" x14ac:dyDescent="0.15">
      <c r="A2030" s="7"/>
      <c r="B2030" s="8"/>
      <c r="C2030" s="8"/>
      <c r="D2030" s="9"/>
      <c r="E2030" s="8"/>
      <c r="F2030" s="8"/>
      <c r="G2030" s="8"/>
      <c r="H2030" s="8"/>
      <c r="I2030" s="10"/>
      <c r="J2030" s="8"/>
    </row>
    <row r="2031" spans="1:10" x14ac:dyDescent="0.15">
      <c r="A2031" s="7"/>
      <c r="B2031" s="8"/>
      <c r="C2031" s="8"/>
      <c r="D2031" s="9"/>
      <c r="E2031" s="8"/>
      <c r="F2031" s="8"/>
      <c r="G2031" s="8"/>
      <c r="H2031" s="8"/>
      <c r="I2031" s="10"/>
      <c r="J2031" s="8"/>
    </row>
    <row r="2032" spans="1:10" x14ac:dyDescent="0.15">
      <c r="A2032" s="7"/>
      <c r="B2032" s="8"/>
      <c r="C2032" s="8"/>
      <c r="D2032" s="9"/>
      <c r="E2032" s="8"/>
      <c r="F2032" s="8"/>
      <c r="G2032" s="8"/>
      <c r="H2032" s="8"/>
      <c r="I2032" s="10"/>
      <c r="J2032" s="8"/>
    </row>
    <row r="2033" spans="1:10" x14ac:dyDescent="0.15">
      <c r="A2033" s="7"/>
      <c r="B2033" s="8"/>
      <c r="C2033" s="8"/>
      <c r="D2033" s="9"/>
      <c r="E2033" s="8"/>
      <c r="F2033" s="8"/>
      <c r="G2033" s="8"/>
      <c r="H2033" s="8"/>
      <c r="I2033" s="10"/>
      <c r="J2033" s="8"/>
    </row>
    <row r="2034" spans="1:10" x14ac:dyDescent="0.15">
      <c r="A2034" s="7"/>
      <c r="B2034" s="8"/>
      <c r="C2034" s="8"/>
      <c r="D2034" s="9"/>
      <c r="E2034" s="8"/>
      <c r="F2034" s="8"/>
      <c r="G2034" s="8"/>
      <c r="H2034" s="8"/>
      <c r="I2034" s="10"/>
      <c r="J2034" s="8"/>
    </row>
    <row r="2035" spans="1:10" x14ac:dyDescent="0.15">
      <c r="A2035" s="7"/>
      <c r="B2035" s="8"/>
      <c r="C2035" s="8"/>
      <c r="D2035" s="9"/>
      <c r="E2035" s="8"/>
      <c r="F2035" s="8"/>
      <c r="G2035" s="8"/>
      <c r="H2035" s="8"/>
      <c r="I2035" s="10"/>
      <c r="J2035" s="8"/>
    </row>
    <row r="2036" spans="1:10" x14ac:dyDescent="0.15">
      <c r="A2036" s="7"/>
      <c r="B2036" s="8"/>
      <c r="C2036" s="8"/>
      <c r="D2036" s="9"/>
      <c r="E2036" s="8"/>
      <c r="F2036" s="8"/>
      <c r="G2036" s="8"/>
      <c r="H2036" s="8"/>
      <c r="I2036" s="10"/>
      <c r="J2036" s="8"/>
    </row>
    <row r="2037" spans="1:10" x14ac:dyDescent="0.15">
      <c r="A2037" s="7"/>
      <c r="B2037" s="8"/>
      <c r="C2037" s="8"/>
      <c r="D2037" s="9"/>
      <c r="E2037" s="8"/>
      <c r="F2037" s="8"/>
      <c r="G2037" s="8"/>
      <c r="H2037" s="8"/>
      <c r="I2037" s="10"/>
      <c r="J2037" s="8"/>
    </row>
    <row r="2038" spans="1:10" x14ac:dyDescent="0.15">
      <c r="A2038" s="7"/>
      <c r="B2038" s="8"/>
      <c r="C2038" s="8"/>
      <c r="D2038" s="9"/>
      <c r="E2038" s="8"/>
      <c r="F2038" s="8"/>
      <c r="G2038" s="8"/>
      <c r="H2038" s="8"/>
      <c r="I2038" s="10"/>
      <c r="J2038" s="8"/>
    </row>
    <row r="2039" spans="1:10" x14ac:dyDescent="0.15">
      <c r="A2039" s="7"/>
      <c r="B2039" s="8"/>
      <c r="C2039" s="8"/>
      <c r="D2039" s="9"/>
      <c r="E2039" s="8"/>
      <c r="F2039" s="8"/>
      <c r="G2039" s="8"/>
      <c r="H2039" s="8"/>
      <c r="I2039" s="10"/>
      <c r="J2039" s="8"/>
    </row>
    <row r="2040" spans="1:10" x14ac:dyDescent="0.15">
      <c r="A2040" s="7"/>
      <c r="B2040" s="8"/>
      <c r="C2040" s="8"/>
      <c r="D2040" s="9"/>
      <c r="E2040" s="8"/>
      <c r="F2040" s="8"/>
      <c r="G2040" s="8"/>
      <c r="H2040" s="8"/>
      <c r="I2040" s="10"/>
      <c r="J2040" s="8"/>
    </row>
    <row r="2041" spans="1:10" x14ac:dyDescent="0.15">
      <c r="A2041" s="7"/>
      <c r="B2041" s="8"/>
      <c r="C2041" s="8"/>
      <c r="D2041" s="9"/>
      <c r="E2041" s="8"/>
      <c r="F2041" s="8"/>
      <c r="G2041" s="8"/>
      <c r="H2041" s="8"/>
      <c r="I2041" s="10"/>
      <c r="J2041" s="8"/>
    </row>
    <row r="2042" spans="1:10" x14ac:dyDescent="0.15">
      <c r="A2042" s="7"/>
      <c r="B2042" s="8"/>
      <c r="C2042" s="8"/>
      <c r="D2042" s="9"/>
      <c r="E2042" s="8"/>
      <c r="F2042" s="8"/>
      <c r="G2042" s="8"/>
      <c r="H2042" s="8"/>
      <c r="I2042" s="10"/>
      <c r="J2042" s="8"/>
    </row>
    <row r="2043" spans="1:10" x14ac:dyDescent="0.15">
      <c r="A2043" s="7"/>
      <c r="B2043" s="8"/>
      <c r="C2043" s="8"/>
      <c r="D2043" s="9"/>
      <c r="E2043" s="8"/>
      <c r="F2043" s="8"/>
      <c r="G2043" s="8"/>
      <c r="H2043" s="8"/>
      <c r="I2043" s="10"/>
      <c r="J2043" s="8"/>
    </row>
    <row r="2044" spans="1:10" x14ac:dyDescent="0.15">
      <c r="A2044" s="7"/>
      <c r="B2044" s="8"/>
      <c r="C2044" s="8"/>
      <c r="D2044" s="9"/>
      <c r="E2044" s="8"/>
      <c r="F2044" s="8"/>
      <c r="G2044" s="8"/>
      <c r="H2044" s="8"/>
      <c r="I2044" s="10"/>
      <c r="J2044" s="8"/>
    </row>
    <row r="2045" spans="1:10" x14ac:dyDescent="0.15">
      <c r="A2045" s="7"/>
      <c r="B2045" s="8"/>
      <c r="C2045" s="8"/>
      <c r="D2045" s="9"/>
      <c r="E2045" s="8"/>
      <c r="F2045" s="8"/>
      <c r="G2045" s="8"/>
      <c r="H2045" s="8"/>
      <c r="I2045" s="10"/>
      <c r="J2045" s="8"/>
    </row>
    <row r="2046" spans="1:10" x14ac:dyDescent="0.15">
      <c r="A2046" s="7"/>
      <c r="B2046" s="8"/>
      <c r="C2046" s="8"/>
      <c r="D2046" s="9"/>
      <c r="E2046" s="8"/>
      <c r="F2046" s="8"/>
      <c r="G2046" s="8"/>
      <c r="H2046" s="8"/>
      <c r="I2046" s="10"/>
      <c r="J2046" s="8"/>
    </row>
    <row r="2047" spans="1:10" x14ac:dyDescent="0.15">
      <c r="A2047" s="7"/>
      <c r="B2047" s="8"/>
      <c r="C2047" s="8"/>
      <c r="D2047" s="9"/>
      <c r="E2047" s="8"/>
      <c r="F2047" s="8"/>
      <c r="G2047" s="8"/>
      <c r="H2047" s="8"/>
      <c r="I2047" s="10"/>
      <c r="J2047" s="8"/>
    </row>
    <row r="2048" spans="1:10" x14ac:dyDescent="0.15">
      <c r="A2048" s="7"/>
      <c r="B2048" s="8"/>
      <c r="C2048" s="8"/>
      <c r="D2048" s="9"/>
      <c r="E2048" s="8"/>
      <c r="F2048" s="8"/>
      <c r="G2048" s="8"/>
      <c r="H2048" s="8"/>
      <c r="I2048" s="10"/>
      <c r="J2048" s="8"/>
    </row>
    <row r="2049" spans="1:10" x14ac:dyDescent="0.15">
      <c r="A2049" s="7"/>
      <c r="B2049" s="8"/>
      <c r="C2049" s="8"/>
      <c r="D2049" s="9"/>
      <c r="E2049" s="8"/>
      <c r="F2049" s="8"/>
      <c r="G2049" s="8"/>
      <c r="H2049" s="8"/>
      <c r="I2049" s="10"/>
      <c r="J2049" s="8"/>
    </row>
    <row r="2050" spans="1:10" x14ac:dyDescent="0.15">
      <c r="A2050" s="7"/>
      <c r="B2050" s="8"/>
      <c r="C2050" s="8"/>
      <c r="D2050" s="9"/>
      <c r="E2050" s="8"/>
      <c r="F2050" s="8"/>
      <c r="G2050" s="8"/>
      <c r="H2050" s="8"/>
      <c r="I2050" s="10"/>
      <c r="J2050" s="8"/>
    </row>
    <row r="2051" spans="1:10" x14ac:dyDescent="0.15">
      <c r="A2051" s="7"/>
      <c r="B2051" s="8"/>
      <c r="C2051" s="8"/>
      <c r="D2051" s="9"/>
      <c r="E2051" s="8"/>
      <c r="F2051" s="8"/>
      <c r="G2051" s="8"/>
      <c r="H2051" s="8"/>
      <c r="I2051" s="10"/>
      <c r="J2051" s="8"/>
    </row>
    <row r="2052" spans="1:10" x14ac:dyDescent="0.15">
      <c r="A2052" s="7"/>
      <c r="B2052" s="8"/>
      <c r="C2052" s="8"/>
      <c r="D2052" s="9"/>
      <c r="E2052" s="8"/>
      <c r="F2052" s="8"/>
      <c r="G2052" s="8"/>
      <c r="H2052" s="8"/>
      <c r="I2052" s="10"/>
      <c r="J2052" s="8"/>
    </row>
    <row r="2053" spans="1:10" x14ac:dyDescent="0.15">
      <c r="A2053" s="7"/>
      <c r="B2053" s="8"/>
      <c r="C2053" s="8"/>
      <c r="D2053" s="9"/>
      <c r="E2053" s="8"/>
      <c r="F2053" s="8"/>
      <c r="G2053" s="8"/>
      <c r="H2053" s="8"/>
      <c r="I2053" s="10"/>
      <c r="J2053" s="8"/>
    </row>
    <row r="2054" spans="1:10" x14ac:dyDescent="0.15">
      <c r="A2054" s="7"/>
      <c r="B2054" s="8"/>
      <c r="C2054" s="8"/>
      <c r="D2054" s="9"/>
      <c r="E2054" s="8"/>
      <c r="F2054" s="8"/>
      <c r="G2054" s="8"/>
      <c r="H2054" s="8"/>
      <c r="I2054" s="10"/>
      <c r="J2054" s="8"/>
    </row>
    <row r="2055" spans="1:10" x14ac:dyDescent="0.15">
      <c r="A2055" s="7"/>
      <c r="B2055" s="8"/>
      <c r="C2055" s="8"/>
      <c r="D2055" s="9"/>
      <c r="E2055" s="8"/>
      <c r="F2055" s="8"/>
      <c r="G2055" s="8"/>
      <c r="H2055" s="8"/>
      <c r="I2055" s="10"/>
      <c r="J2055" s="8"/>
    </row>
    <row r="2056" spans="1:10" x14ac:dyDescent="0.15">
      <c r="A2056" s="7"/>
      <c r="B2056" s="8"/>
      <c r="C2056" s="8"/>
      <c r="D2056" s="9"/>
      <c r="E2056" s="8"/>
      <c r="F2056" s="8"/>
      <c r="G2056" s="8"/>
      <c r="H2056" s="8"/>
      <c r="I2056" s="10"/>
      <c r="J2056" s="8"/>
    </row>
    <row r="2057" spans="1:10" x14ac:dyDescent="0.15">
      <c r="A2057" s="7"/>
      <c r="B2057" s="8"/>
      <c r="C2057" s="8"/>
      <c r="D2057" s="9"/>
      <c r="E2057" s="8"/>
      <c r="F2057" s="8"/>
      <c r="G2057" s="8"/>
      <c r="H2057" s="8"/>
      <c r="I2057" s="10"/>
      <c r="J2057" s="8"/>
    </row>
    <row r="2058" spans="1:10" x14ac:dyDescent="0.15">
      <c r="A2058" s="7"/>
      <c r="B2058" s="8"/>
      <c r="C2058" s="8"/>
      <c r="D2058" s="9"/>
      <c r="E2058" s="8"/>
      <c r="F2058" s="8"/>
      <c r="G2058" s="8"/>
      <c r="H2058" s="8"/>
      <c r="I2058" s="10"/>
      <c r="J2058" s="8"/>
    </row>
    <row r="2059" spans="1:10" x14ac:dyDescent="0.15">
      <c r="A2059" s="7"/>
      <c r="B2059" s="8"/>
      <c r="C2059" s="8"/>
      <c r="D2059" s="9"/>
      <c r="E2059" s="8"/>
      <c r="F2059" s="8"/>
      <c r="G2059" s="8"/>
      <c r="H2059" s="8"/>
      <c r="I2059" s="10"/>
      <c r="J2059" s="8"/>
    </row>
    <row r="2060" spans="1:10" x14ac:dyDescent="0.15">
      <c r="A2060" s="7"/>
      <c r="B2060" s="8"/>
      <c r="C2060" s="8"/>
      <c r="D2060" s="9"/>
      <c r="E2060" s="8"/>
      <c r="F2060" s="8"/>
      <c r="G2060" s="8"/>
      <c r="H2060" s="8"/>
      <c r="I2060" s="10"/>
      <c r="J2060" s="8"/>
    </row>
    <row r="2061" spans="1:10" x14ac:dyDescent="0.15">
      <c r="A2061" s="7"/>
      <c r="B2061" s="8"/>
      <c r="C2061" s="8"/>
      <c r="D2061" s="9"/>
      <c r="E2061" s="8"/>
      <c r="F2061" s="8"/>
      <c r="G2061" s="8"/>
      <c r="H2061" s="8"/>
      <c r="I2061" s="10"/>
      <c r="J2061" s="8"/>
    </row>
    <row r="2062" spans="1:10" x14ac:dyDescent="0.15">
      <c r="A2062" s="7"/>
      <c r="B2062" s="8"/>
      <c r="C2062" s="8"/>
      <c r="D2062" s="9"/>
      <c r="E2062" s="8"/>
      <c r="F2062" s="8"/>
      <c r="G2062" s="8"/>
      <c r="H2062" s="8"/>
      <c r="I2062" s="10"/>
      <c r="J2062" s="8"/>
    </row>
    <row r="2063" spans="1:10" x14ac:dyDescent="0.15">
      <c r="A2063" s="7"/>
      <c r="B2063" s="8"/>
      <c r="C2063" s="8"/>
      <c r="D2063" s="9"/>
      <c r="E2063" s="8"/>
      <c r="F2063" s="8"/>
      <c r="G2063" s="8"/>
      <c r="H2063" s="8"/>
      <c r="I2063" s="10"/>
      <c r="J2063" s="8"/>
    </row>
    <row r="2064" spans="1:10" x14ac:dyDescent="0.15">
      <c r="A2064" s="7"/>
      <c r="B2064" s="8"/>
      <c r="C2064" s="8"/>
      <c r="D2064" s="9"/>
      <c r="E2064" s="8"/>
      <c r="F2064" s="8"/>
      <c r="G2064" s="8"/>
      <c r="H2064" s="8"/>
      <c r="I2064" s="10"/>
      <c r="J2064" s="8"/>
    </row>
    <row r="2065" spans="1:10" x14ac:dyDescent="0.15">
      <c r="A2065" s="7"/>
      <c r="B2065" s="8"/>
      <c r="C2065" s="8"/>
      <c r="D2065" s="9"/>
      <c r="E2065" s="8"/>
      <c r="F2065" s="8"/>
      <c r="G2065" s="8"/>
      <c r="H2065" s="8"/>
      <c r="I2065" s="10"/>
      <c r="J2065" s="8"/>
    </row>
    <row r="2066" spans="1:10" x14ac:dyDescent="0.15">
      <c r="A2066" s="7"/>
      <c r="B2066" s="8"/>
      <c r="C2066" s="8"/>
      <c r="D2066" s="9"/>
      <c r="E2066" s="8"/>
      <c r="F2066" s="8"/>
      <c r="G2066" s="8"/>
      <c r="H2066" s="8"/>
      <c r="I2066" s="10"/>
      <c r="J2066" s="8"/>
    </row>
    <row r="2067" spans="1:10" x14ac:dyDescent="0.15">
      <c r="A2067" s="7"/>
      <c r="B2067" s="8"/>
      <c r="C2067" s="8"/>
      <c r="D2067" s="9"/>
      <c r="E2067" s="8"/>
      <c r="F2067" s="8"/>
      <c r="G2067" s="8"/>
      <c r="H2067" s="8"/>
      <c r="I2067" s="10"/>
      <c r="J2067" s="8"/>
    </row>
    <row r="2068" spans="1:10" x14ac:dyDescent="0.15">
      <c r="A2068" s="7"/>
      <c r="B2068" s="8"/>
      <c r="C2068" s="8"/>
      <c r="D2068" s="9"/>
      <c r="E2068" s="8"/>
      <c r="F2068" s="8"/>
      <c r="G2068" s="8"/>
      <c r="H2068" s="8"/>
      <c r="I2068" s="10"/>
      <c r="J2068" s="8"/>
    </row>
    <row r="2069" spans="1:10" x14ac:dyDescent="0.15">
      <c r="A2069" s="7"/>
      <c r="B2069" s="8"/>
      <c r="C2069" s="8"/>
      <c r="D2069" s="9"/>
      <c r="E2069" s="8"/>
      <c r="F2069" s="8"/>
      <c r="G2069" s="8"/>
      <c r="H2069" s="8"/>
      <c r="I2069" s="10"/>
      <c r="J2069" s="8"/>
    </row>
    <row r="2070" spans="1:10" x14ac:dyDescent="0.15">
      <c r="A2070" s="7"/>
      <c r="B2070" s="8"/>
      <c r="C2070" s="8"/>
      <c r="D2070" s="9"/>
      <c r="E2070" s="8"/>
      <c r="F2070" s="8"/>
      <c r="G2070" s="8"/>
      <c r="H2070" s="8"/>
      <c r="I2070" s="10"/>
      <c r="J2070" s="8"/>
    </row>
    <row r="2071" spans="1:10" x14ac:dyDescent="0.15">
      <c r="A2071" s="7"/>
      <c r="B2071" s="8"/>
      <c r="C2071" s="8"/>
      <c r="D2071" s="9"/>
      <c r="E2071" s="8"/>
      <c r="F2071" s="8"/>
      <c r="G2071" s="8"/>
      <c r="H2071" s="8"/>
      <c r="I2071" s="10"/>
      <c r="J2071" s="8"/>
    </row>
    <row r="2072" spans="1:10" x14ac:dyDescent="0.15">
      <c r="A2072" s="7"/>
      <c r="B2072" s="8"/>
      <c r="C2072" s="8"/>
      <c r="D2072" s="9"/>
      <c r="E2072" s="8"/>
      <c r="F2072" s="8"/>
      <c r="G2072" s="8"/>
      <c r="H2072" s="8"/>
      <c r="I2072" s="10"/>
      <c r="J2072" s="8"/>
    </row>
    <row r="2073" spans="1:10" x14ac:dyDescent="0.15">
      <c r="A2073" s="7"/>
      <c r="B2073" s="8"/>
      <c r="C2073" s="8"/>
      <c r="D2073" s="9"/>
      <c r="E2073" s="8"/>
      <c r="F2073" s="8"/>
      <c r="G2073" s="8"/>
      <c r="H2073" s="8"/>
      <c r="I2073" s="10"/>
      <c r="J2073" s="8"/>
    </row>
    <row r="2074" spans="1:10" x14ac:dyDescent="0.15">
      <c r="A2074" s="7"/>
      <c r="B2074" s="8"/>
      <c r="C2074" s="8"/>
      <c r="D2074" s="9"/>
      <c r="E2074" s="8"/>
      <c r="F2074" s="8"/>
      <c r="G2074" s="8"/>
      <c r="H2074" s="8"/>
      <c r="I2074" s="10"/>
      <c r="J2074" s="8"/>
    </row>
    <row r="2075" spans="1:10" x14ac:dyDescent="0.15">
      <c r="A2075" s="7"/>
      <c r="B2075" s="8"/>
      <c r="C2075" s="8"/>
      <c r="D2075" s="9"/>
      <c r="E2075" s="8"/>
      <c r="F2075" s="8"/>
      <c r="G2075" s="8"/>
      <c r="H2075" s="8"/>
      <c r="I2075" s="10"/>
      <c r="J2075" s="8"/>
    </row>
    <row r="2076" spans="1:10" x14ac:dyDescent="0.15">
      <c r="A2076" s="7"/>
      <c r="B2076" s="8"/>
      <c r="C2076" s="8"/>
      <c r="D2076" s="9"/>
      <c r="E2076" s="8"/>
      <c r="F2076" s="8"/>
      <c r="G2076" s="8"/>
      <c r="H2076" s="8"/>
      <c r="I2076" s="10"/>
      <c r="J2076" s="8"/>
    </row>
    <row r="2077" spans="1:10" x14ac:dyDescent="0.15">
      <c r="A2077" s="7"/>
      <c r="B2077" s="8"/>
      <c r="C2077" s="8"/>
      <c r="D2077" s="9"/>
      <c r="E2077" s="8"/>
      <c r="F2077" s="8"/>
      <c r="G2077" s="8"/>
      <c r="H2077" s="8"/>
      <c r="I2077" s="10"/>
      <c r="J2077" s="8"/>
    </row>
    <row r="2078" spans="1:10" x14ac:dyDescent="0.15">
      <c r="A2078" s="7"/>
      <c r="B2078" s="8"/>
      <c r="C2078" s="8"/>
      <c r="D2078" s="9"/>
      <c r="E2078" s="8"/>
      <c r="F2078" s="8"/>
      <c r="G2078" s="8"/>
      <c r="H2078" s="8"/>
      <c r="I2078" s="10"/>
      <c r="J2078" s="8"/>
    </row>
    <row r="2079" spans="1:10" x14ac:dyDescent="0.15">
      <c r="A2079" s="7"/>
      <c r="B2079" s="8"/>
      <c r="C2079" s="8"/>
      <c r="D2079" s="9"/>
      <c r="E2079" s="8"/>
      <c r="F2079" s="8"/>
      <c r="G2079" s="8"/>
      <c r="H2079" s="8"/>
      <c r="I2079" s="10"/>
      <c r="J2079" s="8"/>
    </row>
    <row r="2080" spans="1:10" x14ac:dyDescent="0.15">
      <c r="A2080" s="7"/>
      <c r="B2080" s="8"/>
      <c r="C2080" s="8"/>
      <c r="D2080" s="9"/>
      <c r="E2080" s="8"/>
      <c r="F2080" s="8"/>
      <c r="G2080" s="8"/>
      <c r="H2080" s="8"/>
      <c r="I2080" s="10"/>
      <c r="J2080" s="8"/>
    </row>
    <row r="2081" spans="1:10" x14ac:dyDescent="0.15">
      <c r="A2081" s="7"/>
      <c r="B2081" s="8"/>
      <c r="C2081" s="8"/>
      <c r="D2081" s="9"/>
      <c r="E2081" s="8"/>
      <c r="F2081" s="8"/>
      <c r="G2081" s="8"/>
      <c r="H2081" s="8"/>
      <c r="I2081" s="10"/>
      <c r="J2081" s="8"/>
    </row>
    <row r="2082" spans="1:10" x14ac:dyDescent="0.15">
      <c r="A2082" s="7"/>
      <c r="B2082" s="8"/>
      <c r="C2082" s="8"/>
      <c r="D2082" s="9"/>
      <c r="E2082" s="8"/>
      <c r="F2082" s="8"/>
      <c r="G2082" s="8"/>
      <c r="H2082" s="8"/>
      <c r="I2082" s="10"/>
      <c r="J2082" s="8"/>
    </row>
    <row r="2083" spans="1:10" x14ac:dyDescent="0.15">
      <c r="A2083" s="7"/>
      <c r="B2083" s="8"/>
      <c r="C2083" s="8"/>
      <c r="D2083" s="9"/>
      <c r="E2083" s="8"/>
      <c r="F2083" s="8"/>
      <c r="G2083" s="8"/>
      <c r="H2083" s="8"/>
      <c r="I2083" s="10"/>
      <c r="J2083" s="8"/>
    </row>
    <row r="2084" spans="1:10" x14ac:dyDescent="0.15">
      <c r="A2084" s="7"/>
      <c r="B2084" s="8"/>
      <c r="C2084" s="8"/>
      <c r="D2084" s="9"/>
      <c r="E2084" s="8"/>
      <c r="F2084" s="8"/>
      <c r="G2084" s="8"/>
      <c r="H2084" s="8"/>
      <c r="I2084" s="10"/>
      <c r="J2084" s="8"/>
    </row>
    <row r="2085" spans="1:10" x14ac:dyDescent="0.15">
      <c r="A2085" s="7"/>
      <c r="B2085" s="8"/>
      <c r="C2085" s="8"/>
      <c r="D2085" s="9"/>
      <c r="E2085" s="8"/>
      <c r="F2085" s="8"/>
      <c r="G2085" s="8"/>
      <c r="H2085" s="8"/>
      <c r="I2085" s="10"/>
      <c r="J2085" s="8"/>
    </row>
    <row r="2086" spans="1:10" x14ac:dyDescent="0.15">
      <c r="A2086" s="7"/>
      <c r="B2086" s="8"/>
      <c r="C2086" s="8"/>
      <c r="D2086" s="9"/>
      <c r="E2086" s="8"/>
      <c r="F2086" s="8"/>
      <c r="G2086" s="8"/>
      <c r="H2086" s="8"/>
      <c r="I2086" s="10"/>
      <c r="J2086" s="8"/>
    </row>
    <row r="2087" spans="1:10" x14ac:dyDescent="0.15">
      <c r="A2087" s="7"/>
      <c r="B2087" s="8"/>
      <c r="C2087" s="8"/>
      <c r="D2087" s="9"/>
      <c r="E2087" s="8"/>
      <c r="F2087" s="8"/>
      <c r="G2087" s="8"/>
      <c r="H2087" s="8"/>
      <c r="I2087" s="10"/>
      <c r="J2087" s="8"/>
    </row>
    <row r="2088" spans="1:10" x14ac:dyDescent="0.15">
      <c r="A2088" s="7"/>
      <c r="B2088" s="8"/>
      <c r="C2088" s="8"/>
      <c r="D2088" s="9"/>
      <c r="E2088" s="8"/>
      <c r="F2088" s="8"/>
      <c r="G2088" s="8"/>
      <c r="H2088" s="8"/>
      <c r="I2088" s="10"/>
      <c r="J2088" s="8"/>
    </row>
    <row r="2089" spans="1:10" x14ac:dyDescent="0.15">
      <c r="A2089" s="7"/>
      <c r="B2089" s="8"/>
      <c r="C2089" s="8"/>
      <c r="D2089" s="9"/>
      <c r="E2089" s="8"/>
      <c r="F2089" s="8"/>
      <c r="G2089" s="8"/>
      <c r="H2089" s="8"/>
      <c r="I2089" s="10"/>
      <c r="J2089" s="8"/>
    </row>
    <row r="2090" spans="1:10" x14ac:dyDescent="0.15">
      <c r="A2090" s="7"/>
      <c r="B2090" s="8"/>
      <c r="C2090" s="8"/>
      <c r="D2090" s="9"/>
      <c r="E2090" s="8"/>
      <c r="F2090" s="8"/>
      <c r="G2090" s="8"/>
      <c r="H2090" s="8"/>
      <c r="I2090" s="10"/>
      <c r="J2090" s="8"/>
    </row>
    <row r="2091" spans="1:10" x14ac:dyDescent="0.15">
      <c r="A2091" s="7"/>
      <c r="B2091" s="8"/>
      <c r="C2091" s="8"/>
      <c r="D2091" s="9"/>
      <c r="E2091" s="8"/>
      <c r="F2091" s="8"/>
      <c r="G2091" s="8"/>
      <c r="H2091" s="8"/>
      <c r="I2091" s="10"/>
      <c r="J2091" s="8"/>
    </row>
    <row r="2092" spans="1:10" x14ac:dyDescent="0.15">
      <c r="A2092" s="7"/>
      <c r="B2092" s="8"/>
      <c r="C2092" s="8"/>
      <c r="D2092" s="9"/>
      <c r="E2092" s="8"/>
      <c r="F2092" s="8"/>
      <c r="G2092" s="8"/>
      <c r="H2092" s="8"/>
      <c r="I2092" s="10"/>
      <c r="J2092" s="8"/>
    </row>
    <row r="2093" spans="1:10" x14ac:dyDescent="0.15">
      <c r="A2093" s="7"/>
      <c r="B2093" s="8"/>
      <c r="C2093" s="8"/>
      <c r="D2093" s="9"/>
      <c r="E2093" s="8"/>
      <c r="F2093" s="8"/>
      <c r="G2093" s="8"/>
      <c r="H2093" s="8"/>
      <c r="I2093" s="10"/>
      <c r="J2093" s="8"/>
    </row>
    <row r="2094" spans="1:10" x14ac:dyDescent="0.15">
      <c r="A2094" s="7"/>
      <c r="B2094" s="8"/>
      <c r="C2094" s="8"/>
      <c r="D2094" s="9"/>
      <c r="E2094" s="8"/>
      <c r="F2094" s="8"/>
      <c r="G2094" s="8"/>
      <c r="H2094" s="8"/>
      <c r="I2094" s="10"/>
      <c r="J2094" s="8"/>
    </row>
    <row r="2095" spans="1:10" x14ac:dyDescent="0.15">
      <c r="A2095" s="7"/>
      <c r="B2095" s="8"/>
      <c r="C2095" s="8"/>
      <c r="D2095" s="9"/>
      <c r="E2095" s="8"/>
      <c r="F2095" s="8"/>
      <c r="G2095" s="8"/>
      <c r="H2095" s="8"/>
      <c r="I2095" s="10"/>
      <c r="J2095" s="8"/>
    </row>
    <row r="2096" spans="1:10" x14ac:dyDescent="0.15">
      <c r="A2096" s="7"/>
      <c r="B2096" s="8"/>
      <c r="C2096" s="8"/>
      <c r="D2096" s="9"/>
      <c r="E2096" s="8"/>
      <c r="F2096" s="8"/>
      <c r="G2096" s="8"/>
      <c r="H2096" s="8"/>
      <c r="I2096" s="10"/>
      <c r="J2096" s="8"/>
    </row>
    <row r="2097" spans="1:10" x14ac:dyDescent="0.15">
      <c r="A2097" s="7"/>
      <c r="B2097" s="8"/>
      <c r="C2097" s="8"/>
      <c r="D2097" s="9"/>
      <c r="E2097" s="8"/>
      <c r="F2097" s="8"/>
      <c r="G2097" s="8"/>
      <c r="H2097" s="8"/>
      <c r="I2097" s="10"/>
      <c r="J2097" s="8"/>
    </row>
    <row r="2098" spans="1:10" x14ac:dyDescent="0.15">
      <c r="A2098" s="7"/>
      <c r="B2098" s="8"/>
      <c r="C2098" s="8"/>
      <c r="D2098" s="9"/>
      <c r="E2098" s="8"/>
      <c r="F2098" s="8"/>
      <c r="G2098" s="8"/>
      <c r="H2098" s="8"/>
      <c r="I2098" s="10"/>
      <c r="J2098" s="8"/>
    </row>
    <row r="2099" spans="1:10" x14ac:dyDescent="0.15">
      <c r="A2099" s="7"/>
      <c r="B2099" s="8"/>
      <c r="C2099" s="8"/>
      <c r="D2099" s="9"/>
      <c r="E2099" s="8"/>
      <c r="F2099" s="8"/>
      <c r="G2099" s="8"/>
      <c r="H2099" s="8"/>
      <c r="I2099" s="10"/>
      <c r="J2099" s="8"/>
    </row>
  </sheetData>
  <autoFilter ref="A2:J2" xr:uid="{00000000-0009-0000-0000-000000000000}"/>
  <phoneticPr fontId="1"/>
  <hyperlinks>
    <hyperlink ref="E488" r:id="rId1" xr:uid="{2A4B84B5-AD72-4ABF-8728-3BC1628D39CF}"/>
    <hyperlink ref="E487" r:id="rId2" xr:uid="{A54AD47D-7BDD-4D6D-A37F-67676BC6737B}"/>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2024-09-20T05:54:35Z</dcterms:modified>
</cp:coreProperties>
</file>